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9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stau\Desktop\"/>
    </mc:Choice>
  </mc:AlternateContent>
  <bookViews>
    <workbookView xWindow="0" yWindow="0" windowWidth="28800" windowHeight="14220"/>
  </bookViews>
  <sheets>
    <sheet name="Ergebnisliste" sheetId="6" r:id="rId1"/>
    <sheet name="Ranking" sheetId="2" r:id="rId2"/>
    <sheet name="Matchanalyse" sheetId="11" r:id="rId3"/>
    <sheet name="Spielauswertung" sheetId="10" r:id="rId4"/>
    <sheet name="SpielerDaten" sheetId="9" r:id="rId5"/>
    <sheet name="Ergebnisbewertung" sheetId="1" r:id="rId6"/>
    <sheet name="Ergebnisvorhersage" sheetId="7" r:id="rId7"/>
    <sheet name="Ratingverteilung" sheetId="8" r:id="rId8"/>
  </sheets>
  <definedNames>
    <definedName name="SpielerEins">INDEX(Tabelle10[Spalte2],2):INDEX(Tabelle10[Spalte2],Tabelle1[[#This Row],[Match]]+1)</definedName>
    <definedName name="XACHSE">INDEX(Tabelle10[Spalte1],2):INDEX(Tabelle10[Spalte1],Tabelle1[[#This Row],[Match]]+1)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6" l="1"/>
  <c r="H4" i="6" s="1"/>
  <c r="H5" i="6" s="1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66" i="6" s="1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H115" i="6" s="1"/>
  <c r="H116" i="6" s="1"/>
  <c r="H117" i="6" s="1"/>
  <c r="H118" i="6" s="1"/>
  <c r="H119" i="6" s="1"/>
  <c r="H120" i="6" s="1"/>
  <c r="H121" i="6" s="1"/>
  <c r="H122" i="6" s="1"/>
  <c r="H123" i="6" s="1"/>
  <c r="H124" i="6" s="1"/>
  <c r="H125" i="6" s="1"/>
  <c r="H126" i="6" s="1"/>
  <c r="H127" i="6" s="1"/>
  <c r="H128" i="6" s="1"/>
  <c r="H129" i="6" s="1"/>
  <c r="H130" i="6" s="1"/>
  <c r="H131" i="6" s="1"/>
  <c r="H132" i="6" s="1"/>
  <c r="H133" i="6" s="1"/>
  <c r="H134" i="6" s="1"/>
  <c r="H135" i="6" s="1"/>
  <c r="H136" i="6" s="1"/>
  <c r="H137" i="6" s="1"/>
  <c r="H138" i="6" s="1"/>
  <c r="H139" i="6" s="1"/>
  <c r="H140" i="6" s="1"/>
  <c r="H141" i="6" s="1"/>
  <c r="H142" i="6" s="1"/>
  <c r="H143" i="6" s="1"/>
  <c r="H144" i="6" s="1"/>
  <c r="H145" i="6" s="1"/>
  <c r="H146" i="6" s="1"/>
  <c r="H147" i="6" s="1"/>
  <c r="H148" i="6" s="1"/>
  <c r="H149" i="6" s="1"/>
  <c r="H150" i="6" s="1"/>
  <c r="H151" i="6" s="1"/>
  <c r="H152" i="6" s="1"/>
  <c r="H153" i="6" s="1"/>
  <c r="H154" i="6" s="1"/>
  <c r="H155" i="6" s="1"/>
  <c r="H156" i="6" s="1"/>
  <c r="H157" i="6" s="1"/>
  <c r="H158" i="6" s="1"/>
  <c r="H159" i="6" s="1"/>
  <c r="H160" i="6" s="1"/>
  <c r="H161" i="6" s="1"/>
  <c r="H162" i="6" s="1"/>
  <c r="H163" i="6" s="1"/>
  <c r="H164" i="6" s="1"/>
  <c r="H165" i="6" s="1"/>
  <c r="H166" i="6" s="1"/>
  <c r="H167" i="6" s="1"/>
  <c r="H168" i="6" s="1"/>
  <c r="H169" i="6" s="1"/>
  <c r="H170" i="6" s="1"/>
  <c r="H171" i="6" s="1"/>
  <c r="H172" i="6" s="1"/>
  <c r="H173" i="6" s="1"/>
  <c r="H174" i="6" s="1"/>
  <c r="H175" i="6" s="1"/>
  <c r="H176" i="6" s="1"/>
  <c r="H177" i="6" s="1"/>
  <c r="H178" i="6" s="1"/>
  <c r="H179" i="6" s="1"/>
  <c r="H180" i="6" s="1"/>
  <c r="H181" i="6" s="1"/>
  <c r="H182" i="6" s="1"/>
  <c r="H183" i="6" s="1"/>
  <c r="H184" i="6" s="1"/>
  <c r="H185" i="6" s="1"/>
  <c r="H186" i="6" s="1"/>
  <c r="H187" i="6" s="1"/>
  <c r="H188" i="6" s="1"/>
  <c r="H189" i="6" s="1"/>
  <c r="H190" i="6" s="1"/>
  <c r="H191" i="6" s="1"/>
  <c r="H192" i="6" s="1"/>
  <c r="H193" i="6" s="1"/>
  <c r="H194" i="6" s="1"/>
  <c r="H195" i="6" s="1"/>
  <c r="H196" i="6" s="1"/>
  <c r="H197" i="6" s="1"/>
  <c r="H198" i="6" s="1"/>
  <c r="H199" i="6" s="1"/>
  <c r="H200" i="6" s="1"/>
  <c r="H201" i="6" s="1"/>
  <c r="H202" i="6" s="1"/>
  <c r="H203" i="6" s="1"/>
  <c r="H204" i="6" s="1"/>
  <c r="H205" i="6" s="1"/>
  <c r="H206" i="6" s="1"/>
  <c r="H207" i="6" s="1"/>
  <c r="H208" i="6" s="1"/>
  <c r="H209" i="6" s="1"/>
  <c r="H210" i="6" s="1"/>
  <c r="H211" i="6" s="1"/>
  <c r="H212" i="6" s="1"/>
  <c r="H213" i="6" s="1"/>
  <c r="H214" i="6" s="1"/>
  <c r="H215" i="6" s="1"/>
  <c r="H216" i="6" s="1"/>
  <c r="H217" i="6" s="1"/>
  <c r="H218" i="6" s="1"/>
  <c r="H219" i="6" s="1"/>
  <c r="H220" i="6" s="1"/>
  <c r="H221" i="6" s="1"/>
  <c r="H222" i="6" s="1"/>
  <c r="H223" i="6" s="1"/>
  <c r="H224" i="6" s="1"/>
  <c r="H225" i="6" s="1"/>
  <c r="H226" i="6" s="1"/>
  <c r="H227" i="6" s="1"/>
  <c r="H228" i="6" s="1"/>
  <c r="H229" i="6" s="1"/>
  <c r="H230" i="6" s="1"/>
  <c r="H231" i="6" s="1"/>
  <c r="H232" i="6" s="1"/>
  <c r="H233" i="6" s="1"/>
  <c r="H234" i="6" s="1"/>
  <c r="H235" i="6" s="1"/>
  <c r="H236" i="6" s="1"/>
  <c r="H237" i="6" s="1"/>
  <c r="H238" i="6" s="1"/>
  <c r="H239" i="6" s="1"/>
  <c r="H240" i="6" s="1"/>
  <c r="H241" i="6" s="1"/>
  <c r="H242" i="6" s="1"/>
  <c r="H243" i="6" s="1"/>
  <c r="H244" i="6" s="1"/>
  <c r="H245" i="6" s="1"/>
  <c r="H246" i="6" s="1"/>
  <c r="H247" i="6" s="1"/>
  <c r="H248" i="6" s="1"/>
  <c r="H249" i="6" s="1"/>
  <c r="H250" i="6" s="1"/>
  <c r="H251" i="6" s="1"/>
  <c r="H252" i="6" s="1"/>
  <c r="H253" i="6" s="1"/>
  <c r="H254" i="6" s="1"/>
  <c r="H255" i="6" s="1"/>
  <c r="H256" i="6" s="1"/>
  <c r="H257" i="6" s="1"/>
  <c r="H258" i="6" s="1"/>
  <c r="H259" i="6" s="1"/>
  <c r="H260" i="6" s="1"/>
  <c r="H261" i="6" s="1"/>
  <c r="H262" i="6" s="1"/>
  <c r="H263" i="6" s="1"/>
  <c r="H264" i="6" s="1"/>
  <c r="H265" i="6" s="1"/>
  <c r="H266" i="6" s="1"/>
  <c r="H267" i="6" s="1"/>
  <c r="H268" i="6" s="1"/>
  <c r="H269" i="6" s="1"/>
  <c r="H270" i="6" s="1"/>
  <c r="H271" i="6" s="1"/>
  <c r="H272" i="6" s="1"/>
  <c r="H273" i="6" s="1"/>
  <c r="H274" i="6" s="1"/>
  <c r="H275" i="6" s="1"/>
  <c r="H276" i="6" s="1"/>
  <c r="H277" i="6" s="1"/>
  <c r="H278" i="6" s="1"/>
  <c r="H279" i="6" s="1"/>
  <c r="H280" i="6" s="1"/>
  <c r="H281" i="6" s="1"/>
  <c r="H282" i="6" s="1"/>
  <c r="H283" i="6" s="1"/>
  <c r="H284" i="6" s="1"/>
  <c r="H285" i="6" s="1"/>
  <c r="H286" i="6" s="1"/>
  <c r="H287" i="6" s="1"/>
  <c r="H288" i="6" s="1"/>
  <c r="H289" i="6" s="1"/>
  <c r="H290" i="6" s="1"/>
  <c r="H291" i="6" s="1"/>
  <c r="H292" i="6" s="1"/>
  <c r="H293" i="6" s="1"/>
  <c r="H294" i="6" s="1"/>
  <c r="H295" i="6" s="1"/>
  <c r="H296" i="6" s="1"/>
  <c r="H297" i="6" s="1"/>
  <c r="H298" i="6" s="1"/>
  <c r="H299" i="6" s="1"/>
  <c r="H300" i="6" s="1"/>
  <c r="H301" i="6" s="1"/>
  <c r="H302" i="6" s="1"/>
  <c r="H303" i="6" s="1"/>
  <c r="H304" i="6" s="1"/>
  <c r="H305" i="6" s="1"/>
  <c r="H306" i="6" s="1"/>
  <c r="H307" i="6" s="1"/>
  <c r="H308" i="6" s="1"/>
  <c r="H309" i="6" s="1"/>
  <c r="H310" i="6" s="1"/>
  <c r="H311" i="6" s="1"/>
  <c r="H312" i="6" s="1"/>
  <c r="H313" i="6" s="1"/>
  <c r="H314" i="6" s="1"/>
  <c r="H315" i="6" s="1"/>
  <c r="H316" i="6" s="1"/>
  <c r="H317" i="6" s="1"/>
  <c r="H318" i="6" s="1"/>
  <c r="H319" i="6" s="1"/>
  <c r="H320" i="6" s="1"/>
  <c r="H321" i="6" s="1"/>
  <c r="H322" i="6" s="1"/>
  <c r="H323" i="6" s="1"/>
  <c r="H324" i="6" s="1"/>
  <c r="H325" i="6" s="1"/>
  <c r="H326" i="6" s="1"/>
  <c r="H327" i="6" s="1"/>
  <c r="H328" i="6" s="1"/>
  <c r="H329" i="6" s="1"/>
  <c r="H330" i="6" s="1"/>
  <c r="H331" i="6" s="1"/>
  <c r="H332" i="6" s="1"/>
  <c r="H333" i="6" s="1"/>
  <c r="H334" i="6" s="1"/>
  <c r="H335" i="6" s="1"/>
  <c r="H336" i="6" s="1"/>
  <c r="H337" i="6" s="1"/>
  <c r="H338" i="6" s="1"/>
  <c r="H339" i="6" s="1"/>
  <c r="H340" i="6" s="1"/>
  <c r="H341" i="6" s="1"/>
  <c r="H342" i="6" s="1"/>
  <c r="H343" i="6" s="1"/>
  <c r="H344" i="6" s="1"/>
  <c r="H345" i="6" s="1"/>
  <c r="H346" i="6" s="1"/>
  <c r="H347" i="6" s="1"/>
  <c r="H348" i="6" s="1"/>
  <c r="H349" i="6" s="1"/>
  <c r="H350" i="6" s="1"/>
  <c r="H351" i="6" s="1"/>
  <c r="H352" i="6" s="1"/>
  <c r="H353" i="6" s="1"/>
  <c r="H354" i="6" s="1"/>
  <c r="H355" i="6" s="1"/>
  <c r="H356" i="6" s="1"/>
  <c r="H357" i="6" s="1"/>
  <c r="H358" i="6" s="1"/>
  <c r="H359" i="6" s="1"/>
  <c r="H360" i="6" s="1"/>
  <c r="H361" i="6" s="1"/>
  <c r="H362" i="6" s="1"/>
  <c r="H363" i="6" s="1"/>
  <c r="H364" i="6" s="1"/>
  <c r="H365" i="6" s="1"/>
  <c r="H366" i="6" s="1"/>
  <c r="H367" i="6" s="1"/>
  <c r="H368" i="6" s="1"/>
  <c r="H369" i="6" s="1"/>
  <c r="H370" i="6" s="1"/>
  <c r="H371" i="6" s="1"/>
  <c r="H372" i="6" s="1"/>
  <c r="H373" i="6" s="1"/>
  <c r="H374" i="6" s="1"/>
  <c r="H375" i="6" s="1"/>
  <c r="H376" i="6" s="1"/>
  <c r="H377" i="6" s="1"/>
  <c r="H378" i="6" s="1"/>
  <c r="H379" i="6" s="1"/>
  <c r="H380" i="6" s="1"/>
  <c r="H381" i="6" s="1"/>
  <c r="H382" i="6" s="1"/>
  <c r="H383" i="6" s="1"/>
  <c r="H384" i="6" s="1"/>
  <c r="H385" i="6" s="1"/>
  <c r="H386" i="6" s="1"/>
  <c r="H387" i="6" s="1"/>
  <c r="H388" i="6" s="1"/>
  <c r="H389" i="6" s="1"/>
  <c r="H390" i="6" s="1"/>
  <c r="H391" i="6" s="1"/>
  <c r="H392" i="6" s="1"/>
  <c r="H393" i="6" s="1"/>
  <c r="H394" i="6" s="1"/>
  <c r="H395" i="6" s="1"/>
  <c r="H396" i="6" s="1"/>
  <c r="H397" i="6" s="1"/>
  <c r="H398" i="6" s="1"/>
  <c r="H399" i="6" s="1"/>
  <c r="H400" i="6" s="1"/>
  <c r="H401" i="6" s="1"/>
  <c r="H402" i="6" s="1"/>
  <c r="H403" i="6" s="1"/>
  <c r="H404" i="6" s="1"/>
  <c r="H405" i="6" s="1"/>
  <c r="H406" i="6" s="1"/>
  <c r="H407" i="6" s="1"/>
  <c r="H408" i="6" s="1"/>
  <c r="H409" i="6" s="1"/>
  <c r="H410" i="6" s="1"/>
  <c r="H411" i="6" s="1"/>
  <c r="H412" i="6" s="1"/>
  <c r="H413" i="6" s="1"/>
  <c r="H414" i="6" s="1"/>
  <c r="H415" i="6" s="1"/>
  <c r="H416" i="6" s="1"/>
  <c r="H417" i="6" s="1"/>
  <c r="H418" i="6" s="1"/>
  <c r="H419" i="6" s="1"/>
  <c r="H420" i="6" s="1"/>
  <c r="H421" i="6" s="1"/>
  <c r="H422" i="6" s="1"/>
  <c r="H423" i="6" s="1"/>
  <c r="H424" i="6" s="1"/>
  <c r="H425" i="6" s="1"/>
  <c r="H426" i="6" s="1"/>
  <c r="H427" i="6" s="1"/>
  <c r="H428" i="6" s="1"/>
  <c r="H429" i="6" s="1"/>
  <c r="H430" i="6" s="1"/>
  <c r="H431" i="6" s="1"/>
  <c r="H432" i="6" s="1"/>
  <c r="H433" i="6" s="1"/>
  <c r="H434" i="6" s="1"/>
  <c r="H435" i="6" s="1"/>
  <c r="H436" i="6" s="1"/>
  <c r="H437" i="6" s="1"/>
  <c r="H438" i="6" s="1"/>
  <c r="H439" i="6" s="1"/>
  <c r="H440" i="6" s="1"/>
  <c r="H441" i="6" s="1"/>
  <c r="H442" i="6" s="1"/>
  <c r="H443" i="6" s="1"/>
  <c r="H444" i="6" s="1"/>
  <c r="H445" i="6" s="1"/>
  <c r="H446" i="6" s="1"/>
  <c r="H447" i="6" s="1"/>
  <c r="H448" i="6" s="1"/>
  <c r="H449" i="6" s="1"/>
  <c r="H450" i="6" s="1"/>
  <c r="H451" i="6" s="1"/>
  <c r="H452" i="6" s="1"/>
  <c r="H453" i="6" s="1"/>
  <c r="H454" i="6" s="1"/>
  <c r="H455" i="6" s="1"/>
  <c r="H456" i="6" s="1"/>
  <c r="H457" i="6" s="1"/>
  <c r="H458" i="6" s="1"/>
  <c r="H459" i="6" s="1"/>
  <c r="H460" i="6" s="1"/>
  <c r="H461" i="6" s="1"/>
  <c r="H462" i="6" s="1"/>
  <c r="H463" i="6" s="1"/>
  <c r="H464" i="6" s="1"/>
  <c r="H465" i="6" s="1"/>
  <c r="H466" i="6" s="1"/>
  <c r="H467" i="6" s="1"/>
  <c r="H468" i="6" s="1"/>
  <c r="H469" i="6" s="1"/>
  <c r="H470" i="6" s="1"/>
  <c r="H471" i="6" s="1"/>
  <c r="H472" i="6" s="1"/>
  <c r="H473" i="6" s="1"/>
  <c r="H474" i="6" s="1"/>
  <c r="H475" i="6" s="1"/>
  <c r="H476" i="6" s="1"/>
  <c r="H477" i="6" s="1"/>
  <c r="H478" i="6" s="1"/>
  <c r="H479" i="6" s="1"/>
  <c r="H480" i="6" s="1"/>
  <c r="H481" i="6" s="1"/>
  <c r="H482" i="6" s="1"/>
  <c r="H483" i="6" s="1"/>
  <c r="H484" i="6" s="1"/>
  <c r="H485" i="6" s="1"/>
  <c r="H486" i="6" s="1"/>
  <c r="H487" i="6" s="1"/>
  <c r="H488" i="6" s="1"/>
  <c r="H489" i="6" s="1"/>
  <c r="H490" i="6" s="1"/>
  <c r="H491" i="6" s="1"/>
  <c r="H492" i="6" s="1"/>
  <c r="H493" i="6" s="1"/>
  <c r="H494" i="6" s="1"/>
  <c r="H495" i="6" s="1"/>
  <c r="H496" i="6" s="1"/>
  <c r="H497" i="6" s="1"/>
  <c r="H498" i="6" s="1"/>
  <c r="H499" i="6" s="1"/>
  <c r="H500" i="6" s="1"/>
  <c r="H501" i="6" s="1"/>
  <c r="H502" i="6" s="1"/>
  <c r="H503" i="6" s="1"/>
  <c r="H504" i="6" s="1"/>
  <c r="H505" i="6" s="1"/>
  <c r="H506" i="6" s="1"/>
  <c r="H507" i="6" s="1"/>
  <c r="H508" i="6" s="1"/>
  <c r="H509" i="6" s="1"/>
  <c r="H510" i="6" s="1"/>
  <c r="H511" i="6" s="1"/>
  <c r="H512" i="6" s="1"/>
  <c r="H513" i="6" s="1"/>
  <c r="H514" i="6" s="1"/>
  <c r="H515" i="6" s="1"/>
  <c r="H516" i="6" s="1"/>
  <c r="H517" i="6" s="1"/>
  <c r="H518" i="6" s="1"/>
  <c r="H519" i="6" s="1"/>
  <c r="H520" i="6" s="1"/>
  <c r="H521" i="6" s="1"/>
  <c r="H522" i="6" s="1"/>
  <c r="H523" i="6" s="1"/>
  <c r="H524" i="6" s="1"/>
  <c r="H525" i="6" s="1"/>
  <c r="H526" i="6" s="1"/>
  <c r="H527" i="6" s="1"/>
  <c r="H528" i="6" s="1"/>
  <c r="H529" i="6" s="1"/>
  <c r="H530" i="6" s="1"/>
  <c r="H531" i="6" s="1"/>
  <c r="H532" i="6" s="1"/>
  <c r="H533" i="6" s="1"/>
  <c r="H534" i="6" s="1"/>
  <c r="H535" i="6" s="1"/>
  <c r="H536" i="6" s="1"/>
  <c r="H537" i="6" s="1"/>
  <c r="H538" i="6" s="1"/>
  <c r="H539" i="6" s="1"/>
  <c r="H540" i="6" s="1"/>
  <c r="H541" i="6" s="1"/>
  <c r="H542" i="6" s="1"/>
  <c r="H543" i="6" s="1"/>
  <c r="H544" i="6" s="1"/>
  <c r="H545" i="6" s="1"/>
  <c r="H546" i="6" s="1"/>
  <c r="H547" i="6" s="1"/>
  <c r="H548" i="6" s="1"/>
  <c r="H549" i="6" s="1"/>
  <c r="H550" i="6" s="1"/>
  <c r="H551" i="6" s="1"/>
  <c r="H552" i="6" s="1"/>
  <c r="H553" i="6" s="1"/>
  <c r="H554" i="6" s="1"/>
  <c r="H555" i="6" s="1"/>
  <c r="H556" i="6" s="1"/>
  <c r="H557" i="6" s="1"/>
  <c r="H558" i="6" s="1"/>
  <c r="H559" i="6" s="1"/>
  <c r="H560" i="6" s="1"/>
  <c r="H561" i="6" s="1"/>
  <c r="H562" i="6" s="1"/>
  <c r="H563" i="6" s="1"/>
  <c r="H564" i="6" s="1"/>
  <c r="H565" i="6" s="1"/>
  <c r="H566" i="6" s="1"/>
  <c r="H567" i="6" s="1"/>
  <c r="H568" i="6" s="1"/>
  <c r="H569" i="6" s="1"/>
  <c r="H570" i="6" s="1"/>
  <c r="H571" i="6" s="1"/>
  <c r="H572" i="6" s="1"/>
  <c r="H573" i="6" s="1"/>
  <c r="H574" i="6" s="1"/>
  <c r="H575" i="6" s="1"/>
  <c r="H576" i="6" s="1"/>
  <c r="H577" i="6" s="1"/>
  <c r="H578" i="6" s="1"/>
  <c r="H579" i="6" s="1"/>
  <c r="H580" i="6" s="1"/>
  <c r="H581" i="6" s="1"/>
  <c r="H582" i="6" s="1"/>
  <c r="H583" i="6" s="1"/>
  <c r="H584" i="6" s="1"/>
  <c r="H585" i="6" s="1"/>
  <c r="H586" i="6" s="1"/>
  <c r="H587" i="6" s="1"/>
  <c r="H588" i="6" s="1"/>
  <c r="H589" i="6" s="1"/>
  <c r="H590" i="6" s="1"/>
  <c r="H591" i="6" s="1"/>
  <c r="H592" i="6" s="1"/>
  <c r="H593" i="6" s="1"/>
  <c r="H594" i="6" s="1"/>
  <c r="H595" i="6" s="1"/>
  <c r="H596" i="6" s="1"/>
  <c r="H597" i="6" s="1"/>
  <c r="H598" i="6" s="1"/>
  <c r="H599" i="6" s="1"/>
  <c r="H600" i="6" s="1"/>
  <c r="H601" i="6" s="1"/>
  <c r="H602" i="6" s="1"/>
  <c r="H603" i="6" s="1"/>
  <c r="H604" i="6" s="1"/>
  <c r="H605" i="6" s="1"/>
  <c r="H606" i="6" s="1"/>
  <c r="H607" i="6" s="1"/>
  <c r="H608" i="6" s="1"/>
  <c r="H609" i="6" s="1"/>
  <c r="H610" i="6" s="1"/>
  <c r="H611" i="6" s="1"/>
  <c r="H612" i="6" s="1"/>
  <c r="H613" i="6" s="1"/>
  <c r="H614" i="6" s="1"/>
  <c r="H615" i="6" s="1"/>
  <c r="H616" i="6" s="1"/>
  <c r="H617" i="6" s="1"/>
  <c r="H618" i="6" s="1"/>
  <c r="H619" i="6" s="1"/>
  <c r="H620" i="6" s="1"/>
  <c r="H621" i="6" s="1"/>
  <c r="H622" i="6" s="1"/>
  <c r="H623" i="6" s="1"/>
  <c r="H624" i="6" s="1"/>
  <c r="H625" i="6" s="1"/>
  <c r="H626" i="6" s="1"/>
  <c r="H627" i="6" s="1"/>
  <c r="H628" i="6" s="1"/>
  <c r="H629" i="6" s="1"/>
  <c r="H630" i="6" s="1"/>
  <c r="H631" i="6" s="1"/>
  <c r="H632" i="6" s="1"/>
  <c r="H633" i="6" s="1"/>
  <c r="H634" i="6" s="1"/>
  <c r="H635" i="6" s="1"/>
  <c r="H636" i="6" s="1"/>
  <c r="H637" i="6" s="1"/>
  <c r="H638" i="6" s="1"/>
  <c r="H639" i="6" s="1"/>
  <c r="H640" i="6" s="1"/>
  <c r="H641" i="6" s="1"/>
  <c r="H642" i="6" s="1"/>
  <c r="H643" i="6" s="1"/>
  <c r="H644" i="6" s="1"/>
  <c r="H645" i="6" s="1"/>
  <c r="H646" i="6" s="1"/>
  <c r="H647" i="6" s="1"/>
  <c r="H648" i="6" s="1"/>
  <c r="H649" i="6" s="1"/>
  <c r="H650" i="6" s="1"/>
  <c r="H651" i="6" s="1"/>
  <c r="H652" i="6" s="1"/>
  <c r="H653" i="6" s="1"/>
  <c r="H654" i="6" s="1"/>
  <c r="H655" i="6" s="1"/>
  <c r="H656" i="6" s="1"/>
  <c r="H657" i="6" s="1"/>
  <c r="H658" i="6" s="1"/>
  <c r="H659" i="6" s="1"/>
  <c r="H660" i="6" s="1"/>
  <c r="H661" i="6" s="1"/>
  <c r="H662" i="6" s="1"/>
  <c r="H663" i="6" s="1"/>
  <c r="H664" i="6" s="1"/>
  <c r="H665" i="6" s="1"/>
  <c r="H666" i="6" s="1"/>
  <c r="H667" i="6" s="1"/>
  <c r="H668" i="6" s="1"/>
  <c r="H669" i="6" s="1"/>
  <c r="H670" i="6" s="1"/>
  <c r="H671" i="6" s="1"/>
  <c r="H672" i="6" s="1"/>
  <c r="H673" i="6" s="1"/>
  <c r="H674" i="6" s="1"/>
  <c r="H675" i="6" s="1"/>
  <c r="H676" i="6" s="1"/>
  <c r="H677" i="6" s="1"/>
  <c r="H678" i="6" s="1"/>
  <c r="H679" i="6" s="1"/>
  <c r="H680" i="6" s="1"/>
  <c r="H681" i="6" s="1"/>
  <c r="H682" i="6" s="1"/>
  <c r="H683" i="6" s="1"/>
  <c r="H684" i="6" s="1"/>
  <c r="H685" i="6" s="1"/>
  <c r="H686" i="6" s="1"/>
  <c r="H687" i="6" s="1"/>
  <c r="H688" i="6" s="1"/>
  <c r="H689" i="6" s="1"/>
  <c r="H690" i="6" s="1"/>
  <c r="H691" i="6" s="1"/>
  <c r="H692" i="6" s="1"/>
  <c r="H693" i="6" s="1"/>
  <c r="A49" i="2" l="1"/>
  <c r="C26" i="2"/>
  <c r="G26" i="2"/>
  <c r="C16" i="2" l="1"/>
  <c r="G16" i="2"/>
  <c r="G18" i="2" l="1"/>
  <c r="G41" i="2"/>
  <c r="G29" i="2"/>
  <c r="G39" i="2"/>
  <c r="G4" i="2"/>
  <c r="G33" i="2"/>
  <c r="G19" i="2"/>
  <c r="G46" i="2"/>
  <c r="G5" i="2"/>
  <c r="G23" i="2"/>
  <c r="G10" i="2"/>
  <c r="G15" i="2"/>
  <c r="G49" i="2"/>
  <c r="G37" i="2"/>
  <c r="G22" i="2"/>
  <c r="G7" i="2"/>
  <c r="G12" i="2"/>
  <c r="G40" i="2"/>
  <c r="G48" i="2"/>
  <c r="G14" i="2"/>
  <c r="G47" i="2"/>
  <c r="G21" i="2"/>
  <c r="G36" i="2"/>
  <c r="G43" i="2"/>
  <c r="G31" i="2"/>
  <c r="G24" i="2"/>
  <c r="G28" i="2"/>
  <c r="G11" i="2"/>
  <c r="G17" i="2"/>
  <c r="G38" i="2"/>
  <c r="G9" i="2"/>
  <c r="G8" i="2"/>
  <c r="G20" i="2"/>
  <c r="G3" i="2"/>
  <c r="G44" i="2"/>
  <c r="G45" i="2"/>
  <c r="G13" i="2"/>
  <c r="G27" i="2"/>
  <c r="G42" i="2"/>
  <c r="G6" i="2"/>
  <c r="G35" i="2"/>
  <c r="G32" i="2"/>
  <c r="G34" i="2"/>
  <c r="G30" i="2"/>
  <c r="G25" i="2"/>
  <c r="C18" i="2"/>
  <c r="C41" i="2"/>
  <c r="C29" i="2"/>
  <c r="C39" i="2"/>
  <c r="C4" i="2"/>
  <c r="C33" i="2"/>
  <c r="C19" i="2"/>
  <c r="C46" i="2"/>
  <c r="C5" i="2"/>
  <c r="C23" i="2"/>
  <c r="C10" i="2"/>
  <c r="C15" i="2"/>
  <c r="C49" i="2"/>
  <c r="C37" i="2"/>
  <c r="C22" i="2"/>
  <c r="C7" i="2"/>
  <c r="C12" i="2"/>
  <c r="C40" i="2"/>
  <c r="C48" i="2"/>
  <c r="C14" i="2"/>
  <c r="C47" i="2"/>
  <c r="C21" i="2"/>
  <c r="C36" i="2"/>
  <c r="C43" i="2"/>
  <c r="C31" i="2"/>
  <c r="C24" i="2"/>
  <c r="C28" i="2"/>
  <c r="C11" i="2"/>
  <c r="C17" i="2"/>
  <c r="C38" i="2"/>
  <c r="C9" i="2"/>
  <c r="C8" i="2"/>
  <c r="C20" i="2"/>
  <c r="C3" i="2"/>
  <c r="C44" i="2"/>
  <c r="C45" i="2"/>
  <c r="C13" i="2"/>
  <c r="C27" i="2"/>
  <c r="C42" i="2"/>
  <c r="C6" i="2"/>
  <c r="C35" i="2"/>
  <c r="C32" i="2"/>
  <c r="C34" i="2"/>
  <c r="C30" i="2"/>
  <c r="C25" i="2"/>
  <c r="S21" i="11" l="1"/>
  <c r="S22" i="11"/>
  <c r="S23" i="11"/>
  <c r="S24" i="11"/>
  <c r="S25" i="11"/>
  <c r="S26" i="11"/>
  <c r="S27" i="11"/>
  <c r="S28" i="11"/>
  <c r="S29" i="11"/>
  <c r="S30" i="11"/>
  <c r="S31" i="11"/>
  <c r="S32" i="11"/>
  <c r="S33" i="11"/>
  <c r="S34" i="11"/>
  <c r="S35" i="11"/>
  <c r="S36" i="11"/>
  <c r="S37" i="11"/>
  <c r="S38" i="11"/>
  <c r="S39" i="11"/>
  <c r="S40" i="11"/>
  <c r="S20" i="11"/>
  <c r="AF103" i="2" l="1"/>
  <c r="AF104" i="2"/>
  <c r="AF105" i="2"/>
  <c r="AF106" i="2"/>
  <c r="AF107" i="2"/>
  <c r="AF108" i="2"/>
  <c r="AF109" i="2"/>
  <c r="AF110" i="2"/>
  <c r="AF111" i="2"/>
  <c r="AF112" i="2"/>
  <c r="AF113" i="2"/>
  <c r="AF114" i="2"/>
  <c r="AF115" i="2"/>
  <c r="AF116" i="2"/>
  <c r="AF117" i="2"/>
  <c r="AF118" i="2"/>
  <c r="AF119" i="2"/>
  <c r="AF120" i="2"/>
  <c r="AF121" i="2"/>
  <c r="AF122" i="2"/>
  <c r="AF123" i="2"/>
  <c r="AF124" i="2"/>
  <c r="AF125" i="2"/>
  <c r="AF126" i="2"/>
  <c r="AF127" i="2"/>
  <c r="AF128" i="2"/>
  <c r="AF129" i="2"/>
  <c r="AF130" i="2"/>
  <c r="AF131" i="2"/>
  <c r="AF132" i="2"/>
  <c r="AF133" i="2"/>
  <c r="AF134" i="2"/>
  <c r="AF135" i="2"/>
  <c r="AF136" i="2"/>
  <c r="AF137" i="2"/>
  <c r="AF138" i="2"/>
  <c r="AF139" i="2"/>
  <c r="AF140" i="2"/>
  <c r="AF141" i="2"/>
  <c r="AF142" i="2"/>
  <c r="AF143" i="2"/>
  <c r="AF144" i="2"/>
  <c r="AF145" i="2"/>
  <c r="AF146" i="2"/>
  <c r="AF147" i="2"/>
  <c r="AF148" i="2"/>
  <c r="AF149" i="2"/>
  <c r="AF150" i="2"/>
  <c r="AF151" i="2"/>
  <c r="AF152" i="2"/>
  <c r="AF153" i="2"/>
  <c r="AF154" i="2"/>
  <c r="AF155" i="2"/>
  <c r="AF156" i="2"/>
  <c r="AF157" i="2"/>
  <c r="AF158" i="2"/>
  <c r="AF159" i="2"/>
  <c r="AF160" i="2"/>
  <c r="AF161" i="2"/>
  <c r="AF162" i="2"/>
  <c r="AF163" i="2"/>
  <c r="AF164" i="2"/>
  <c r="AF165" i="2"/>
  <c r="AF166" i="2"/>
  <c r="AF167" i="2"/>
  <c r="AF168" i="2"/>
  <c r="AF169" i="2"/>
  <c r="AF170" i="2"/>
  <c r="AF171" i="2"/>
  <c r="AF172" i="2"/>
  <c r="AF173" i="2"/>
  <c r="AF174" i="2"/>
  <c r="AF175" i="2"/>
  <c r="AF176" i="2"/>
  <c r="AF177" i="2"/>
  <c r="AF178" i="2"/>
  <c r="AF179" i="2"/>
  <c r="AF180" i="2"/>
  <c r="AF181" i="2"/>
  <c r="AF182" i="2"/>
  <c r="AF183" i="2"/>
  <c r="AF184" i="2"/>
  <c r="AF185" i="2"/>
  <c r="AF186" i="2"/>
  <c r="AF187" i="2"/>
  <c r="AF188" i="2"/>
  <c r="AF189" i="2"/>
  <c r="AF190" i="2"/>
  <c r="AF191" i="2"/>
  <c r="AF192" i="2"/>
  <c r="AF193" i="2"/>
  <c r="AF194" i="2"/>
  <c r="AF195" i="2"/>
  <c r="AF196" i="2"/>
  <c r="AF197" i="2"/>
  <c r="AF198" i="2"/>
  <c r="AF199" i="2"/>
  <c r="AF200" i="2"/>
  <c r="AF201" i="2"/>
  <c r="AF202" i="2"/>
  <c r="AF203" i="2"/>
  <c r="AF204" i="2"/>
  <c r="AF205" i="2"/>
  <c r="AF206" i="2"/>
  <c r="AF207" i="2"/>
  <c r="AF208" i="2"/>
  <c r="AF209" i="2"/>
  <c r="AF210" i="2"/>
  <c r="AF211" i="2"/>
  <c r="AF212" i="2"/>
  <c r="AF213" i="2"/>
  <c r="AF214" i="2"/>
  <c r="AF215" i="2"/>
  <c r="AF216" i="2"/>
  <c r="AF217" i="2"/>
  <c r="AF218" i="2"/>
  <c r="AF219" i="2"/>
  <c r="AF220" i="2"/>
  <c r="AF221" i="2"/>
  <c r="AF222" i="2"/>
  <c r="AF223" i="2"/>
  <c r="AF224" i="2"/>
  <c r="AF225" i="2"/>
  <c r="AF226" i="2"/>
  <c r="AF227" i="2"/>
  <c r="AF228" i="2"/>
  <c r="AF229" i="2"/>
  <c r="AF230" i="2"/>
  <c r="AF231" i="2"/>
  <c r="AF232" i="2"/>
  <c r="AF233" i="2"/>
  <c r="AF234" i="2"/>
  <c r="AF235" i="2"/>
  <c r="AF236" i="2"/>
  <c r="AF237" i="2"/>
  <c r="AF238" i="2"/>
  <c r="AF239" i="2"/>
  <c r="AF240" i="2"/>
  <c r="AF241" i="2"/>
  <c r="AF242" i="2"/>
  <c r="AF243" i="2"/>
  <c r="AF244" i="2"/>
  <c r="AF245" i="2"/>
  <c r="AF246" i="2"/>
  <c r="AF247" i="2"/>
  <c r="AF248" i="2"/>
  <c r="AF249" i="2"/>
  <c r="AF250" i="2"/>
  <c r="AF251" i="2"/>
  <c r="AF252" i="2"/>
  <c r="AF253" i="2"/>
  <c r="AF254" i="2"/>
  <c r="AF255" i="2"/>
  <c r="AF256" i="2"/>
  <c r="AF257" i="2"/>
  <c r="AF258" i="2"/>
  <c r="AF259" i="2"/>
  <c r="AF260" i="2"/>
  <c r="AF261" i="2"/>
  <c r="AF262" i="2"/>
  <c r="AF263" i="2"/>
  <c r="AF264" i="2"/>
  <c r="AF265" i="2"/>
  <c r="AF266" i="2"/>
  <c r="AF267" i="2"/>
  <c r="AF268" i="2"/>
  <c r="AF269" i="2"/>
  <c r="AF270" i="2"/>
  <c r="AF271" i="2"/>
  <c r="AF272" i="2"/>
  <c r="AF273" i="2"/>
  <c r="AF274" i="2"/>
  <c r="AF275" i="2"/>
  <c r="AF276" i="2"/>
  <c r="AF277" i="2"/>
  <c r="AF278" i="2"/>
  <c r="AF279" i="2"/>
  <c r="AF280" i="2"/>
  <c r="AF281" i="2"/>
  <c r="AF282" i="2"/>
  <c r="AF283" i="2"/>
  <c r="AF284" i="2"/>
  <c r="AF285" i="2"/>
  <c r="AF286" i="2"/>
  <c r="AF287" i="2"/>
  <c r="AF288" i="2"/>
  <c r="AF289" i="2"/>
  <c r="AF290" i="2"/>
  <c r="AF291" i="2"/>
  <c r="AF292" i="2"/>
  <c r="AF293" i="2"/>
  <c r="AF294" i="2"/>
  <c r="AF295" i="2"/>
  <c r="AF296" i="2"/>
  <c r="AF297" i="2"/>
  <c r="AF298" i="2"/>
  <c r="AF299" i="2"/>
  <c r="AF300" i="2"/>
  <c r="AF301" i="2"/>
  <c r="AF302" i="2"/>
  <c r="AF303" i="2"/>
  <c r="AF304" i="2"/>
  <c r="AF305" i="2"/>
  <c r="AF306" i="2"/>
  <c r="AF307" i="2"/>
  <c r="AF308" i="2"/>
  <c r="AF309" i="2"/>
  <c r="AF310" i="2"/>
  <c r="AF311" i="2"/>
  <c r="AF312" i="2"/>
  <c r="AF313" i="2"/>
  <c r="AF314" i="2"/>
  <c r="AF315" i="2"/>
  <c r="AF316" i="2"/>
  <c r="AF317" i="2"/>
  <c r="AF318" i="2"/>
  <c r="AF319" i="2"/>
  <c r="AF320" i="2"/>
  <c r="AF321" i="2"/>
  <c r="AF322" i="2"/>
  <c r="AF323" i="2"/>
  <c r="AF324" i="2"/>
  <c r="AF325" i="2"/>
  <c r="AF326" i="2"/>
  <c r="AF327" i="2"/>
  <c r="AF328" i="2"/>
  <c r="AF329" i="2"/>
  <c r="AF330" i="2"/>
  <c r="AF331" i="2"/>
  <c r="AF332" i="2"/>
  <c r="AF333" i="2"/>
  <c r="AF334" i="2"/>
  <c r="AF335" i="2"/>
  <c r="AF336" i="2"/>
  <c r="AF337" i="2"/>
  <c r="AF338" i="2"/>
  <c r="AF339" i="2"/>
  <c r="AF340" i="2"/>
  <c r="AF341" i="2"/>
  <c r="AF342" i="2"/>
  <c r="AF343" i="2"/>
  <c r="AF344" i="2"/>
  <c r="AF345" i="2"/>
  <c r="AF346" i="2"/>
  <c r="AF347" i="2"/>
  <c r="AF348" i="2"/>
  <c r="AF349" i="2"/>
  <c r="AF350" i="2"/>
  <c r="AF351" i="2"/>
  <c r="AF352" i="2"/>
  <c r="AF353" i="2"/>
  <c r="AF354" i="2"/>
  <c r="AF355" i="2"/>
  <c r="AF356" i="2"/>
  <c r="AF357" i="2"/>
  <c r="AF358" i="2"/>
  <c r="AF359" i="2"/>
  <c r="AF360" i="2"/>
  <c r="AF361" i="2"/>
  <c r="AF362" i="2"/>
  <c r="AF363" i="2"/>
  <c r="AF364" i="2"/>
  <c r="AF365" i="2"/>
  <c r="AF366" i="2"/>
  <c r="AF367" i="2"/>
  <c r="AF368" i="2"/>
  <c r="AF369" i="2"/>
  <c r="AF370" i="2"/>
  <c r="AF371" i="2"/>
  <c r="AF372" i="2"/>
  <c r="AF373" i="2"/>
  <c r="AF374" i="2"/>
  <c r="AF375" i="2"/>
  <c r="AF376" i="2"/>
  <c r="AF377" i="2"/>
  <c r="AF378" i="2"/>
  <c r="AF379" i="2"/>
  <c r="AF380" i="2"/>
  <c r="AF381" i="2"/>
  <c r="AF382" i="2"/>
  <c r="AF383" i="2"/>
  <c r="AF384" i="2"/>
  <c r="AF385" i="2"/>
  <c r="AF386" i="2"/>
  <c r="AF387" i="2"/>
  <c r="AF388" i="2"/>
  <c r="AF389" i="2"/>
  <c r="AF390" i="2"/>
  <c r="AF391" i="2"/>
  <c r="AF392" i="2"/>
  <c r="AF393" i="2"/>
  <c r="AF394" i="2"/>
  <c r="AF395" i="2"/>
  <c r="AF396" i="2"/>
  <c r="AF397" i="2"/>
  <c r="AF398" i="2"/>
  <c r="AF399" i="2"/>
  <c r="AF400" i="2"/>
  <c r="AF401" i="2"/>
  <c r="AF402" i="2"/>
  <c r="AF403" i="2"/>
  <c r="AF404" i="2"/>
  <c r="AF405" i="2"/>
  <c r="AF406" i="2"/>
  <c r="AF407" i="2"/>
  <c r="AF408" i="2"/>
  <c r="AF409" i="2"/>
  <c r="AF410" i="2"/>
  <c r="AF411" i="2"/>
  <c r="AF412" i="2"/>
  <c r="AF413" i="2"/>
  <c r="AF414" i="2"/>
  <c r="AF415" i="2"/>
  <c r="AF416" i="2"/>
  <c r="AF417" i="2"/>
  <c r="AF418" i="2"/>
  <c r="AF419" i="2"/>
  <c r="AF420" i="2"/>
  <c r="AF421" i="2"/>
  <c r="AF422" i="2"/>
  <c r="AF423" i="2"/>
  <c r="AF424" i="2"/>
  <c r="AF425" i="2"/>
  <c r="AF426" i="2"/>
  <c r="AF427" i="2"/>
  <c r="AF428" i="2"/>
  <c r="AF429" i="2"/>
  <c r="AF430" i="2"/>
  <c r="AF431" i="2"/>
  <c r="AF432" i="2"/>
  <c r="AF433" i="2"/>
  <c r="AF434" i="2"/>
  <c r="AF435" i="2"/>
  <c r="AF436" i="2"/>
  <c r="AF437" i="2"/>
  <c r="AF438" i="2"/>
  <c r="AF439" i="2"/>
  <c r="AF440" i="2"/>
  <c r="AF441" i="2"/>
  <c r="AF442" i="2"/>
  <c r="AF443" i="2"/>
  <c r="AF444" i="2"/>
  <c r="AF445" i="2"/>
  <c r="AF446" i="2"/>
  <c r="AF447" i="2"/>
  <c r="AF448" i="2"/>
  <c r="AF449" i="2"/>
  <c r="AF450" i="2"/>
  <c r="AF451" i="2"/>
  <c r="AF452" i="2"/>
  <c r="AF453" i="2"/>
  <c r="AF454" i="2"/>
  <c r="AF455" i="2"/>
  <c r="AF456" i="2"/>
  <c r="AF457" i="2"/>
  <c r="AF458" i="2"/>
  <c r="AF459" i="2"/>
  <c r="AF460" i="2"/>
  <c r="AF461" i="2"/>
  <c r="AF462" i="2"/>
  <c r="AF463" i="2"/>
  <c r="AF464" i="2"/>
  <c r="AF465" i="2"/>
  <c r="AF466" i="2"/>
  <c r="AF467" i="2"/>
  <c r="AF468" i="2"/>
  <c r="AF469" i="2"/>
  <c r="AF470" i="2"/>
  <c r="AF471" i="2"/>
  <c r="AF472" i="2"/>
  <c r="AF473" i="2"/>
  <c r="AF474" i="2"/>
  <c r="AF475" i="2"/>
  <c r="AF476" i="2"/>
  <c r="AF477" i="2"/>
  <c r="AF478" i="2"/>
  <c r="AF479" i="2"/>
  <c r="AF480" i="2"/>
  <c r="AF481" i="2"/>
  <c r="AF482" i="2"/>
  <c r="AF483" i="2"/>
  <c r="AF484" i="2"/>
  <c r="AF485" i="2"/>
  <c r="AF486" i="2"/>
  <c r="AF487" i="2"/>
  <c r="AF488" i="2"/>
  <c r="AF489" i="2"/>
  <c r="AF490" i="2"/>
  <c r="AF491" i="2"/>
  <c r="AF492" i="2"/>
  <c r="AF493" i="2"/>
  <c r="AF494" i="2"/>
  <c r="AF495" i="2"/>
  <c r="AF496" i="2"/>
  <c r="AF497" i="2"/>
  <c r="AF498" i="2"/>
  <c r="AF499" i="2"/>
  <c r="AF500" i="2"/>
  <c r="AF501" i="2"/>
  <c r="AF502" i="2"/>
  <c r="AF503" i="2"/>
  <c r="AF504" i="2"/>
  <c r="AF505" i="2"/>
  <c r="AF506" i="2"/>
  <c r="AF507" i="2"/>
  <c r="AF508" i="2"/>
  <c r="AF509" i="2"/>
  <c r="AF510" i="2"/>
  <c r="AF511" i="2"/>
  <c r="AF512" i="2"/>
  <c r="AF513" i="2"/>
  <c r="AF514" i="2"/>
  <c r="AF515" i="2"/>
  <c r="AF516" i="2"/>
  <c r="AF517" i="2"/>
  <c r="AF518" i="2"/>
  <c r="AF519" i="2"/>
  <c r="AF520" i="2"/>
  <c r="AF521" i="2"/>
  <c r="AF522" i="2"/>
  <c r="AF523" i="2"/>
  <c r="AF524" i="2"/>
  <c r="AF525" i="2"/>
  <c r="AF526" i="2"/>
  <c r="AF527" i="2"/>
  <c r="AF528" i="2"/>
  <c r="AF529" i="2"/>
  <c r="AF530" i="2"/>
  <c r="AF531" i="2"/>
  <c r="AF532" i="2"/>
  <c r="AF533" i="2"/>
  <c r="AF534" i="2"/>
  <c r="AF535" i="2"/>
  <c r="AF536" i="2"/>
  <c r="AF537" i="2"/>
  <c r="AF538" i="2"/>
  <c r="AF539" i="2"/>
  <c r="AF540" i="2"/>
  <c r="AF541" i="2"/>
  <c r="AF542" i="2"/>
  <c r="AF543" i="2"/>
  <c r="AF544" i="2"/>
  <c r="AF545" i="2"/>
  <c r="AF546" i="2"/>
  <c r="AF547" i="2"/>
  <c r="AF548" i="2"/>
  <c r="AF549" i="2"/>
  <c r="AF550" i="2"/>
  <c r="AF551" i="2"/>
  <c r="AF552" i="2"/>
  <c r="AF553" i="2"/>
  <c r="AF554" i="2"/>
  <c r="AF555" i="2"/>
  <c r="AF556" i="2"/>
  <c r="AF557" i="2"/>
  <c r="AF558" i="2"/>
  <c r="AF559" i="2"/>
  <c r="AF560" i="2"/>
  <c r="AF561" i="2"/>
  <c r="AF562" i="2"/>
  <c r="AF563" i="2"/>
  <c r="AF564" i="2"/>
  <c r="AF565" i="2"/>
  <c r="AF566" i="2"/>
  <c r="AF567" i="2"/>
  <c r="AF568" i="2"/>
  <c r="AF569" i="2"/>
  <c r="AF570" i="2"/>
  <c r="AF571" i="2"/>
  <c r="AF572" i="2"/>
  <c r="AF573" i="2"/>
  <c r="AF574" i="2"/>
  <c r="AF575" i="2"/>
  <c r="AF576" i="2"/>
  <c r="AF577" i="2"/>
  <c r="AF578" i="2"/>
  <c r="AF579" i="2"/>
  <c r="AF580" i="2"/>
  <c r="AF581" i="2"/>
  <c r="AF582" i="2" s="1"/>
  <c r="AF583" i="2" s="1"/>
  <c r="AF584" i="2" s="1"/>
  <c r="AF585" i="2" s="1"/>
  <c r="AF586" i="2" s="1"/>
  <c r="AF587" i="2" s="1"/>
  <c r="AF588" i="2" s="1"/>
  <c r="AF589" i="2" s="1"/>
  <c r="AF590" i="2" s="1"/>
  <c r="AF591" i="2" s="1"/>
  <c r="AF592" i="2" s="1"/>
  <c r="AF593" i="2" s="1"/>
  <c r="AF594" i="2" s="1"/>
  <c r="AF595" i="2" s="1"/>
  <c r="AF596" i="2" s="1"/>
  <c r="AF597" i="2" s="1"/>
  <c r="AF598" i="2" s="1"/>
  <c r="AF599" i="2" s="1"/>
  <c r="AF600" i="2" s="1"/>
  <c r="AF601" i="2" s="1"/>
  <c r="AF602" i="2" s="1"/>
  <c r="AF603" i="2" s="1"/>
  <c r="AF604" i="2" s="1"/>
  <c r="AF605" i="2" s="1"/>
  <c r="AF606" i="2" s="1"/>
  <c r="AF607" i="2" s="1"/>
  <c r="AF608" i="2" s="1"/>
  <c r="AF609" i="2" s="1"/>
  <c r="AF610" i="2" s="1"/>
  <c r="AF611" i="2" s="1"/>
  <c r="AF612" i="2" s="1"/>
  <c r="AF613" i="2" s="1"/>
  <c r="AF614" i="2" s="1"/>
  <c r="AF615" i="2" s="1"/>
  <c r="AF616" i="2" s="1"/>
  <c r="AF617" i="2" s="1"/>
  <c r="AF618" i="2" s="1"/>
  <c r="AF619" i="2" s="1"/>
  <c r="AF620" i="2" s="1"/>
  <c r="AF621" i="2" s="1"/>
  <c r="AF622" i="2" s="1"/>
  <c r="AF623" i="2" s="1"/>
  <c r="AF624" i="2" s="1"/>
  <c r="AF625" i="2" s="1"/>
  <c r="AF626" i="2" s="1"/>
  <c r="AF627" i="2" s="1"/>
  <c r="AF628" i="2" s="1"/>
  <c r="AF629" i="2" s="1"/>
  <c r="AF630" i="2" s="1"/>
  <c r="AF631" i="2" s="1"/>
  <c r="AF632" i="2" s="1"/>
  <c r="AF633" i="2" s="1"/>
  <c r="AF634" i="2" s="1"/>
  <c r="AF635" i="2" s="1"/>
  <c r="AF636" i="2" s="1"/>
  <c r="AF637" i="2" s="1"/>
  <c r="AF638" i="2" s="1"/>
  <c r="AF639" i="2" s="1"/>
  <c r="AF640" i="2" s="1"/>
  <c r="AF641" i="2" s="1"/>
  <c r="AF642" i="2" s="1"/>
  <c r="AF643" i="2" s="1"/>
  <c r="AF644" i="2" s="1"/>
  <c r="AF645" i="2" s="1"/>
  <c r="AF646" i="2" s="1"/>
  <c r="AF647" i="2" s="1"/>
  <c r="AF648" i="2" s="1"/>
  <c r="AF649" i="2" s="1"/>
  <c r="AF650" i="2" s="1"/>
  <c r="AF651" i="2" s="1"/>
  <c r="AF652" i="2" s="1"/>
  <c r="AF653" i="2" s="1"/>
  <c r="AF654" i="2" s="1"/>
  <c r="AF655" i="2" s="1"/>
  <c r="AF656" i="2" s="1"/>
  <c r="AF657" i="2" s="1"/>
  <c r="AF658" i="2" s="1"/>
  <c r="AF659" i="2" s="1"/>
  <c r="AF660" i="2" s="1"/>
  <c r="AF661" i="2" s="1"/>
  <c r="AF662" i="2" s="1"/>
  <c r="AF663" i="2" s="1"/>
  <c r="AF664" i="2" s="1"/>
  <c r="AF665" i="2" s="1"/>
  <c r="AF666" i="2" s="1"/>
  <c r="AF667" i="2" s="1"/>
  <c r="AF668" i="2" s="1"/>
  <c r="AF669" i="2" s="1"/>
  <c r="AF670" i="2" s="1"/>
  <c r="AF671" i="2" s="1"/>
  <c r="AF672" i="2" s="1"/>
  <c r="AF673" i="2" s="1"/>
  <c r="AF674" i="2" s="1"/>
  <c r="AF675" i="2" s="1"/>
  <c r="AF676" i="2" s="1"/>
  <c r="AF677" i="2" s="1"/>
  <c r="AF678" i="2" s="1"/>
  <c r="AF679" i="2" s="1"/>
  <c r="AF680" i="2" s="1"/>
  <c r="AF681" i="2" s="1"/>
  <c r="AF682" i="2" s="1"/>
  <c r="AF683" i="2" s="1"/>
  <c r="AF684" i="2" s="1"/>
  <c r="AF685" i="2" s="1"/>
  <c r="AF686" i="2" s="1"/>
  <c r="AF687" i="2" s="1"/>
  <c r="AF688" i="2" s="1"/>
  <c r="AF689" i="2" s="1"/>
  <c r="AF690" i="2" s="1"/>
  <c r="AF691" i="2" s="1"/>
  <c r="AF692" i="2" s="1"/>
  <c r="AF693" i="2" s="1"/>
  <c r="AF694" i="2" s="1"/>
  <c r="AF695" i="2" s="1"/>
  <c r="AF696" i="2" s="1"/>
  <c r="AF697" i="2" s="1"/>
  <c r="AF698" i="2" s="1"/>
  <c r="AF699" i="2" s="1"/>
  <c r="AF700" i="2" s="1"/>
  <c r="AF701" i="2" s="1"/>
  <c r="AF702" i="2" s="1"/>
  <c r="AF703" i="2" s="1"/>
  <c r="AF704" i="2" s="1"/>
  <c r="AF705" i="2" s="1"/>
  <c r="AF706" i="2" s="1"/>
  <c r="AF707" i="2" s="1"/>
  <c r="AF708" i="2" s="1"/>
  <c r="AF709" i="2" s="1"/>
  <c r="AF710" i="2" s="1"/>
  <c r="AF711" i="2" s="1"/>
  <c r="AF712" i="2" s="1"/>
  <c r="AF713" i="2" s="1"/>
  <c r="AF714" i="2" s="1"/>
  <c r="AF715" i="2" s="1"/>
  <c r="AF716" i="2" s="1"/>
  <c r="AF717" i="2" s="1"/>
  <c r="AF718" i="2" s="1"/>
  <c r="AF719" i="2" s="1"/>
  <c r="AF720" i="2" s="1"/>
  <c r="AF721" i="2" s="1"/>
  <c r="AF722" i="2" s="1"/>
  <c r="AF723" i="2" s="1"/>
  <c r="AF724" i="2" s="1"/>
  <c r="AF725" i="2" s="1"/>
  <c r="AF726" i="2" s="1"/>
  <c r="AF727" i="2" s="1"/>
  <c r="AF728" i="2" s="1"/>
  <c r="AF729" i="2" s="1"/>
  <c r="AF730" i="2" s="1"/>
  <c r="AF731" i="2" s="1"/>
  <c r="AF732" i="2" s="1"/>
  <c r="F503" i="10" l="1"/>
  <c r="G503" i="10"/>
  <c r="F504" i="10"/>
  <c r="G504" i="10"/>
  <c r="F505" i="10"/>
  <c r="G505" i="10"/>
  <c r="F506" i="10"/>
  <c r="G506" i="10"/>
  <c r="F507" i="10"/>
  <c r="G507" i="10"/>
  <c r="F508" i="10"/>
  <c r="G508" i="10"/>
  <c r="F509" i="10"/>
  <c r="G509" i="10"/>
  <c r="F510" i="10"/>
  <c r="G510" i="10"/>
  <c r="F511" i="10"/>
  <c r="G511" i="10"/>
  <c r="F512" i="10"/>
  <c r="G512" i="10"/>
  <c r="F513" i="10"/>
  <c r="G513" i="10"/>
  <c r="F514" i="10"/>
  <c r="G514" i="10"/>
  <c r="F515" i="10"/>
  <c r="G515" i="10"/>
  <c r="F516" i="10"/>
  <c r="G516" i="10"/>
  <c r="F517" i="10"/>
  <c r="G517" i="10"/>
  <c r="F518" i="10"/>
  <c r="G518" i="10"/>
  <c r="F519" i="10"/>
  <c r="G519" i="10"/>
  <c r="F520" i="10"/>
  <c r="G520" i="10"/>
  <c r="F521" i="10"/>
  <c r="G521" i="10"/>
  <c r="F522" i="10"/>
  <c r="G522" i="10"/>
  <c r="F523" i="10"/>
  <c r="G523" i="10"/>
  <c r="F524" i="10"/>
  <c r="G524" i="10"/>
  <c r="F525" i="10"/>
  <c r="G525" i="10"/>
  <c r="F526" i="10"/>
  <c r="G526" i="10"/>
  <c r="F527" i="10"/>
  <c r="G527" i="10"/>
  <c r="F528" i="10"/>
  <c r="G528" i="10"/>
  <c r="F529" i="10"/>
  <c r="G529" i="10"/>
  <c r="F530" i="10"/>
  <c r="G530" i="10"/>
  <c r="F531" i="10"/>
  <c r="G531" i="10"/>
  <c r="F532" i="10"/>
  <c r="G532" i="10"/>
  <c r="F533" i="10"/>
  <c r="G533" i="10"/>
  <c r="F534" i="10"/>
  <c r="G534" i="10"/>
  <c r="F535" i="10"/>
  <c r="G535" i="10"/>
  <c r="F536" i="10"/>
  <c r="G536" i="10"/>
  <c r="F537" i="10"/>
  <c r="G537" i="10"/>
  <c r="F538" i="10"/>
  <c r="G538" i="10"/>
  <c r="F539" i="10"/>
  <c r="G539" i="10"/>
  <c r="F540" i="10"/>
  <c r="G540" i="10"/>
  <c r="F541" i="10"/>
  <c r="G541" i="10"/>
  <c r="F542" i="10"/>
  <c r="G542" i="10"/>
  <c r="F543" i="10"/>
  <c r="G543" i="10"/>
  <c r="F544" i="10"/>
  <c r="G544" i="10"/>
  <c r="F545" i="10"/>
  <c r="G545" i="10"/>
  <c r="F546" i="10"/>
  <c r="G546" i="10"/>
  <c r="F547" i="10"/>
  <c r="G547" i="10"/>
  <c r="F548" i="10"/>
  <c r="G548" i="10"/>
  <c r="F549" i="10"/>
  <c r="G549" i="10"/>
  <c r="F550" i="10"/>
  <c r="G550" i="10"/>
  <c r="F551" i="10"/>
  <c r="G551" i="10"/>
  <c r="F552" i="10"/>
  <c r="G552" i="10"/>
  <c r="F553" i="10"/>
  <c r="G553" i="10"/>
  <c r="F554" i="10"/>
  <c r="G554" i="10"/>
  <c r="F555" i="10"/>
  <c r="G555" i="10"/>
  <c r="F556" i="10"/>
  <c r="G556" i="10"/>
  <c r="F557" i="10"/>
  <c r="G557" i="10"/>
  <c r="F558" i="10"/>
  <c r="G558" i="10"/>
  <c r="F559" i="10"/>
  <c r="G559" i="10"/>
  <c r="F560" i="10"/>
  <c r="G560" i="10"/>
  <c r="F561" i="10"/>
  <c r="G561" i="10"/>
  <c r="F562" i="10"/>
  <c r="G562" i="10"/>
  <c r="F563" i="10"/>
  <c r="G563" i="10"/>
  <c r="F564" i="10"/>
  <c r="G564" i="10"/>
  <c r="F565" i="10"/>
  <c r="G565" i="10"/>
  <c r="F566" i="10"/>
  <c r="G566" i="10"/>
  <c r="F567" i="10"/>
  <c r="G567" i="10"/>
  <c r="F568" i="10"/>
  <c r="G568" i="10"/>
  <c r="F569" i="10"/>
  <c r="G569" i="10"/>
  <c r="F570" i="10"/>
  <c r="G570" i="10"/>
  <c r="F571" i="10"/>
  <c r="G571" i="10"/>
  <c r="F572" i="10"/>
  <c r="G572" i="10"/>
  <c r="F573" i="10"/>
  <c r="G573" i="10"/>
  <c r="F574" i="10"/>
  <c r="G574" i="10"/>
  <c r="F575" i="10"/>
  <c r="G575" i="10"/>
  <c r="F576" i="10"/>
  <c r="G576" i="10"/>
  <c r="F577" i="10"/>
  <c r="G577" i="10"/>
  <c r="F578" i="10"/>
  <c r="G578" i="10"/>
  <c r="F579" i="10"/>
  <c r="G579" i="10"/>
  <c r="F580" i="10"/>
  <c r="G580" i="10"/>
  <c r="F581" i="10"/>
  <c r="G581" i="10"/>
  <c r="A414" i="9" l="1"/>
  <c r="A415" i="9" s="1"/>
  <c r="A416" i="9" s="1"/>
  <c r="A417" i="9" s="1"/>
  <c r="A418" i="9" s="1"/>
  <c r="A419" i="9" s="1"/>
  <c r="A420" i="9" s="1"/>
  <c r="A421" i="9" s="1"/>
  <c r="A422" i="9" s="1"/>
  <c r="A423" i="9" s="1"/>
  <c r="A424" i="9" s="1"/>
  <c r="A425" i="9" s="1"/>
  <c r="A426" i="9" s="1"/>
  <c r="A427" i="9" s="1"/>
  <c r="A428" i="9" s="1"/>
  <c r="A429" i="9" s="1"/>
  <c r="A430" i="9" s="1"/>
  <c r="A431" i="9" s="1"/>
  <c r="A432" i="9" s="1"/>
  <c r="A433" i="9" s="1"/>
  <c r="A434" i="9" s="1"/>
  <c r="A435" i="9" s="1"/>
  <c r="A436" i="9" s="1"/>
  <c r="A437" i="9" s="1"/>
  <c r="A438" i="9" s="1"/>
  <c r="A439" i="9" s="1"/>
  <c r="A440" i="9" s="1"/>
  <c r="A441" i="9" s="1"/>
  <c r="A442" i="9" s="1"/>
  <c r="A443" i="9" s="1"/>
  <c r="A444" i="9" s="1"/>
  <c r="A445" i="9" s="1"/>
  <c r="A446" i="9" s="1"/>
  <c r="A447" i="9" s="1"/>
  <c r="A448" i="9" s="1"/>
  <c r="A449" i="9" s="1"/>
  <c r="A450" i="9" s="1"/>
  <c r="A451" i="9" s="1"/>
  <c r="A452" i="9" s="1"/>
  <c r="A453" i="9" s="1"/>
  <c r="A454" i="9" s="1"/>
  <c r="A455" i="9" s="1"/>
  <c r="A456" i="9" s="1"/>
  <c r="A457" i="9" s="1"/>
  <c r="A458" i="9" s="1"/>
  <c r="A459" i="9" s="1"/>
  <c r="A460" i="9" s="1"/>
  <c r="A461" i="9" s="1"/>
  <c r="A462" i="9" s="1"/>
  <c r="A463" i="9" s="1"/>
  <c r="A464" i="9" s="1"/>
  <c r="A465" i="9" s="1"/>
  <c r="A466" i="9" s="1"/>
  <c r="A467" i="9" s="1"/>
  <c r="A468" i="9" s="1"/>
  <c r="A469" i="9" s="1"/>
  <c r="A470" i="9" s="1"/>
  <c r="A471" i="9" s="1"/>
  <c r="A472" i="9" s="1"/>
  <c r="A473" i="9" s="1"/>
  <c r="A474" i="9" s="1"/>
  <c r="A475" i="9" s="1"/>
  <c r="A476" i="9" s="1"/>
  <c r="A477" i="9" s="1"/>
  <c r="A478" i="9" s="1"/>
  <c r="A479" i="9" s="1"/>
  <c r="A480" i="9" s="1"/>
  <c r="A481" i="9" s="1"/>
  <c r="A482" i="9" s="1"/>
  <c r="A483" i="9" s="1"/>
  <c r="A484" i="9" s="1"/>
  <c r="A485" i="9" s="1"/>
  <c r="A486" i="9" s="1"/>
  <c r="A487" i="9" s="1"/>
  <c r="A488" i="9" s="1"/>
  <c r="A489" i="9" s="1"/>
  <c r="A490" i="9" s="1"/>
  <c r="A491" i="9" s="1"/>
  <c r="A492" i="9" s="1"/>
  <c r="A493" i="9" s="1"/>
  <c r="A494" i="9" s="1"/>
  <c r="A495" i="9" s="1"/>
  <c r="A496" i="9" s="1"/>
  <c r="A497" i="9" s="1"/>
  <c r="A498" i="9" s="1"/>
  <c r="A499" i="9" s="1"/>
  <c r="A500" i="9" s="1"/>
  <c r="A501" i="9" s="1"/>
  <c r="A502" i="9" s="1"/>
  <c r="A503" i="9" s="1"/>
  <c r="A504" i="9" s="1"/>
  <c r="A505" i="9" s="1"/>
  <c r="A506" i="9" s="1"/>
  <c r="A507" i="9" s="1"/>
  <c r="A508" i="9" s="1"/>
  <c r="A509" i="9" s="1"/>
  <c r="A510" i="9" s="1"/>
  <c r="A511" i="9" s="1"/>
  <c r="A512" i="9" s="1"/>
  <c r="A513" i="9" s="1"/>
  <c r="A514" i="9" s="1"/>
  <c r="A515" i="9" s="1"/>
  <c r="A516" i="9" s="1"/>
  <c r="A517" i="9" s="1"/>
  <c r="A518" i="9" s="1"/>
  <c r="A519" i="9" s="1"/>
  <c r="A520" i="9" s="1"/>
  <c r="A521" i="9" s="1"/>
  <c r="A522" i="9" s="1"/>
  <c r="A523" i="9" s="1"/>
  <c r="A524" i="9" s="1"/>
  <c r="A525" i="9" s="1"/>
  <c r="A526" i="9" s="1"/>
  <c r="A527" i="9" s="1"/>
  <c r="A528" i="9" s="1"/>
  <c r="A529" i="9" s="1"/>
  <c r="A530" i="9" s="1"/>
  <c r="A531" i="9" s="1"/>
  <c r="A532" i="9" s="1"/>
  <c r="A533" i="9" s="1"/>
  <c r="A534" i="9" s="1"/>
  <c r="A535" i="9" s="1"/>
  <c r="A536" i="9" s="1"/>
  <c r="A537" i="9" s="1"/>
  <c r="A538" i="9" s="1"/>
  <c r="A539" i="9" s="1"/>
  <c r="A540" i="9" s="1"/>
  <c r="A541" i="9" s="1"/>
  <c r="A542" i="9" s="1"/>
  <c r="A543" i="9" s="1"/>
  <c r="A544" i="9" s="1"/>
  <c r="A545" i="9" s="1"/>
  <c r="A546" i="9" s="1"/>
  <c r="A547" i="9" s="1"/>
  <c r="A548" i="9" s="1"/>
  <c r="A549" i="9" s="1"/>
  <c r="A550" i="9" s="1"/>
  <c r="A551" i="9" s="1"/>
  <c r="A552" i="9" s="1"/>
  <c r="A553" i="9" s="1"/>
  <c r="A554" i="9" s="1"/>
  <c r="A555" i="9" s="1"/>
  <c r="A556" i="9" s="1"/>
  <c r="A557" i="9" s="1"/>
  <c r="A558" i="9" s="1"/>
  <c r="A559" i="9" s="1"/>
  <c r="A560" i="9" s="1"/>
  <c r="A561" i="9" s="1"/>
  <c r="A562" i="9" s="1"/>
  <c r="A563" i="9" s="1"/>
  <c r="A564" i="9" s="1"/>
  <c r="A565" i="9" s="1"/>
  <c r="A566" i="9" s="1"/>
  <c r="A567" i="9" s="1"/>
  <c r="A568" i="9" s="1"/>
  <c r="A569" i="9" s="1"/>
  <c r="A570" i="9" s="1"/>
  <c r="A571" i="9" s="1"/>
  <c r="A572" i="9" s="1"/>
  <c r="A573" i="9" s="1"/>
  <c r="A574" i="9" s="1"/>
  <c r="A575" i="9" s="1"/>
  <c r="A576" i="9" s="1"/>
  <c r="A577" i="9" s="1"/>
  <c r="A578" i="9" s="1"/>
  <c r="A579" i="9" s="1"/>
  <c r="A580" i="9" s="1"/>
  <c r="A581" i="9" s="1"/>
  <c r="A582" i="9" s="1"/>
  <c r="A583" i="9" s="1"/>
  <c r="A584" i="9" s="1"/>
  <c r="A585" i="9" s="1"/>
  <c r="A586" i="9" s="1"/>
  <c r="A587" i="9" s="1"/>
  <c r="A588" i="9" s="1"/>
  <c r="A589" i="9" s="1"/>
  <c r="A590" i="9" s="1"/>
  <c r="A591" i="9" s="1"/>
  <c r="A592" i="9" s="1"/>
  <c r="A593" i="9" s="1"/>
  <c r="A594" i="9" s="1"/>
  <c r="A595" i="9" s="1"/>
  <c r="A596" i="9" s="1"/>
  <c r="A597" i="9" s="1"/>
  <c r="A598" i="9" s="1"/>
  <c r="A599" i="9" s="1"/>
  <c r="A600" i="9" s="1"/>
  <c r="A601" i="9" s="1"/>
  <c r="A602" i="9" s="1"/>
  <c r="A603" i="9" s="1"/>
  <c r="A604" i="9" s="1"/>
  <c r="A605" i="9" s="1"/>
  <c r="A606" i="9" s="1"/>
  <c r="A607" i="9" s="1"/>
  <c r="A608" i="9" s="1"/>
  <c r="A609" i="9" s="1"/>
  <c r="A610" i="9" s="1"/>
  <c r="A611" i="9" s="1"/>
  <c r="A612" i="9" s="1"/>
  <c r="A613" i="9" s="1"/>
  <c r="A614" i="9" s="1"/>
  <c r="A615" i="9" s="1"/>
  <c r="A616" i="9" s="1"/>
  <c r="A617" i="9" s="1"/>
  <c r="A618" i="9" s="1"/>
  <c r="A619" i="9" s="1"/>
  <c r="A620" i="9" s="1"/>
  <c r="A621" i="9" s="1"/>
  <c r="A622" i="9" s="1"/>
  <c r="A623" i="9" s="1"/>
  <c r="A624" i="9" s="1"/>
  <c r="A625" i="9" s="1"/>
  <c r="A626" i="9" s="1"/>
  <c r="A627" i="9" s="1"/>
  <c r="A628" i="9" s="1"/>
  <c r="A629" i="9" s="1"/>
  <c r="A630" i="9" s="1"/>
  <c r="A631" i="9" s="1"/>
  <c r="A632" i="9" s="1"/>
  <c r="A633" i="9" s="1"/>
  <c r="A634" i="9" s="1"/>
  <c r="A635" i="9" s="1"/>
  <c r="A636" i="9" s="1"/>
  <c r="A637" i="9" s="1"/>
  <c r="A638" i="9" s="1"/>
  <c r="A639" i="9" s="1"/>
  <c r="A640" i="9" s="1"/>
  <c r="A641" i="9" s="1"/>
  <c r="A642" i="9" s="1"/>
  <c r="A643" i="9" s="1"/>
  <c r="A644" i="9" s="1"/>
  <c r="A645" i="9" s="1"/>
  <c r="A646" i="9" s="1"/>
  <c r="A647" i="9" s="1"/>
  <c r="A648" i="9" s="1"/>
  <c r="A649" i="9" s="1"/>
  <c r="A650" i="9" s="1"/>
  <c r="A651" i="9" s="1"/>
  <c r="A652" i="9" s="1"/>
  <c r="A653" i="9" s="1"/>
  <c r="A654" i="9" s="1"/>
  <c r="A655" i="9" s="1"/>
  <c r="A656" i="9" s="1"/>
  <c r="B503" i="10"/>
  <c r="C503" i="10"/>
  <c r="AI503" i="10" s="1"/>
  <c r="D503" i="10"/>
  <c r="E503" i="10"/>
  <c r="AK503" i="10" s="1"/>
  <c r="B504" i="10"/>
  <c r="AH504" i="10" s="1"/>
  <c r="C504" i="10"/>
  <c r="AI504" i="10" s="1"/>
  <c r="D504" i="10"/>
  <c r="E504" i="10"/>
  <c r="AK504" i="10" s="1"/>
  <c r="B505" i="10"/>
  <c r="C505" i="10"/>
  <c r="AI505" i="10" s="1"/>
  <c r="D505" i="10"/>
  <c r="E505" i="10"/>
  <c r="AK505" i="10" s="1"/>
  <c r="B506" i="10"/>
  <c r="C506" i="10"/>
  <c r="AI506" i="10" s="1"/>
  <c r="D506" i="10"/>
  <c r="AJ506" i="10" s="1"/>
  <c r="E506" i="10"/>
  <c r="AK506" i="10" s="1"/>
  <c r="B507" i="10"/>
  <c r="AH507" i="10" s="1"/>
  <c r="C507" i="10"/>
  <c r="AI507" i="10" s="1"/>
  <c r="D507" i="10"/>
  <c r="E507" i="10"/>
  <c r="AK507" i="10" s="1"/>
  <c r="B508" i="10"/>
  <c r="C508" i="10"/>
  <c r="AI508" i="10" s="1"/>
  <c r="D508" i="10"/>
  <c r="E508" i="10"/>
  <c r="AK508" i="10" s="1"/>
  <c r="B509" i="10"/>
  <c r="AH509" i="10" s="1"/>
  <c r="C509" i="10"/>
  <c r="AI509" i="10" s="1"/>
  <c r="D509" i="10"/>
  <c r="E509" i="10"/>
  <c r="AK509" i="10" s="1"/>
  <c r="B510" i="10"/>
  <c r="C510" i="10"/>
  <c r="AI510" i="10" s="1"/>
  <c r="D510" i="10"/>
  <c r="E510" i="10"/>
  <c r="AK510" i="10" s="1"/>
  <c r="B511" i="10"/>
  <c r="C511" i="10"/>
  <c r="AI511" i="10" s="1"/>
  <c r="D511" i="10"/>
  <c r="E511" i="10"/>
  <c r="AK511" i="10" s="1"/>
  <c r="B512" i="10"/>
  <c r="AH512" i="10" s="1"/>
  <c r="C512" i="10"/>
  <c r="AI512" i="10" s="1"/>
  <c r="D512" i="10"/>
  <c r="E512" i="10"/>
  <c r="AK512" i="10" s="1"/>
  <c r="B513" i="10"/>
  <c r="C513" i="10"/>
  <c r="AI513" i="10" s="1"/>
  <c r="D513" i="10"/>
  <c r="E513" i="10"/>
  <c r="AK513" i="10" s="1"/>
  <c r="B514" i="10"/>
  <c r="AH514" i="10" s="1"/>
  <c r="C514" i="10"/>
  <c r="AI514" i="10" s="1"/>
  <c r="D514" i="10"/>
  <c r="E514" i="10"/>
  <c r="AK514" i="10" s="1"/>
  <c r="B515" i="10"/>
  <c r="C515" i="10"/>
  <c r="AI515" i="10" s="1"/>
  <c r="D515" i="10"/>
  <c r="AJ515" i="10" s="1"/>
  <c r="E515" i="10"/>
  <c r="AK515" i="10" s="1"/>
  <c r="B516" i="10"/>
  <c r="AH516" i="10" s="1"/>
  <c r="C516" i="10"/>
  <c r="AI516" i="10" s="1"/>
  <c r="D516" i="10"/>
  <c r="E516" i="10"/>
  <c r="AK516" i="10" s="1"/>
  <c r="B517" i="10"/>
  <c r="C517" i="10"/>
  <c r="AI517" i="10" s="1"/>
  <c r="D517" i="10"/>
  <c r="AJ517" i="10" s="1"/>
  <c r="E517" i="10"/>
  <c r="AK517" i="10" s="1"/>
  <c r="B518" i="10"/>
  <c r="C518" i="10"/>
  <c r="AI518" i="10" s="1"/>
  <c r="D518" i="10"/>
  <c r="E518" i="10"/>
  <c r="AK518" i="10" s="1"/>
  <c r="B519" i="10"/>
  <c r="C519" i="10"/>
  <c r="AI519" i="10" s="1"/>
  <c r="D519" i="10"/>
  <c r="E519" i="10"/>
  <c r="AK519" i="10" s="1"/>
  <c r="B520" i="10"/>
  <c r="C520" i="10"/>
  <c r="AI520" i="10" s="1"/>
  <c r="D520" i="10"/>
  <c r="E520" i="10"/>
  <c r="AK520" i="10" s="1"/>
  <c r="B521" i="10"/>
  <c r="C521" i="10"/>
  <c r="AI521" i="10" s="1"/>
  <c r="D521" i="10"/>
  <c r="AJ521" i="10" s="1"/>
  <c r="E521" i="10"/>
  <c r="AK521" i="10" s="1"/>
  <c r="B522" i="10"/>
  <c r="C522" i="10"/>
  <c r="AI522" i="10" s="1"/>
  <c r="D522" i="10"/>
  <c r="E522" i="10"/>
  <c r="AK522" i="10" s="1"/>
  <c r="B523" i="10"/>
  <c r="AH523" i="10" s="1"/>
  <c r="C523" i="10"/>
  <c r="AI523" i="10" s="1"/>
  <c r="D523" i="10"/>
  <c r="E523" i="10"/>
  <c r="AK523" i="10" s="1"/>
  <c r="B524" i="10"/>
  <c r="C524" i="10"/>
  <c r="AI524" i="10" s="1"/>
  <c r="D524" i="10"/>
  <c r="E524" i="10"/>
  <c r="AK524" i="10" s="1"/>
  <c r="B525" i="10"/>
  <c r="AH525" i="10" s="1"/>
  <c r="C525" i="10"/>
  <c r="AI525" i="10" s="1"/>
  <c r="D525" i="10"/>
  <c r="E525" i="10"/>
  <c r="AK525" i="10" s="1"/>
  <c r="B526" i="10"/>
  <c r="C526" i="10"/>
  <c r="AI526" i="10" s="1"/>
  <c r="D526" i="10"/>
  <c r="AJ526" i="10" s="1"/>
  <c r="E526" i="10"/>
  <c r="AK526" i="10" s="1"/>
  <c r="B527" i="10"/>
  <c r="AH527" i="10" s="1"/>
  <c r="C527" i="10"/>
  <c r="AI527" i="10" s="1"/>
  <c r="D527" i="10"/>
  <c r="E527" i="10"/>
  <c r="AK527" i="10" s="1"/>
  <c r="B528" i="10"/>
  <c r="C528" i="10"/>
  <c r="AI528" i="10" s="1"/>
  <c r="D528" i="10"/>
  <c r="AJ528" i="10" s="1"/>
  <c r="E528" i="10"/>
  <c r="AK528" i="10" s="1"/>
  <c r="B529" i="10"/>
  <c r="AH529" i="10" s="1"/>
  <c r="C529" i="10"/>
  <c r="AI529" i="10" s="1"/>
  <c r="D529" i="10"/>
  <c r="E529" i="10"/>
  <c r="AK529" i="10" s="1"/>
  <c r="B530" i="10"/>
  <c r="C530" i="10"/>
  <c r="AI530" i="10" s="1"/>
  <c r="D530" i="10"/>
  <c r="AJ530" i="10" s="1"/>
  <c r="E530" i="10"/>
  <c r="AK530" i="10" s="1"/>
  <c r="B531" i="10"/>
  <c r="C531" i="10"/>
  <c r="AI531" i="10" s="1"/>
  <c r="D531" i="10"/>
  <c r="E531" i="10"/>
  <c r="AK531" i="10" s="1"/>
  <c r="B532" i="10"/>
  <c r="C532" i="10"/>
  <c r="AI532" i="10" s="1"/>
  <c r="D532" i="10"/>
  <c r="E532" i="10"/>
  <c r="AK532" i="10" s="1"/>
  <c r="B533" i="10"/>
  <c r="AH533" i="10" s="1"/>
  <c r="C533" i="10"/>
  <c r="AI533" i="10" s="1"/>
  <c r="D533" i="10"/>
  <c r="E533" i="10"/>
  <c r="AK533" i="10" s="1"/>
  <c r="B534" i="10"/>
  <c r="C534" i="10"/>
  <c r="AI534" i="10" s="1"/>
  <c r="J534" i="10" s="1"/>
  <c r="D534" i="10"/>
  <c r="E534" i="10"/>
  <c r="AK534" i="10" s="1"/>
  <c r="P534" i="10" s="1"/>
  <c r="B535" i="10"/>
  <c r="AH535" i="10" s="1"/>
  <c r="I535" i="10" s="1"/>
  <c r="C535" i="10"/>
  <c r="AI535" i="10" s="1"/>
  <c r="J535" i="10" s="1"/>
  <c r="D535" i="10"/>
  <c r="E535" i="10"/>
  <c r="AK535" i="10" s="1"/>
  <c r="P535" i="10" s="1"/>
  <c r="B536" i="10"/>
  <c r="C536" i="10"/>
  <c r="AI536" i="10" s="1"/>
  <c r="J536" i="10" s="1"/>
  <c r="D536" i="10"/>
  <c r="E536" i="10"/>
  <c r="AK536" i="10" s="1"/>
  <c r="P536" i="10" s="1"/>
  <c r="B537" i="10"/>
  <c r="C537" i="10"/>
  <c r="AI537" i="10" s="1"/>
  <c r="J537" i="10" s="1"/>
  <c r="D537" i="10"/>
  <c r="E537" i="10"/>
  <c r="AK537" i="10" s="1"/>
  <c r="P537" i="10" s="1"/>
  <c r="B538" i="10"/>
  <c r="AH538" i="10" s="1"/>
  <c r="I538" i="10" s="1"/>
  <c r="C538" i="10"/>
  <c r="AI538" i="10" s="1"/>
  <c r="J538" i="10" s="1"/>
  <c r="D538" i="10"/>
  <c r="E538" i="10"/>
  <c r="AK538" i="10" s="1"/>
  <c r="P538" i="10" s="1"/>
  <c r="B539" i="10"/>
  <c r="AH539" i="10" s="1"/>
  <c r="I539" i="10" s="1"/>
  <c r="C539" i="10"/>
  <c r="AI539" i="10" s="1"/>
  <c r="J539" i="10" s="1"/>
  <c r="D539" i="10"/>
  <c r="AJ539" i="10" s="1"/>
  <c r="O539" i="10" s="1"/>
  <c r="E539" i="10"/>
  <c r="AK539" i="10" s="1"/>
  <c r="P539" i="10" s="1"/>
  <c r="B540" i="10"/>
  <c r="AH540" i="10" s="1"/>
  <c r="I540" i="10" s="1"/>
  <c r="C540" i="10"/>
  <c r="AI540" i="10" s="1"/>
  <c r="J540" i="10" s="1"/>
  <c r="D540" i="10"/>
  <c r="AJ540" i="10" s="1"/>
  <c r="O540" i="10" s="1"/>
  <c r="E540" i="10"/>
  <c r="AK540" i="10" s="1"/>
  <c r="P540" i="10" s="1"/>
  <c r="B541" i="10"/>
  <c r="C541" i="10"/>
  <c r="AI541" i="10" s="1"/>
  <c r="J541" i="10" s="1"/>
  <c r="D541" i="10"/>
  <c r="AJ541" i="10" s="1"/>
  <c r="O541" i="10" s="1"/>
  <c r="E541" i="10"/>
  <c r="AK541" i="10" s="1"/>
  <c r="P541" i="10" s="1"/>
  <c r="B542" i="10"/>
  <c r="C542" i="10"/>
  <c r="AI542" i="10" s="1"/>
  <c r="J542" i="10" s="1"/>
  <c r="D542" i="10"/>
  <c r="E542" i="10"/>
  <c r="AK542" i="10" s="1"/>
  <c r="P542" i="10" s="1"/>
  <c r="B543" i="10"/>
  <c r="AH543" i="10" s="1"/>
  <c r="I543" i="10" s="1"/>
  <c r="C543" i="10"/>
  <c r="AI543" i="10" s="1"/>
  <c r="J543" i="10" s="1"/>
  <c r="D543" i="10"/>
  <c r="E543" i="10"/>
  <c r="AK543" i="10" s="1"/>
  <c r="P543" i="10" s="1"/>
  <c r="B544" i="10"/>
  <c r="AH544" i="10" s="1"/>
  <c r="I544" i="10" s="1"/>
  <c r="C544" i="10"/>
  <c r="AI544" i="10" s="1"/>
  <c r="J544" i="10" s="1"/>
  <c r="D544" i="10"/>
  <c r="E544" i="10"/>
  <c r="AK544" i="10" s="1"/>
  <c r="P544" i="10" s="1"/>
  <c r="B545" i="10"/>
  <c r="AH545" i="10" s="1"/>
  <c r="I545" i="10" s="1"/>
  <c r="C545" i="10"/>
  <c r="AI545" i="10" s="1"/>
  <c r="J545" i="10" s="1"/>
  <c r="D545" i="10"/>
  <c r="E545" i="10"/>
  <c r="AK545" i="10" s="1"/>
  <c r="P545" i="10" s="1"/>
  <c r="B546" i="10"/>
  <c r="C546" i="10"/>
  <c r="AI546" i="10" s="1"/>
  <c r="J546" i="10" s="1"/>
  <c r="D546" i="10"/>
  <c r="E546" i="10"/>
  <c r="AK546" i="10" s="1"/>
  <c r="P546" i="10" s="1"/>
  <c r="B547" i="10"/>
  <c r="AH547" i="10" s="1"/>
  <c r="I547" i="10" s="1"/>
  <c r="C547" i="10"/>
  <c r="AI547" i="10" s="1"/>
  <c r="J547" i="10" s="1"/>
  <c r="D547" i="10"/>
  <c r="AJ547" i="10" s="1"/>
  <c r="O547" i="10" s="1"/>
  <c r="E547" i="10"/>
  <c r="AK547" i="10" s="1"/>
  <c r="P547" i="10" s="1"/>
  <c r="B548" i="10"/>
  <c r="C548" i="10"/>
  <c r="AI548" i="10" s="1"/>
  <c r="J548" i="10" s="1"/>
  <c r="D548" i="10"/>
  <c r="AJ548" i="10" s="1"/>
  <c r="O548" i="10" s="1"/>
  <c r="E548" i="10"/>
  <c r="AK548" i="10" s="1"/>
  <c r="P548" i="10" s="1"/>
  <c r="B549" i="10"/>
  <c r="AH549" i="10" s="1"/>
  <c r="I549" i="10" s="1"/>
  <c r="C549" i="10"/>
  <c r="AI549" i="10" s="1"/>
  <c r="J549" i="10" s="1"/>
  <c r="D549" i="10"/>
  <c r="AJ549" i="10" s="1"/>
  <c r="O549" i="10" s="1"/>
  <c r="E549" i="10"/>
  <c r="AK549" i="10" s="1"/>
  <c r="P549" i="10" s="1"/>
  <c r="B550" i="10"/>
  <c r="C550" i="10"/>
  <c r="AI550" i="10" s="1"/>
  <c r="J550" i="10" s="1"/>
  <c r="D550" i="10"/>
  <c r="E550" i="10"/>
  <c r="AK550" i="10" s="1"/>
  <c r="P550" i="10" s="1"/>
  <c r="B551" i="10"/>
  <c r="C551" i="10"/>
  <c r="AI551" i="10" s="1"/>
  <c r="J551" i="10" s="1"/>
  <c r="D551" i="10"/>
  <c r="E551" i="10"/>
  <c r="AK551" i="10" s="1"/>
  <c r="P551" i="10" s="1"/>
  <c r="B552" i="10"/>
  <c r="AH552" i="10" s="1"/>
  <c r="I552" i="10" s="1"/>
  <c r="C552" i="10"/>
  <c r="AI552" i="10" s="1"/>
  <c r="J552" i="10" s="1"/>
  <c r="D552" i="10"/>
  <c r="E552" i="10"/>
  <c r="AK552" i="10" s="1"/>
  <c r="P552" i="10" s="1"/>
  <c r="B553" i="10"/>
  <c r="AH553" i="10" s="1"/>
  <c r="I553" i="10" s="1"/>
  <c r="C553" i="10"/>
  <c r="AI553" i="10" s="1"/>
  <c r="J553" i="10" s="1"/>
  <c r="D553" i="10"/>
  <c r="E553" i="10"/>
  <c r="AK553" i="10" s="1"/>
  <c r="P553" i="10" s="1"/>
  <c r="B554" i="10"/>
  <c r="AH554" i="10" s="1"/>
  <c r="I554" i="10" s="1"/>
  <c r="C554" i="10"/>
  <c r="AI554" i="10" s="1"/>
  <c r="J554" i="10" s="1"/>
  <c r="D554" i="10"/>
  <c r="AJ554" i="10" s="1"/>
  <c r="O554" i="10" s="1"/>
  <c r="E554" i="10"/>
  <c r="AK554" i="10" s="1"/>
  <c r="P554" i="10" s="1"/>
  <c r="B555" i="10"/>
  <c r="AH555" i="10" s="1"/>
  <c r="I555" i="10" s="1"/>
  <c r="C555" i="10"/>
  <c r="AI555" i="10" s="1"/>
  <c r="J555" i="10" s="1"/>
  <c r="D555" i="10"/>
  <c r="AJ555" i="10" s="1"/>
  <c r="O555" i="10" s="1"/>
  <c r="E555" i="10"/>
  <c r="AK555" i="10" s="1"/>
  <c r="P555" i="10" s="1"/>
  <c r="B556" i="10"/>
  <c r="AH556" i="10" s="1"/>
  <c r="I556" i="10" s="1"/>
  <c r="C556" i="10"/>
  <c r="AI556" i="10" s="1"/>
  <c r="J556" i="10" s="1"/>
  <c r="D556" i="10"/>
  <c r="AJ556" i="10" s="1"/>
  <c r="O556" i="10" s="1"/>
  <c r="E556" i="10"/>
  <c r="AK556" i="10" s="1"/>
  <c r="P556" i="10" s="1"/>
  <c r="B557" i="10"/>
  <c r="AH557" i="10" s="1"/>
  <c r="I557" i="10" s="1"/>
  <c r="C557" i="10"/>
  <c r="AI557" i="10" s="1"/>
  <c r="J557" i="10" s="1"/>
  <c r="D557" i="10"/>
  <c r="E557" i="10"/>
  <c r="AK557" i="10" s="1"/>
  <c r="P557" i="10" s="1"/>
  <c r="B558" i="10"/>
  <c r="C558" i="10"/>
  <c r="AI558" i="10" s="1"/>
  <c r="J558" i="10" s="1"/>
  <c r="D558" i="10"/>
  <c r="E558" i="10"/>
  <c r="AK558" i="10" s="1"/>
  <c r="P558" i="10" s="1"/>
  <c r="B559" i="10"/>
  <c r="C559" i="10"/>
  <c r="AI559" i="10" s="1"/>
  <c r="J559" i="10" s="1"/>
  <c r="D559" i="10"/>
  <c r="AJ559" i="10" s="1"/>
  <c r="O559" i="10" s="1"/>
  <c r="E559" i="10"/>
  <c r="AK559" i="10" s="1"/>
  <c r="P559" i="10" s="1"/>
  <c r="B560" i="10"/>
  <c r="C560" i="10"/>
  <c r="AI560" i="10" s="1"/>
  <c r="J560" i="10" s="1"/>
  <c r="D560" i="10"/>
  <c r="E560" i="10"/>
  <c r="AK560" i="10" s="1"/>
  <c r="P560" i="10" s="1"/>
  <c r="B561" i="10"/>
  <c r="AH561" i="10" s="1"/>
  <c r="I561" i="10" s="1"/>
  <c r="C561" i="10"/>
  <c r="AI561" i="10" s="1"/>
  <c r="J561" i="10" s="1"/>
  <c r="D561" i="10"/>
  <c r="AJ561" i="10" s="1"/>
  <c r="O561" i="10" s="1"/>
  <c r="E561" i="10"/>
  <c r="AK561" i="10" s="1"/>
  <c r="P561" i="10" s="1"/>
  <c r="B562" i="10"/>
  <c r="AH562" i="10" s="1"/>
  <c r="I562" i="10" s="1"/>
  <c r="C562" i="10"/>
  <c r="AI562" i="10" s="1"/>
  <c r="J562" i="10" s="1"/>
  <c r="D562" i="10"/>
  <c r="E562" i="10"/>
  <c r="AK562" i="10" s="1"/>
  <c r="P562" i="10" s="1"/>
  <c r="B563" i="10"/>
  <c r="C563" i="10"/>
  <c r="AI563" i="10" s="1"/>
  <c r="J563" i="10" s="1"/>
  <c r="D563" i="10"/>
  <c r="E563" i="10"/>
  <c r="AK563" i="10" s="1"/>
  <c r="P563" i="10" s="1"/>
  <c r="B564" i="10"/>
  <c r="AH564" i="10" s="1"/>
  <c r="I564" i="10" s="1"/>
  <c r="C564" i="10"/>
  <c r="AI564" i="10" s="1"/>
  <c r="J564" i="10" s="1"/>
  <c r="D564" i="10"/>
  <c r="E564" i="10"/>
  <c r="AK564" i="10" s="1"/>
  <c r="P564" i="10" s="1"/>
  <c r="B565" i="10"/>
  <c r="AH565" i="10" s="1"/>
  <c r="I565" i="10" s="1"/>
  <c r="C565" i="10"/>
  <c r="AI565" i="10" s="1"/>
  <c r="J565" i="10" s="1"/>
  <c r="D565" i="10"/>
  <c r="E565" i="10"/>
  <c r="AK565" i="10" s="1"/>
  <c r="P565" i="10" s="1"/>
  <c r="B566" i="10"/>
  <c r="C566" i="10"/>
  <c r="AI566" i="10" s="1"/>
  <c r="J566" i="10" s="1"/>
  <c r="D566" i="10"/>
  <c r="AJ566" i="10" s="1"/>
  <c r="O566" i="10" s="1"/>
  <c r="E566" i="10"/>
  <c r="AK566" i="10" s="1"/>
  <c r="P566" i="10" s="1"/>
  <c r="B567" i="10"/>
  <c r="AH567" i="10" s="1"/>
  <c r="I567" i="10" s="1"/>
  <c r="C567" i="10"/>
  <c r="AI567" i="10" s="1"/>
  <c r="J567" i="10" s="1"/>
  <c r="D567" i="10"/>
  <c r="E567" i="10"/>
  <c r="AK567" i="10" s="1"/>
  <c r="P567" i="10" s="1"/>
  <c r="B568" i="10"/>
  <c r="C568" i="10"/>
  <c r="AI568" i="10" s="1"/>
  <c r="J568" i="10" s="1"/>
  <c r="D568" i="10"/>
  <c r="E568" i="10"/>
  <c r="AK568" i="10" s="1"/>
  <c r="P568" i="10" s="1"/>
  <c r="B569" i="10"/>
  <c r="AH569" i="10" s="1"/>
  <c r="I569" i="10" s="1"/>
  <c r="C569" i="10"/>
  <c r="AI569" i="10" s="1"/>
  <c r="J569" i="10" s="1"/>
  <c r="D569" i="10"/>
  <c r="AJ569" i="10" s="1"/>
  <c r="O569" i="10" s="1"/>
  <c r="E569" i="10"/>
  <c r="AK569" i="10" s="1"/>
  <c r="P569" i="10" s="1"/>
  <c r="B570" i="10"/>
  <c r="AH570" i="10" s="1"/>
  <c r="I570" i="10" s="1"/>
  <c r="C570" i="10"/>
  <c r="AI570" i="10" s="1"/>
  <c r="J570" i="10" s="1"/>
  <c r="D570" i="10"/>
  <c r="E570" i="10"/>
  <c r="AK570" i="10" s="1"/>
  <c r="P570" i="10" s="1"/>
  <c r="B571" i="10"/>
  <c r="AH571" i="10" s="1"/>
  <c r="I571" i="10" s="1"/>
  <c r="C571" i="10"/>
  <c r="AI571" i="10" s="1"/>
  <c r="J571" i="10" s="1"/>
  <c r="D571" i="10"/>
  <c r="E571" i="10"/>
  <c r="AK571" i="10" s="1"/>
  <c r="P571" i="10" s="1"/>
  <c r="B572" i="10"/>
  <c r="AH572" i="10" s="1"/>
  <c r="I572" i="10" s="1"/>
  <c r="C572" i="10"/>
  <c r="AI572" i="10" s="1"/>
  <c r="J572" i="10" s="1"/>
  <c r="D572" i="10"/>
  <c r="E572" i="10"/>
  <c r="AK572" i="10" s="1"/>
  <c r="P572" i="10" s="1"/>
  <c r="B573" i="10"/>
  <c r="C573" i="10"/>
  <c r="AI573" i="10" s="1"/>
  <c r="J573" i="10" s="1"/>
  <c r="D573" i="10"/>
  <c r="AJ573" i="10" s="1"/>
  <c r="O573" i="10" s="1"/>
  <c r="E573" i="10"/>
  <c r="AK573" i="10" s="1"/>
  <c r="P573" i="10" s="1"/>
  <c r="B574" i="10"/>
  <c r="C574" i="10"/>
  <c r="AI574" i="10" s="1"/>
  <c r="J574" i="10" s="1"/>
  <c r="D574" i="10"/>
  <c r="AJ574" i="10" s="1"/>
  <c r="O574" i="10" s="1"/>
  <c r="E574" i="10"/>
  <c r="AK574" i="10" s="1"/>
  <c r="P574" i="10" s="1"/>
  <c r="B575" i="10"/>
  <c r="C575" i="10"/>
  <c r="AI575" i="10" s="1"/>
  <c r="J575" i="10" s="1"/>
  <c r="D575" i="10"/>
  <c r="AJ575" i="10" s="1"/>
  <c r="O575" i="10" s="1"/>
  <c r="E575" i="10"/>
  <c r="AK575" i="10" s="1"/>
  <c r="P575" i="10" s="1"/>
  <c r="B576" i="10"/>
  <c r="AH576" i="10" s="1"/>
  <c r="I576" i="10" s="1"/>
  <c r="C576" i="10"/>
  <c r="AI576" i="10" s="1"/>
  <c r="J576" i="10" s="1"/>
  <c r="D576" i="10"/>
  <c r="AJ576" i="10" s="1"/>
  <c r="O576" i="10" s="1"/>
  <c r="E576" i="10"/>
  <c r="AK576" i="10" s="1"/>
  <c r="P576" i="10" s="1"/>
  <c r="B577" i="10"/>
  <c r="C577" i="10"/>
  <c r="AI577" i="10" s="1"/>
  <c r="J577" i="10" s="1"/>
  <c r="D577" i="10"/>
  <c r="AJ577" i="10" s="1"/>
  <c r="O577" i="10" s="1"/>
  <c r="E577" i="10"/>
  <c r="AK577" i="10" s="1"/>
  <c r="P577" i="10" s="1"/>
  <c r="B578" i="10"/>
  <c r="C578" i="10"/>
  <c r="AI578" i="10" s="1"/>
  <c r="J578" i="10" s="1"/>
  <c r="D578" i="10"/>
  <c r="E578" i="10"/>
  <c r="AK578" i="10" s="1"/>
  <c r="P578" i="10" s="1"/>
  <c r="B579" i="10"/>
  <c r="C579" i="10"/>
  <c r="AI579" i="10" s="1"/>
  <c r="J579" i="10" s="1"/>
  <c r="D579" i="10"/>
  <c r="AJ579" i="10" s="1"/>
  <c r="O579" i="10" s="1"/>
  <c r="E579" i="10"/>
  <c r="AK579" i="10" s="1"/>
  <c r="P579" i="10" s="1"/>
  <c r="B580" i="10"/>
  <c r="AH580" i="10" s="1"/>
  <c r="I580" i="10" s="1"/>
  <c r="C580" i="10"/>
  <c r="AI580" i="10" s="1"/>
  <c r="J580" i="10" s="1"/>
  <c r="D580" i="10"/>
  <c r="E580" i="10"/>
  <c r="AK580" i="10" s="1"/>
  <c r="P580" i="10" s="1"/>
  <c r="B581" i="10"/>
  <c r="C581" i="10"/>
  <c r="AI581" i="10" s="1"/>
  <c r="J581" i="10" s="1"/>
  <c r="D581" i="10"/>
  <c r="E581" i="10"/>
  <c r="AK581" i="10" s="1"/>
  <c r="P581" i="10" s="1"/>
  <c r="AJ550" i="10" l="1"/>
  <c r="O550" i="10" s="1"/>
  <c r="Q550" i="10" s="1"/>
  <c r="S550" i="10" s="1"/>
  <c r="AJ544" i="10"/>
  <c r="O544" i="10" s="1"/>
  <c r="Q544" i="10" s="1"/>
  <c r="AJ524" i="10"/>
  <c r="AJ516" i="10"/>
  <c r="AJ510" i="10"/>
  <c r="AH578" i="10"/>
  <c r="I578" i="10" s="1"/>
  <c r="K578" i="10" s="1"/>
  <c r="AH574" i="10"/>
  <c r="I574" i="10" s="1"/>
  <c r="AH568" i="10"/>
  <c r="I568" i="10" s="1"/>
  <c r="AH566" i="10"/>
  <c r="I566" i="10" s="1"/>
  <c r="K566" i="10" s="1"/>
  <c r="M566" i="10" s="1"/>
  <c r="AH560" i="10"/>
  <c r="I560" i="10" s="1"/>
  <c r="K560" i="10" s="1"/>
  <c r="M560" i="10" s="1"/>
  <c r="AH558" i="10"/>
  <c r="I558" i="10" s="1"/>
  <c r="AH550" i="10"/>
  <c r="I550" i="10" s="1"/>
  <c r="AH548" i="10"/>
  <c r="I548" i="10" s="1"/>
  <c r="K548" i="10" s="1"/>
  <c r="AH546" i="10"/>
  <c r="I546" i="10" s="1"/>
  <c r="K546" i="10" s="1"/>
  <c r="L546" i="10" s="1"/>
  <c r="AH542" i="10"/>
  <c r="I542" i="10" s="1"/>
  <c r="K542" i="10" s="1"/>
  <c r="AH536" i="10"/>
  <c r="I536" i="10" s="1"/>
  <c r="K536" i="10" s="1"/>
  <c r="AH534" i="10"/>
  <c r="I534" i="10" s="1"/>
  <c r="K534" i="10" s="1"/>
  <c r="AH532" i="10"/>
  <c r="AH530" i="10"/>
  <c r="AH528" i="10"/>
  <c r="AH526" i="10"/>
  <c r="AH524" i="10"/>
  <c r="AH522" i="10"/>
  <c r="AH520" i="10"/>
  <c r="AH518" i="10"/>
  <c r="AH510" i="10"/>
  <c r="AH508" i="10"/>
  <c r="AH506" i="10"/>
  <c r="AJ580" i="10"/>
  <c r="O580" i="10" s="1"/>
  <c r="Q580" i="10" s="1"/>
  <c r="S580" i="10" s="1"/>
  <c r="AJ578" i="10"/>
  <c r="O578" i="10" s="1"/>
  <c r="Q578" i="10" s="1"/>
  <c r="AJ572" i="10"/>
  <c r="O572" i="10" s="1"/>
  <c r="Q572" i="10" s="1"/>
  <c r="S572" i="10" s="1"/>
  <c r="AJ552" i="10"/>
  <c r="O552" i="10" s="1"/>
  <c r="AJ546" i="10"/>
  <c r="O546" i="10" s="1"/>
  <c r="Q546" i="10" s="1"/>
  <c r="S546" i="10" s="1"/>
  <c r="AJ520" i="10"/>
  <c r="AJ514" i="10"/>
  <c r="AJ508" i="10"/>
  <c r="AJ581" i="10"/>
  <c r="O581" i="10" s="1"/>
  <c r="Q581" i="10" s="1"/>
  <c r="S581" i="10" s="1"/>
  <c r="AJ571" i="10"/>
  <c r="O571" i="10" s="1"/>
  <c r="Q571" i="10" s="1"/>
  <c r="R571" i="10" s="1"/>
  <c r="AJ567" i="10"/>
  <c r="O567" i="10" s="1"/>
  <c r="Q567" i="10" s="1"/>
  <c r="AJ565" i="10"/>
  <c r="O565" i="10" s="1"/>
  <c r="Q565" i="10" s="1"/>
  <c r="AJ563" i="10"/>
  <c r="O563" i="10" s="1"/>
  <c r="Q563" i="10" s="1"/>
  <c r="R563" i="10" s="1"/>
  <c r="AJ557" i="10"/>
  <c r="O557" i="10" s="1"/>
  <c r="Q557" i="10" s="1"/>
  <c r="R557" i="10" s="1"/>
  <c r="AJ553" i="10"/>
  <c r="O553" i="10" s="1"/>
  <c r="Q553" i="10" s="1"/>
  <c r="S553" i="10" s="1"/>
  <c r="AJ551" i="10"/>
  <c r="O551" i="10" s="1"/>
  <c r="Q551" i="10" s="1"/>
  <c r="S551" i="10" s="1"/>
  <c r="AJ545" i="10"/>
  <c r="O545" i="10" s="1"/>
  <c r="Q545" i="10" s="1"/>
  <c r="R545" i="10" s="1"/>
  <c r="AJ543" i="10"/>
  <c r="O543" i="10" s="1"/>
  <c r="Q543" i="10" s="1"/>
  <c r="AJ537" i="10"/>
  <c r="O537" i="10" s="1"/>
  <c r="AJ535" i="10"/>
  <c r="O535" i="10" s="1"/>
  <c r="Q535" i="10" s="1"/>
  <c r="AJ533" i="10"/>
  <c r="AJ531" i="10"/>
  <c r="AJ529" i="10"/>
  <c r="AJ527" i="10"/>
  <c r="AJ525" i="10"/>
  <c r="AJ523" i="10"/>
  <c r="AJ519" i="10"/>
  <c r="AJ513" i="10"/>
  <c r="AJ511" i="10"/>
  <c r="AJ509" i="10"/>
  <c r="AJ507" i="10"/>
  <c r="AJ505" i="10"/>
  <c r="AJ503" i="10"/>
  <c r="AJ568" i="10"/>
  <c r="O568" i="10" s="1"/>
  <c r="Q568" i="10" s="1"/>
  <c r="AJ564" i="10"/>
  <c r="O564" i="10" s="1"/>
  <c r="Q564" i="10" s="1"/>
  <c r="AJ562" i="10"/>
  <c r="O562" i="10" s="1"/>
  <c r="Q562" i="10" s="1"/>
  <c r="AJ558" i="10"/>
  <c r="O558" i="10" s="1"/>
  <c r="Q558" i="10" s="1"/>
  <c r="S558" i="10" s="1"/>
  <c r="AJ538" i="10"/>
  <c r="O538" i="10" s="1"/>
  <c r="Q538" i="10" s="1"/>
  <c r="AJ536" i="10"/>
  <c r="O536" i="10" s="1"/>
  <c r="Q536" i="10" s="1"/>
  <c r="S536" i="10" s="1"/>
  <c r="AJ534" i="10"/>
  <c r="O534" i="10" s="1"/>
  <c r="Q534" i="10" s="1"/>
  <c r="AJ532" i="10"/>
  <c r="AJ522" i="10"/>
  <c r="AJ504" i="10"/>
  <c r="AH581" i="10"/>
  <c r="I581" i="10" s="1"/>
  <c r="K581" i="10" s="1"/>
  <c r="M581" i="10" s="1"/>
  <c r="AH579" i="10"/>
  <c r="I579" i="10" s="1"/>
  <c r="K579" i="10" s="1"/>
  <c r="M579" i="10" s="1"/>
  <c r="AH577" i="10"/>
  <c r="I577" i="10" s="1"/>
  <c r="K577" i="10" s="1"/>
  <c r="M577" i="10" s="1"/>
  <c r="AH575" i="10"/>
  <c r="I575" i="10" s="1"/>
  <c r="K575" i="10" s="1"/>
  <c r="M575" i="10" s="1"/>
  <c r="AH573" i="10"/>
  <c r="I573" i="10" s="1"/>
  <c r="AH563" i="10"/>
  <c r="I563" i="10" s="1"/>
  <c r="K563" i="10" s="1"/>
  <c r="AH559" i="10"/>
  <c r="I559" i="10" s="1"/>
  <c r="K559" i="10" s="1"/>
  <c r="AH551" i="10"/>
  <c r="I551" i="10" s="1"/>
  <c r="K551" i="10" s="1"/>
  <c r="M551" i="10" s="1"/>
  <c r="AH541" i="10"/>
  <c r="I541" i="10" s="1"/>
  <c r="AH537" i="10"/>
  <c r="I537" i="10" s="1"/>
  <c r="K537" i="10" s="1"/>
  <c r="L537" i="10" s="1"/>
  <c r="AH531" i="10"/>
  <c r="AH521" i="10"/>
  <c r="AH519" i="10"/>
  <c r="AH517" i="10"/>
  <c r="AH515" i="10"/>
  <c r="AH513" i="10"/>
  <c r="AH511" i="10"/>
  <c r="AH505" i="10"/>
  <c r="AH503" i="10"/>
  <c r="AJ570" i="10"/>
  <c r="O570" i="10" s="1"/>
  <c r="Q570" i="10" s="1"/>
  <c r="S570" i="10" s="1"/>
  <c r="AJ560" i="10"/>
  <c r="O560" i="10" s="1"/>
  <c r="AJ542" i="10"/>
  <c r="O542" i="10" s="1"/>
  <c r="Q542" i="10" s="1"/>
  <c r="AJ518" i="10"/>
  <c r="AJ512" i="10"/>
  <c r="Q556" i="10"/>
  <c r="R556" i="10" s="1"/>
  <c r="K552" i="10"/>
  <c r="L552" i="10" s="1"/>
  <c r="K544" i="10"/>
  <c r="L544" i="10" s="1"/>
  <c r="Q559" i="10"/>
  <c r="R559" i="10" s="1"/>
  <c r="Q569" i="10"/>
  <c r="R569" i="10" s="1"/>
  <c r="Q554" i="10"/>
  <c r="R554" i="10" s="1"/>
  <c r="Q547" i="10"/>
  <c r="R547" i="10" s="1"/>
  <c r="K576" i="10"/>
  <c r="L576" i="10" s="1"/>
  <c r="K555" i="10"/>
  <c r="M555" i="10" s="1"/>
  <c r="Q540" i="10"/>
  <c r="S540" i="10" s="1"/>
  <c r="K538" i="10"/>
  <c r="K554" i="10"/>
  <c r="Q579" i="10"/>
  <c r="Q555" i="10"/>
  <c r="S555" i="10" s="1"/>
  <c r="Q573" i="10"/>
  <c r="K564" i="10"/>
  <c r="Q549" i="10"/>
  <c r="R549" i="10" s="1"/>
  <c r="K580" i="10"/>
  <c r="K557" i="10"/>
  <c r="K553" i="10"/>
  <c r="L553" i="10" s="1"/>
  <c r="K540" i="10"/>
  <c r="K567" i="10"/>
  <c r="Q566" i="10"/>
  <c r="R566" i="10" s="1"/>
  <c r="K545" i="10"/>
  <c r="K543" i="10"/>
  <c r="K539" i="10"/>
  <c r="K571" i="10"/>
  <c r="L571" i="10" s="1"/>
  <c r="K570" i="10"/>
  <c r="K565" i="10"/>
  <c r="L565" i="10" s="1"/>
  <c r="Q541" i="10"/>
  <c r="Q577" i="10"/>
  <c r="K562" i="10"/>
  <c r="L562" i="10" s="1"/>
  <c r="K549" i="10"/>
  <c r="L549" i="10" s="1"/>
  <c r="Q576" i="10"/>
  <c r="R576" i="10" s="1"/>
  <c r="K556" i="10"/>
  <c r="Q574" i="10"/>
  <c r="Q548" i="10"/>
  <c r="R548" i="10" s="1"/>
  <c r="K547" i="10"/>
  <c r="L547" i="10" s="1"/>
  <c r="K561" i="10"/>
  <c r="Q539" i="10"/>
  <c r="S539" i="10" s="1"/>
  <c r="K572" i="10"/>
  <c r="Q561" i="10"/>
  <c r="R561" i="10" s="1"/>
  <c r="Q575" i="10"/>
  <c r="K569" i="10"/>
  <c r="K535" i="10"/>
  <c r="L535" i="10" s="1"/>
  <c r="L581" i="10" l="1"/>
  <c r="S571" i="10"/>
  <c r="L560" i="10"/>
  <c r="R551" i="10"/>
  <c r="V545" i="10"/>
  <c r="R580" i="10"/>
  <c r="R553" i="10"/>
  <c r="R550" i="10"/>
  <c r="U546" i="10"/>
  <c r="R546" i="10"/>
  <c r="V546" i="10"/>
  <c r="M546" i="10"/>
  <c r="R536" i="10"/>
  <c r="R538" i="10"/>
  <c r="S538" i="10"/>
  <c r="V534" i="10"/>
  <c r="M534" i="10"/>
  <c r="U534" i="10"/>
  <c r="U572" i="10"/>
  <c r="M559" i="10"/>
  <c r="L559" i="10"/>
  <c r="V581" i="10"/>
  <c r="K568" i="10"/>
  <c r="U568" i="10" s="1"/>
  <c r="K550" i="10"/>
  <c r="U550" i="10" s="1"/>
  <c r="R578" i="10"/>
  <c r="S578" i="10"/>
  <c r="R570" i="10"/>
  <c r="L551" i="10"/>
  <c r="R568" i="10"/>
  <c r="S568" i="10"/>
  <c r="R543" i="10"/>
  <c r="S543" i="10"/>
  <c r="R544" i="10"/>
  <c r="S544" i="10"/>
  <c r="L534" i="10"/>
  <c r="L536" i="10"/>
  <c r="M536" i="10"/>
  <c r="V577" i="10"/>
  <c r="L575" i="10"/>
  <c r="L548" i="10"/>
  <c r="M548" i="10"/>
  <c r="M578" i="10"/>
  <c r="L578" i="10"/>
  <c r="V578" i="10"/>
  <c r="U551" i="10"/>
  <c r="V570" i="10"/>
  <c r="R542" i="10"/>
  <c r="U575" i="10"/>
  <c r="R581" i="10"/>
  <c r="L579" i="10"/>
  <c r="S565" i="10"/>
  <c r="R565" i="10"/>
  <c r="K574" i="10"/>
  <c r="M574" i="10" s="1"/>
  <c r="L542" i="10"/>
  <c r="R567" i="10"/>
  <c r="S567" i="10"/>
  <c r="K558" i="10"/>
  <c r="V542" i="10"/>
  <c r="M542" i="10"/>
  <c r="V551" i="10"/>
  <c r="R564" i="10"/>
  <c r="S564" i="10"/>
  <c r="M537" i="10"/>
  <c r="R562" i="10"/>
  <c r="S562" i="10"/>
  <c r="S542" i="10"/>
  <c r="U542" i="10"/>
  <c r="M563" i="10"/>
  <c r="V563" i="10"/>
  <c r="L563" i="10"/>
  <c r="S534" i="10"/>
  <c r="R534" i="10"/>
  <c r="R535" i="10"/>
  <c r="S535" i="10"/>
  <c r="K541" i="10"/>
  <c r="M541" i="10" s="1"/>
  <c r="Q560" i="10"/>
  <c r="R560" i="10" s="1"/>
  <c r="K573" i="10"/>
  <c r="M573" i="10" s="1"/>
  <c r="V536" i="10"/>
  <c r="U536" i="10"/>
  <c r="Q537" i="10"/>
  <c r="R537" i="10" s="1"/>
  <c r="Q552" i="10"/>
  <c r="S552" i="10" s="1"/>
  <c r="R558" i="10"/>
  <c r="U563" i="10"/>
  <c r="V580" i="10"/>
  <c r="U578" i="10"/>
  <c r="S545" i="10"/>
  <c r="R572" i="10"/>
  <c r="V567" i="10"/>
  <c r="V564" i="10"/>
  <c r="U581" i="10"/>
  <c r="U579" i="10"/>
  <c r="L577" i="10"/>
  <c r="S557" i="10"/>
  <c r="S563" i="10"/>
  <c r="L566" i="10"/>
  <c r="U557" i="10"/>
  <c r="V538" i="10"/>
  <c r="U544" i="10"/>
  <c r="V556" i="10"/>
  <c r="S556" i="10"/>
  <c r="R539" i="10"/>
  <c r="V540" i="10"/>
  <c r="V544" i="10"/>
  <c r="U565" i="10"/>
  <c r="M576" i="10"/>
  <c r="M552" i="10"/>
  <c r="M553" i="10"/>
  <c r="R540" i="10"/>
  <c r="S569" i="10"/>
  <c r="V569" i="10"/>
  <c r="L540" i="10"/>
  <c r="L564" i="10"/>
  <c r="V554" i="10"/>
  <c r="U564" i="10"/>
  <c r="M544" i="10"/>
  <c r="S559" i="10"/>
  <c r="V559" i="10"/>
  <c r="U540" i="10"/>
  <c r="L572" i="10"/>
  <c r="V561" i="10"/>
  <c r="R577" i="10"/>
  <c r="S554" i="10"/>
  <c r="M547" i="10"/>
  <c r="R575" i="10"/>
  <c r="M538" i="10"/>
  <c r="M545" i="10"/>
  <c r="U554" i="10"/>
  <c r="M554" i="10"/>
  <c r="S547" i="10"/>
  <c r="L554" i="10"/>
  <c r="L556" i="10"/>
  <c r="U567" i="10"/>
  <c r="U559" i="10"/>
  <c r="L569" i="10"/>
  <c r="U571" i="10"/>
  <c r="L570" i="10"/>
  <c r="L538" i="10"/>
  <c r="L555" i="10"/>
  <c r="V566" i="10"/>
  <c r="S549" i="10"/>
  <c r="M540" i="10"/>
  <c r="M569" i="10"/>
  <c r="M556" i="10"/>
  <c r="U538" i="10"/>
  <c r="U555" i="10"/>
  <c r="V576" i="10"/>
  <c r="M564" i="10"/>
  <c r="L545" i="10"/>
  <c r="L567" i="10"/>
  <c r="R579" i="10"/>
  <c r="S548" i="10"/>
  <c r="V579" i="10"/>
  <c r="L557" i="10"/>
  <c r="S579" i="10"/>
  <c r="M570" i="10"/>
  <c r="U570" i="10"/>
  <c r="S573" i="10"/>
  <c r="M562" i="10"/>
  <c r="V539" i="10"/>
  <c r="V555" i="10"/>
  <c r="R573" i="10"/>
  <c r="M561" i="10"/>
  <c r="U553" i="10"/>
  <c r="V553" i="10"/>
  <c r="V535" i="10"/>
  <c r="U535" i="10"/>
  <c r="M535" i="10"/>
  <c r="S561" i="10"/>
  <c r="U561" i="10"/>
  <c r="U539" i="10"/>
  <c r="V549" i="10"/>
  <c r="M549" i="10"/>
  <c r="S577" i="10"/>
  <c r="U577" i="10"/>
  <c r="U545" i="10"/>
  <c r="V557" i="10"/>
  <c r="M557" i="10"/>
  <c r="M567" i="10"/>
  <c r="S541" i="10"/>
  <c r="S575" i="10"/>
  <c r="U548" i="10"/>
  <c r="V548" i="10"/>
  <c r="V562" i="10"/>
  <c r="U562" i="10"/>
  <c r="V543" i="10"/>
  <c r="M543" i="10"/>
  <c r="V575" i="10"/>
  <c r="U569" i="10"/>
  <c r="L543" i="10"/>
  <c r="U580" i="10"/>
  <c r="R555" i="10"/>
  <c r="M580" i="10"/>
  <c r="V547" i="10"/>
  <c r="U547" i="10"/>
  <c r="U576" i="10"/>
  <c r="S576" i="10"/>
  <c r="R541" i="10"/>
  <c r="V571" i="10"/>
  <c r="M571" i="10"/>
  <c r="U543" i="10"/>
  <c r="S574" i="10"/>
  <c r="U566" i="10"/>
  <c r="S566" i="10"/>
  <c r="R574" i="10"/>
  <c r="M539" i="10"/>
  <c r="V572" i="10"/>
  <c r="M572" i="10"/>
  <c r="L561" i="10"/>
  <c r="U556" i="10"/>
  <c r="V565" i="10"/>
  <c r="M565" i="10"/>
  <c r="L539" i="10"/>
  <c r="U549" i="10"/>
  <c r="L580" i="10"/>
  <c r="AF4" i="2"/>
  <c r="AF5" i="2" s="1"/>
  <c r="AF6" i="2" s="1"/>
  <c r="AF7" i="2" s="1"/>
  <c r="AF8" i="2" s="1"/>
  <c r="AF9" i="2" s="1"/>
  <c r="AF10" i="2" s="1"/>
  <c r="AF11" i="2" s="1"/>
  <c r="AF12" i="2" s="1"/>
  <c r="AF13" i="2" s="1"/>
  <c r="AF14" i="2" s="1"/>
  <c r="AF15" i="2" s="1"/>
  <c r="AF16" i="2" s="1"/>
  <c r="AF17" i="2" s="1"/>
  <c r="AF18" i="2" s="1"/>
  <c r="AF19" i="2" s="1"/>
  <c r="AF20" i="2" s="1"/>
  <c r="AF21" i="2" s="1"/>
  <c r="AF22" i="2" s="1"/>
  <c r="AF23" i="2" s="1"/>
  <c r="AF24" i="2" s="1"/>
  <c r="AF25" i="2" s="1"/>
  <c r="AF26" i="2" s="1"/>
  <c r="AF27" i="2" s="1"/>
  <c r="AF28" i="2" s="1"/>
  <c r="AF29" i="2" s="1"/>
  <c r="AF30" i="2" s="1"/>
  <c r="AF31" i="2" s="1"/>
  <c r="AF32" i="2" s="1"/>
  <c r="AF33" i="2" s="1"/>
  <c r="AF34" i="2" s="1"/>
  <c r="AF35" i="2" s="1"/>
  <c r="AF36" i="2" s="1"/>
  <c r="AF37" i="2" s="1"/>
  <c r="AF38" i="2" s="1"/>
  <c r="AF39" i="2" s="1"/>
  <c r="AF40" i="2" s="1"/>
  <c r="AF41" i="2" s="1"/>
  <c r="AF42" i="2" s="1"/>
  <c r="AF43" i="2" s="1"/>
  <c r="AF44" i="2" s="1"/>
  <c r="AF45" i="2" s="1"/>
  <c r="AF46" i="2" s="1"/>
  <c r="AF47" i="2" s="1"/>
  <c r="AF48" i="2" s="1"/>
  <c r="AF49" i="2" s="1"/>
  <c r="AF50" i="2" s="1"/>
  <c r="AF51" i="2" s="1"/>
  <c r="AF52" i="2" s="1"/>
  <c r="AF53" i="2" s="1"/>
  <c r="AF54" i="2" s="1"/>
  <c r="AF55" i="2" s="1"/>
  <c r="AF56" i="2" s="1"/>
  <c r="AF57" i="2" s="1"/>
  <c r="AF58" i="2" s="1"/>
  <c r="AF59" i="2" s="1"/>
  <c r="AF60" i="2" s="1"/>
  <c r="AF61" i="2" s="1"/>
  <c r="AF62" i="2" s="1"/>
  <c r="AF63" i="2" s="1"/>
  <c r="AF64" i="2" s="1"/>
  <c r="AF65" i="2" s="1"/>
  <c r="AF66" i="2" s="1"/>
  <c r="AF67" i="2" s="1"/>
  <c r="AF68" i="2" s="1"/>
  <c r="AF69" i="2" s="1"/>
  <c r="AF70" i="2" s="1"/>
  <c r="AF71" i="2" s="1"/>
  <c r="AF72" i="2" s="1"/>
  <c r="AF73" i="2" s="1"/>
  <c r="AF74" i="2" s="1"/>
  <c r="AF75" i="2" s="1"/>
  <c r="AF76" i="2" s="1"/>
  <c r="AF77" i="2" s="1"/>
  <c r="AF78" i="2" s="1"/>
  <c r="AF79" i="2" s="1"/>
  <c r="AF80" i="2" s="1"/>
  <c r="AF81" i="2" s="1"/>
  <c r="AF82" i="2" s="1"/>
  <c r="AF83" i="2" s="1"/>
  <c r="AF84" i="2" s="1"/>
  <c r="AF85" i="2" s="1"/>
  <c r="AF86" i="2" s="1"/>
  <c r="AF87" i="2" s="1"/>
  <c r="AF88" i="2" s="1"/>
  <c r="AF89" i="2" s="1"/>
  <c r="AF90" i="2" s="1"/>
  <c r="AF91" i="2" s="1"/>
  <c r="AF92" i="2" s="1"/>
  <c r="AF93" i="2" s="1"/>
  <c r="AF94" i="2" s="1"/>
  <c r="AF95" i="2" s="1"/>
  <c r="AF96" i="2" s="1"/>
  <c r="AF97" i="2" s="1"/>
  <c r="AF98" i="2" s="1"/>
  <c r="AF99" i="2" s="1"/>
  <c r="AF100" i="2" s="1"/>
  <c r="AF101" i="2" s="1"/>
  <c r="AF102" i="2" s="1"/>
  <c r="V574" i="10" l="1"/>
  <c r="V573" i="10"/>
  <c r="U552" i="10"/>
  <c r="V541" i="10"/>
  <c r="L573" i="10"/>
  <c r="U574" i="10"/>
  <c r="L574" i="10"/>
  <c r="M550" i="10"/>
  <c r="V550" i="10"/>
  <c r="L568" i="10"/>
  <c r="L541" i="10"/>
  <c r="U541" i="10"/>
  <c r="L550" i="10"/>
  <c r="M568" i="10"/>
  <c r="V568" i="10"/>
  <c r="U573" i="10"/>
  <c r="M558" i="10"/>
  <c r="V558" i="10"/>
  <c r="U558" i="10"/>
  <c r="R552" i="10"/>
  <c r="L558" i="10"/>
  <c r="U537" i="10"/>
  <c r="S537" i="10"/>
  <c r="V552" i="10"/>
  <c r="U560" i="10"/>
  <c r="V560" i="10"/>
  <c r="S560" i="10"/>
  <c r="V537" i="10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AJ5" i="9"/>
  <c r="AK5" i="9"/>
  <c r="AL5" i="9"/>
  <c r="AM5" i="9"/>
  <c r="AN5" i="9"/>
  <c r="AO5" i="9"/>
  <c r="AP5" i="9"/>
  <c r="AQ5" i="9"/>
  <c r="AR5" i="9"/>
  <c r="AS5" i="9"/>
  <c r="AT5" i="9"/>
  <c r="AU5" i="9"/>
  <c r="AV5" i="9"/>
  <c r="AW5" i="9"/>
  <c r="AX5" i="9"/>
  <c r="AY5" i="9"/>
  <c r="AZ5" i="9"/>
  <c r="BA5" i="9"/>
  <c r="BB5" i="9"/>
  <c r="BC5" i="9"/>
  <c r="BD5" i="9"/>
  <c r="BE5" i="9"/>
  <c r="BF5" i="9"/>
  <c r="BG5" i="9"/>
  <c r="BH5" i="9"/>
  <c r="B5" i="9"/>
  <c r="V12" i="2"/>
  <c r="V11" i="2"/>
  <c r="V10" i="2"/>
  <c r="V9" i="2"/>
  <c r="V8" i="2"/>
  <c r="V7" i="2"/>
  <c r="V6" i="2"/>
  <c r="V5" i="2"/>
  <c r="V4" i="2"/>
  <c r="V3" i="2" l="1"/>
  <c r="N4" i="1" l="1"/>
  <c r="O4" i="1"/>
  <c r="P4" i="1"/>
  <c r="Q4" i="1"/>
  <c r="N6" i="1"/>
  <c r="O6" i="1"/>
  <c r="N8" i="9" l="1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AJ8" i="9"/>
  <c r="AK8" i="9"/>
  <c r="AL8" i="9"/>
  <c r="AM8" i="9"/>
  <c r="AN8" i="9"/>
  <c r="AO8" i="9"/>
  <c r="AP8" i="9"/>
  <c r="AQ8" i="9"/>
  <c r="AR8" i="9"/>
  <c r="AS8" i="9"/>
  <c r="AT8" i="9"/>
  <c r="AU8" i="9"/>
  <c r="AV8" i="9"/>
  <c r="AW8" i="9"/>
  <c r="AX8" i="9"/>
  <c r="AY8" i="9"/>
  <c r="AZ8" i="9"/>
  <c r="BA8" i="9"/>
  <c r="BB8" i="9"/>
  <c r="BC8" i="9"/>
  <c r="BD8" i="9"/>
  <c r="BE8" i="9"/>
  <c r="BF8" i="9"/>
  <c r="BG8" i="9"/>
  <c r="BH8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AJ13" i="9"/>
  <c r="AK13" i="9"/>
  <c r="AL13" i="9"/>
  <c r="AM13" i="9"/>
  <c r="AN13" i="9"/>
  <c r="AO13" i="9"/>
  <c r="AP13" i="9"/>
  <c r="AQ13" i="9"/>
  <c r="AR13" i="9"/>
  <c r="AS13" i="9"/>
  <c r="AT13" i="9"/>
  <c r="AU13" i="9"/>
  <c r="AV13" i="9"/>
  <c r="AW13" i="9"/>
  <c r="AX13" i="9"/>
  <c r="AY13" i="9"/>
  <c r="AZ13" i="9"/>
  <c r="BA13" i="9"/>
  <c r="BB13" i="9"/>
  <c r="BC13" i="9"/>
  <c r="BD13" i="9"/>
  <c r="BE13" i="9"/>
  <c r="BF13" i="9"/>
  <c r="BG13" i="9"/>
  <c r="BH13" i="9"/>
  <c r="E3" i="8" l="1"/>
  <c r="C8" i="9"/>
  <c r="D8" i="9"/>
  <c r="E8" i="9"/>
  <c r="F8" i="9"/>
  <c r="G8" i="9"/>
  <c r="H8" i="9"/>
  <c r="I8" i="9"/>
  <c r="J8" i="9"/>
  <c r="K8" i="9"/>
  <c r="L8" i="9"/>
  <c r="M8" i="9"/>
  <c r="B8" i="9"/>
  <c r="C13" i="9"/>
  <c r="D13" i="9"/>
  <c r="E13" i="9"/>
  <c r="F13" i="9"/>
  <c r="G13" i="9"/>
  <c r="H13" i="9"/>
  <c r="I13" i="9"/>
  <c r="J13" i="9"/>
  <c r="K13" i="9"/>
  <c r="L13" i="9"/>
  <c r="M13" i="9"/>
  <c r="B13" i="9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15" i="1"/>
  <c r="P5" i="1"/>
  <c r="O5" i="1"/>
  <c r="N5" i="1"/>
  <c r="Q3" i="1"/>
  <c r="P3" i="1"/>
  <c r="O3" i="1"/>
  <c r="N3" i="1"/>
  <c r="E4" i="8"/>
  <c r="C13" i="8"/>
  <c r="C9" i="8"/>
  <c r="D7" i="8" s="1"/>
  <c r="C5" i="8"/>
  <c r="D3" i="8" s="1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10" i="7"/>
  <c r="R3" i="1" l="1" a="1"/>
  <c r="R4" i="1" s="1"/>
  <c r="C9" i="1" s="1"/>
  <c r="E7" i="8"/>
  <c r="F7" i="8"/>
  <c r="F3" i="8"/>
  <c r="D4" i="8"/>
  <c r="F4" i="8" s="1"/>
  <c r="D8" i="8"/>
  <c r="R5" i="1" l="1"/>
  <c r="C10" i="1" s="1"/>
  <c r="R6" i="1"/>
  <c r="C11" i="1" s="1"/>
  <c r="R3" i="1"/>
  <c r="E8" i="8"/>
  <c r="F8" i="8" s="1"/>
  <c r="D15" i="1" l="1"/>
  <c r="D16" i="1"/>
  <c r="D24" i="1"/>
  <c r="D32" i="1"/>
  <c r="D19" i="1"/>
  <c r="D27" i="1"/>
  <c r="D35" i="1"/>
  <c r="D29" i="1"/>
  <c r="D22" i="1"/>
  <c r="D31" i="1"/>
  <c r="D17" i="1"/>
  <c r="D25" i="1"/>
  <c r="D33" i="1"/>
  <c r="C8" i="1"/>
  <c r="Q20" i="11" s="1"/>
  <c r="D18" i="1"/>
  <c r="D26" i="1"/>
  <c r="D34" i="1"/>
  <c r="D20" i="1"/>
  <c r="D28" i="1"/>
  <c r="D21" i="1"/>
  <c r="D30" i="1"/>
  <c r="D23" i="1"/>
  <c r="Q27" i="11" l="1"/>
  <c r="Q35" i="11"/>
  <c r="Q28" i="11"/>
  <c r="Q36" i="11"/>
  <c r="Q21" i="11"/>
  <c r="Q29" i="11"/>
  <c r="Q37" i="11"/>
  <c r="Q22" i="11"/>
  <c r="Q30" i="11"/>
  <c r="Q38" i="11"/>
  <c r="Q23" i="11"/>
  <c r="Q31" i="11"/>
  <c r="Q39" i="11"/>
  <c r="Q24" i="11"/>
  <c r="Q32" i="11"/>
  <c r="Q40" i="11"/>
  <c r="Q25" i="11"/>
  <c r="Q33" i="11"/>
  <c r="Q26" i="11"/>
  <c r="Q34" i="11"/>
  <c r="X546" i="10"/>
  <c r="AA546" i="10" s="1"/>
  <c r="W579" i="10"/>
  <c r="Z579" i="10" s="1"/>
  <c r="W504" i="10"/>
  <c r="X544" i="10"/>
  <c r="AA544" i="10" s="1"/>
  <c r="X520" i="10"/>
  <c r="W531" i="10"/>
  <c r="W551" i="10"/>
  <c r="Z551" i="10" s="1"/>
  <c r="W517" i="10"/>
  <c r="W577" i="10"/>
  <c r="Z577" i="10" s="1"/>
  <c r="X576" i="10"/>
  <c r="AA576" i="10" s="1"/>
  <c r="W541" i="10"/>
  <c r="Z541" i="10" s="1"/>
  <c r="W524" i="10"/>
  <c r="W565" i="10"/>
  <c r="Z565" i="10" s="1"/>
  <c r="X527" i="10"/>
  <c r="W526" i="10"/>
  <c r="W542" i="10"/>
  <c r="Z542" i="10" s="1"/>
  <c r="X567" i="10"/>
  <c r="AA567" i="10" s="1"/>
  <c r="X507" i="10"/>
  <c r="X531" i="10"/>
  <c r="X581" i="10"/>
  <c r="AA581" i="10" s="1"/>
  <c r="W530" i="10"/>
  <c r="X538" i="10"/>
  <c r="AA538" i="10" s="1"/>
  <c r="X522" i="10"/>
  <c r="W573" i="10"/>
  <c r="Z573" i="10" s="1"/>
  <c r="W576" i="10"/>
  <c r="Z576" i="10" s="1"/>
  <c r="W532" i="10"/>
  <c r="X573" i="10"/>
  <c r="AA573" i="10" s="1"/>
  <c r="X565" i="10"/>
  <c r="AA565" i="10" s="1"/>
  <c r="W560" i="10"/>
  <c r="Z560" i="10" s="1"/>
  <c r="X506" i="10"/>
  <c r="X534" i="10"/>
  <c r="AA534" i="10" s="1"/>
  <c r="X580" i="10"/>
  <c r="AA580" i="10" s="1"/>
  <c r="W558" i="10"/>
  <c r="Z558" i="10" s="1"/>
  <c r="W533" i="10"/>
  <c r="X551" i="10"/>
  <c r="AA551" i="10" s="1"/>
  <c r="X537" i="10"/>
  <c r="AA537" i="10" s="1"/>
  <c r="W520" i="10"/>
  <c r="X518" i="10"/>
  <c r="X530" i="10"/>
  <c r="X524" i="10"/>
  <c r="X513" i="10"/>
  <c r="X574" i="10"/>
  <c r="AA574" i="10" s="1"/>
  <c r="W570" i="10"/>
  <c r="Z570" i="10" s="1"/>
  <c r="X515" i="10"/>
  <c r="X521" i="10"/>
  <c r="X571" i="10"/>
  <c r="AA571" i="10" s="1"/>
  <c r="X549" i="10"/>
  <c r="AA549" i="10" s="1"/>
  <c r="W543" i="10"/>
  <c r="Z543" i="10" s="1"/>
  <c r="W529" i="10"/>
  <c r="X579" i="10"/>
  <c r="AA579" i="10" s="1"/>
  <c r="W508" i="10"/>
  <c r="X558" i="10"/>
  <c r="AA558" i="10" s="1"/>
  <c r="X533" i="10"/>
  <c r="X550" i="10"/>
  <c r="AA550" i="10" s="1"/>
  <c r="W568" i="10"/>
  <c r="Z568" i="10" s="1"/>
  <c r="W569" i="10"/>
  <c r="Z569" i="10" s="1"/>
  <c r="X512" i="10"/>
  <c r="W512" i="10"/>
  <c r="W554" i="10"/>
  <c r="Z554" i="10" s="1"/>
  <c r="W548" i="10"/>
  <c r="Z548" i="10" s="1"/>
  <c r="W549" i="10"/>
  <c r="Z549" i="10" s="1"/>
  <c r="W528" i="10"/>
  <c r="W511" i="10"/>
  <c r="W574" i="10"/>
  <c r="Z574" i="10" s="1"/>
  <c r="W539" i="10"/>
  <c r="Z539" i="10" s="1"/>
  <c r="X508" i="10"/>
  <c r="X529" i="10"/>
  <c r="W540" i="10"/>
  <c r="Z540" i="10" s="1"/>
  <c r="X555" i="10"/>
  <c r="AA555" i="10" s="1"/>
  <c r="X553" i="10"/>
  <c r="AA553" i="10" s="1"/>
  <c r="X566" i="10"/>
  <c r="AA566" i="10" s="1"/>
  <c r="X523" i="10"/>
  <c r="X569" i="10"/>
  <c r="AA569" i="10" s="1"/>
  <c r="X554" i="10"/>
  <c r="AA554" i="10" s="1"/>
  <c r="W555" i="10"/>
  <c r="Z555" i="10" s="1"/>
  <c r="X503" i="10"/>
  <c r="X517" i="10"/>
  <c r="X552" i="10"/>
  <c r="AA552" i="10" s="1"/>
  <c r="X559" i="10"/>
  <c r="AA559" i="10" s="1"/>
  <c r="X575" i="10"/>
  <c r="AA575" i="10" s="1"/>
  <c r="X547" i="10"/>
  <c r="AA547" i="10" s="1"/>
  <c r="W545" i="10"/>
  <c r="Z545" i="10" s="1"/>
  <c r="X504" i="10"/>
  <c r="X561" i="10"/>
  <c r="AA561" i="10" s="1"/>
  <c r="X509" i="10"/>
  <c r="X541" i="10"/>
  <c r="AA541" i="10" s="1"/>
  <c r="W557" i="10"/>
  <c r="Z557" i="10" s="1"/>
  <c r="W564" i="10"/>
  <c r="Z564" i="10" s="1"/>
  <c r="W575" i="10"/>
  <c r="Z575" i="10" s="1"/>
  <c r="X562" i="10"/>
  <c r="AA562" i="10" s="1"/>
  <c r="W516" i="10"/>
  <c r="X568" i="10"/>
  <c r="AA568" i="10" s="1"/>
  <c r="X511" i="10"/>
  <c r="W561" i="10"/>
  <c r="Z561" i="10" s="1"/>
  <c r="X578" i="10"/>
  <c r="AA578" i="10" s="1"/>
  <c r="W580" i="10"/>
  <c r="Z580" i="10" s="1"/>
  <c r="X540" i="10"/>
  <c r="AA540" i="10" s="1"/>
  <c r="W544" i="10"/>
  <c r="Z544" i="10" s="1"/>
  <c r="X557" i="10"/>
  <c r="AA557" i="10" s="1"/>
  <c r="W534" i="10"/>
  <c r="Z534" i="10" s="1"/>
  <c r="X516" i="10"/>
  <c r="X505" i="10"/>
  <c r="X510" i="10"/>
  <c r="W503" i="10"/>
  <c r="W550" i="10"/>
  <c r="Z550" i="10" s="1"/>
  <c r="X577" i="10"/>
  <c r="AA577" i="10" s="1"/>
  <c r="W572" i="10"/>
  <c r="Z572" i="10" s="1"/>
  <c r="X542" i="10"/>
  <c r="AA542" i="10" s="1"/>
  <c r="W518" i="10"/>
  <c r="W547" i="10"/>
  <c r="Z547" i="10" s="1"/>
  <c r="W567" i="10"/>
  <c r="Z567" i="10" s="1"/>
  <c r="W556" i="10"/>
  <c r="Z556" i="10" s="1"/>
  <c r="W525" i="10"/>
  <c r="W505" i="10"/>
  <c r="X532" i="10"/>
  <c r="W506" i="10"/>
  <c r="X563" i="10"/>
  <c r="AA563" i="10" s="1"/>
  <c r="W559" i="10"/>
  <c r="Z559" i="10" s="1"/>
  <c r="X572" i="10"/>
  <c r="AA572" i="10" s="1"/>
  <c r="W546" i="10"/>
  <c r="Z546" i="10" s="1"/>
  <c r="X539" i="10"/>
  <c r="AA539" i="10" s="1"/>
  <c r="W510" i="10"/>
  <c r="W507" i="10"/>
  <c r="X528" i="10"/>
  <c r="W571" i="10"/>
  <c r="Z571" i="10" s="1"/>
  <c r="X519" i="10"/>
  <c r="X560" i="10"/>
  <c r="AA560" i="10" s="1"/>
  <c r="X535" i="10"/>
  <c r="AA535" i="10" s="1"/>
  <c r="W523" i="10"/>
  <c r="W552" i="10"/>
  <c r="Z552" i="10" s="1"/>
  <c r="W538" i="10"/>
  <c r="Z538" i="10" s="1"/>
  <c r="W566" i="10"/>
  <c r="Z566" i="10" s="1"/>
  <c r="W536" i="10"/>
  <c r="Z536" i="10" s="1"/>
  <c r="W527" i="10"/>
  <c r="X545" i="10"/>
  <c r="AA545" i="10" s="1"/>
  <c r="X526" i="10"/>
  <c r="W553" i="10"/>
  <c r="Z553" i="10" s="1"/>
  <c r="W535" i="10"/>
  <c r="Z535" i="10" s="1"/>
  <c r="X514" i="10"/>
  <c r="W537" i="10"/>
  <c r="Z537" i="10" s="1"/>
  <c r="W521" i="10"/>
  <c r="X536" i="10"/>
  <c r="AA536" i="10" s="1"/>
  <c r="X570" i="10"/>
  <c r="AA570" i="10" s="1"/>
  <c r="X543" i="10"/>
  <c r="AA543" i="10" s="1"/>
  <c r="X525" i="10"/>
  <c r="W578" i="10"/>
  <c r="Z578" i="10" s="1"/>
  <c r="X548" i="10"/>
  <c r="AA548" i="10" s="1"/>
  <c r="W513" i="10"/>
  <c r="W562" i="10"/>
  <c r="Z562" i="10" s="1"/>
  <c r="W519" i="10"/>
  <c r="W563" i="10"/>
  <c r="Z563" i="10" s="1"/>
  <c r="W509" i="10"/>
  <c r="W581" i="10"/>
  <c r="Z581" i="10" s="1"/>
  <c r="X556" i="10"/>
  <c r="AA556" i="10" s="1"/>
  <c r="W522" i="10"/>
  <c r="X564" i="10"/>
  <c r="AA564" i="10" s="1"/>
  <c r="W515" i="10"/>
  <c r="W514" i="10"/>
  <c r="AD548" i="10" l="1"/>
  <c r="AE548" i="10"/>
  <c r="AG548" i="10" s="1"/>
  <c r="AC535" i="10"/>
  <c r="AB535" i="10"/>
  <c r="AC547" i="10"/>
  <c r="AB547" i="10"/>
  <c r="AC537" i="10"/>
  <c r="AB537" i="10"/>
  <c r="AB550" i="10"/>
  <c r="AC550" i="10"/>
  <c r="AB544" i="10"/>
  <c r="AC544" i="10"/>
  <c r="AE568" i="10"/>
  <c r="AG568" i="10" s="1"/>
  <c r="AD568" i="10"/>
  <c r="AE553" i="10"/>
  <c r="AG553" i="10" s="1"/>
  <c r="AD553" i="10"/>
  <c r="AC539" i="10"/>
  <c r="AB539" i="10"/>
  <c r="AD574" i="10"/>
  <c r="AE574" i="10"/>
  <c r="AG574" i="10" s="1"/>
  <c r="AD567" i="10"/>
  <c r="AE567" i="10"/>
  <c r="AG567" i="10" s="1"/>
  <c r="AE576" i="10"/>
  <c r="AG576" i="10" s="1"/>
  <c r="AD576" i="10"/>
  <c r="AD546" i="10"/>
  <c r="AE546" i="10"/>
  <c r="AG546" i="10" s="1"/>
  <c r="AC536" i="10"/>
  <c r="AB536" i="10"/>
  <c r="AD572" i="10"/>
  <c r="AE572" i="10"/>
  <c r="AG572" i="10" s="1"/>
  <c r="AD577" i="10"/>
  <c r="AE577" i="10"/>
  <c r="AG577" i="10" s="1"/>
  <c r="AC580" i="10"/>
  <c r="AB580" i="10"/>
  <c r="AC557" i="10"/>
  <c r="AB557" i="10"/>
  <c r="AC545" i="10"/>
  <c r="AB545" i="10"/>
  <c r="AE575" i="10"/>
  <c r="AG575" i="10" s="1"/>
  <c r="AD575" i="10"/>
  <c r="AB568" i="10"/>
  <c r="AC568" i="10"/>
  <c r="AC577" i="10"/>
  <c r="AB577" i="10"/>
  <c r="AD579" i="10"/>
  <c r="AE579" i="10"/>
  <c r="AG579" i="10" s="1"/>
  <c r="AB541" i="10"/>
  <c r="AC541" i="10"/>
  <c r="AE555" i="10"/>
  <c r="AG555" i="10" s="1"/>
  <c r="AD555" i="10"/>
  <c r="AE564" i="10"/>
  <c r="AG564" i="10" s="1"/>
  <c r="AD564" i="10"/>
  <c r="AD540" i="10"/>
  <c r="AE540" i="10"/>
  <c r="AG540" i="10" s="1"/>
  <c r="AC578" i="10"/>
  <c r="AB578" i="10"/>
  <c r="AD536" i="10"/>
  <c r="AE536" i="10"/>
  <c r="AG536" i="10" s="1"/>
  <c r="AB552" i="10"/>
  <c r="AC552" i="10"/>
  <c r="AE560" i="10"/>
  <c r="AG560" i="10" s="1"/>
  <c r="AD560" i="10"/>
  <c r="AC556" i="10"/>
  <c r="AB556" i="10"/>
  <c r="AB534" i="10"/>
  <c r="AC534" i="10"/>
  <c r="AE578" i="10"/>
  <c r="AG578" i="10" s="1"/>
  <c r="AD578" i="10"/>
  <c r="AC575" i="10"/>
  <c r="AB575" i="10"/>
  <c r="AE541" i="10"/>
  <c r="AG541" i="10" s="1"/>
  <c r="AD541" i="10"/>
  <c r="AD552" i="10"/>
  <c r="AE552" i="10"/>
  <c r="AG552" i="10" s="1"/>
  <c r="AB540" i="10"/>
  <c r="AC540" i="10"/>
  <c r="AD558" i="10"/>
  <c r="AE558" i="10"/>
  <c r="AG558" i="10" s="1"/>
  <c r="AE551" i="10"/>
  <c r="AG551" i="10" s="1"/>
  <c r="AD551" i="10"/>
  <c r="AB560" i="10"/>
  <c r="AC560" i="10"/>
  <c r="AE573" i="10"/>
  <c r="AG573" i="10" s="1"/>
  <c r="AD573" i="10"/>
  <c r="AB576" i="10"/>
  <c r="AC576" i="10"/>
  <c r="AE538" i="10"/>
  <c r="AG538" i="10" s="1"/>
  <c r="AD538" i="10"/>
  <c r="AC546" i="10"/>
  <c r="AB546" i="10"/>
  <c r="AE542" i="10"/>
  <c r="AG542" i="10" s="1"/>
  <c r="AD542" i="10"/>
  <c r="AE557" i="10"/>
  <c r="AG557" i="10" s="1"/>
  <c r="AD557" i="10"/>
  <c r="AD561" i="10"/>
  <c r="AE561" i="10"/>
  <c r="AG561" i="10" s="1"/>
  <c r="AB554" i="10"/>
  <c r="AC554" i="10"/>
  <c r="AD559" i="10"/>
  <c r="AE559" i="10"/>
  <c r="AG559" i="10" s="1"/>
  <c r="AE535" i="10"/>
  <c r="AG535" i="10" s="1"/>
  <c r="AD535" i="10"/>
  <c r="AD539" i="10"/>
  <c r="AE539" i="10"/>
  <c r="AG539" i="10" s="1"/>
  <c r="AC555" i="10"/>
  <c r="AB555" i="10"/>
  <c r="AD550" i="10"/>
  <c r="AE550" i="10"/>
  <c r="AG550" i="10" s="1"/>
  <c r="AE549" i="10"/>
  <c r="AG549" i="10" s="1"/>
  <c r="AD549" i="10"/>
  <c r="AB565" i="10"/>
  <c r="AC565" i="10"/>
  <c r="AD556" i="10"/>
  <c r="AE556" i="10"/>
  <c r="AG556" i="10" s="1"/>
  <c r="AB581" i="10"/>
  <c r="AC581" i="10"/>
  <c r="AD563" i="10"/>
  <c r="AE563" i="10"/>
  <c r="AG563" i="10" s="1"/>
  <c r="AC572" i="10"/>
  <c r="AB572" i="10"/>
  <c r="AB564" i="10"/>
  <c r="AC564" i="10"/>
  <c r="AD547" i="10"/>
  <c r="AE547" i="10"/>
  <c r="AG547" i="10" s="1"/>
  <c r="AC574" i="10"/>
  <c r="AB574" i="10"/>
  <c r="AC570" i="10"/>
  <c r="AB570" i="10"/>
  <c r="AE580" i="10"/>
  <c r="AG580" i="10" s="1"/>
  <c r="AD580" i="10"/>
  <c r="AB573" i="10"/>
  <c r="AC573" i="10"/>
  <c r="AD581" i="10"/>
  <c r="AE581" i="10"/>
  <c r="AG581" i="10" s="1"/>
  <c r="AB579" i="10"/>
  <c r="AC579" i="10"/>
  <c r="AE545" i="10"/>
  <c r="AG545" i="10" s="1"/>
  <c r="AD545" i="10"/>
  <c r="AD571" i="10"/>
  <c r="AE571" i="10"/>
  <c r="AG571" i="10" s="1"/>
  <c r="AC562" i="10"/>
  <c r="AB562" i="10"/>
  <c r="AB563" i="10"/>
  <c r="AC563" i="10"/>
  <c r="AB566" i="10"/>
  <c r="AC566" i="10"/>
  <c r="AD562" i="10"/>
  <c r="AE562" i="10"/>
  <c r="AG562" i="10" s="1"/>
  <c r="AB569" i="10"/>
  <c r="AC569" i="10"/>
  <c r="AB542" i="10"/>
  <c r="AC542" i="10"/>
  <c r="AD570" i="10"/>
  <c r="AE570" i="10"/>
  <c r="AG570" i="10" s="1"/>
  <c r="AB538" i="10"/>
  <c r="AC538" i="10"/>
  <c r="AB559" i="10"/>
  <c r="AC559" i="10"/>
  <c r="AB561" i="10"/>
  <c r="AC561" i="10"/>
  <c r="AD569" i="10"/>
  <c r="AE569" i="10"/>
  <c r="AG569" i="10" s="1"/>
  <c r="AC549" i="10"/>
  <c r="AB549" i="10"/>
  <c r="AB558" i="10"/>
  <c r="AC558" i="10"/>
  <c r="AD543" i="10"/>
  <c r="AE543" i="10"/>
  <c r="AG543" i="10" s="1"/>
  <c r="AB553" i="10"/>
  <c r="AC553" i="10"/>
  <c r="AC571" i="10"/>
  <c r="AB571" i="10"/>
  <c r="AC567" i="10"/>
  <c r="AB567" i="10"/>
  <c r="AD554" i="10"/>
  <c r="AE554" i="10"/>
  <c r="AG554" i="10" s="1"/>
  <c r="AE566" i="10"/>
  <c r="AG566" i="10" s="1"/>
  <c r="AD566" i="10"/>
  <c r="AC548" i="10"/>
  <c r="AB548" i="10"/>
  <c r="AB543" i="10"/>
  <c r="AC543" i="10"/>
  <c r="AD537" i="10"/>
  <c r="AE537" i="10"/>
  <c r="AG537" i="10" s="1"/>
  <c r="AE534" i="10"/>
  <c r="AG534" i="10" s="1"/>
  <c r="AD534" i="10"/>
  <c r="AD565" i="10"/>
  <c r="AE565" i="10"/>
  <c r="AG565" i="10" s="1"/>
  <c r="AC551" i="10"/>
  <c r="AB551" i="10"/>
  <c r="AD544" i="10"/>
  <c r="AE544" i="10"/>
  <c r="AG544" i="10" s="1"/>
  <c r="AY514" i="9" l="1"/>
  <c r="AY515" i="9" s="1"/>
  <c r="AY516" i="9" s="1"/>
  <c r="AY517" i="9" s="1"/>
  <c r="AY518" i="9" s="1"/>
  <c r="AY519" i="9" s="1"/>
  <c r="AY520" i="9" s="1"/>
  <c r="AY521" i="9" s="1"/>
  <c r="AY522" i="9" s="1"/>
  <c r="AY523" i="9" s="1"/>
  <c r="AY524" i="9" s="1"/>
  <c r="AY525" i="9" s="1"/>
  <c r="AY526" i="9" s="1"/>
  <c r="AY527" i="9" s="1"/>
  <c r="AY528" i="9" s="1"/>
  <c r="AY529" i="9" s="1"/>
  <c r="AY530" i="9" s="1"/>
  <c r="AY531" i="9" s="1"/>
  <c r="AY532" i="9" s="1"/>
  <c r="AY533" i="9" s="1"/>
  <c r="AY534" i="9" s="1"/>
  <c r="AY535" i="9" s="1"/>
  <c r="AY536" i="9" s="1"/>
  <c r="AY537" i="9" s="1"/>
  <c r="AY538" i="9" s="1"/>
  <c r="AY539" i="9" s="1"/>
  <c r="AY540" i="9" s="1"/>
  <c r="AY541" i="9" s="1"/>
  <c r="AY542" i="9" s="1"/>
  <c r="AY543" i="9" s="1"/>
  <c r="AY544" i="9" s="1"/>
  <c r="AY545" i="9" s="1"/>
  <c r="AY546" i="9" s="1"/>
  <c r="AY547" i="9" s="1"/>
  <c r="AY548" i="9" s="1"/>
  <c r="AY549" i="9" s="1"/>
  <c r="AY550" i="9" s="1"/>
  <c r="AY551" i="9" s="1"/>
  <c r="AY552" i="9" s="1"/>
  <c r="AY553" i="9" s="1"/>
  <c r="AY554" i="9" s="1"/>
  <c r="AY555" i="9" s="1"/>
  <c r="AY556" i="9" s="1"/>
  <c r="AY557" i="9" s="1"/>
  <c r="AY558" i="9" s="1"/>
  <c r="AY559" i="9" s="1"/>
  <c r="AY560" i="9" s="1"/>
  <c r="AY561" i="9" s="1"/>
  <c r="AY562" i="9" s="1"/>
  <c r="AY563" i="9" s="1"/>
  <c r="AY564" i="9" s="1"/>
  <c r="AY565" i="9" s="1"/>
  <c r="AY566" i="9" s="1"/>
  <c r="AY567" i="9" s="1"/>
  <c r="AY568" i="9" s="1"/>
  <c r="AY569" i="9" s="1"/>
  <c r="AY570" i="9" s="1"/>
  <c r="AY571" i="9" s="1"/>
  <c r="AY572" i="9" s="1"/>
  <c r="AY573" i="9" s="1"/>
  <c r="AY574" i="9" s="1"/>
  <c r="AY575" i="9" s="1"/>
  <c r="AY576" i="9" s="1"/>
  <c r="AY577" i="9" s="1"/>
  <c r="AY578" i="9" s="1"/>
  <c r="AY579" i="9" s="1"/>
  <c r="AY580" i="9" s="1"/>
  <c r="AY581" i="9" s="1"/>
  <c r="AY582" i="9" s="1"/>
  <c r="AY583" i="9" s="1"/>
  <c r="AY584" i="9" s="1"/>
  <c r="AY585" i="9" s="1"/>
  <c r="AY586" i="9" s="1"/>
  <c r="AY587" i="9" s="1"/>
  <c r="AY588" i="9" s="1"/>
  <c r="AY589" i="9" s="1"/>
  <c r="AY590" i="9" s="1"/>
  <c r="AY591" i="9" s="1"/>
  <c r="AY592" i="9" s="1"/>
  <c r="AY593" i="9" s="1"/>
  <c r="AY594" i="9" s="1"/>
  <c r="AY595" i="9" s="1"/>
  <c r="AY596" i="9" s="1"/>
  <c r="AY597" i="9" s="1"/>
  <c r="AY598" i="9" s="1"/>
  <c r="AY599" i="9" s="1"/>
  <c r="AY600" i="9" s="1"/>
  <c r="AY601" i="9" s="1"/>
  <c r="AY602" i="9" s="1"/>
  <c r="AY603" i="9" s="1"/>
  <c r="AY604" i="9" s="1"/>
  <c r="AY605" i="9" s="1"/>
  <c r="AY606" i="9" s="1"/>
  <c r="AY607" i="9" s="1"/>
  <c r="AY608" i="9" s="1"/>
  <c r="AY609" i="9" s="1"/>
  <c r="AY610" i="9" s="1"/>
  <c r="AY611" i="9" s="1"/>
  <c r="AY612" i="9" s="1"/>
  <c r="AY613" i="9" s="1"/>
  <c r="AY614" i="9" s="1"/>
  <c r="AY615" i="9" s="1"/>
  <c r="AY616" i="9" s="1"/>
  <c r="AY617" i="9" s="1"/>
  <c r="AY618" i="9" s="1"/>
  <c r="AY619" i="9" s="1"/>
  <c r="AY620" i="9" s="1"/>
  <c r="AY621" i="9" s="1"/>
  <c r="AY622" i="9" s="1"/>
  <c r="AY623" i="9" s="1"/>
  <c r="AY624" i="9" s="1"/>
  <c r="AY625" i="9" s="1"/>
  <c r="AY626" i="9" s="1"/>
  <c r="AY627" i="9" s="1"/>
  <c r="AY628" i="9" s="1"/>
  <c r="AY629" i="9" s="1"/>
  <c r="AY630" i="9" s="1"/>
  <c r="AY631" i="9" s="1"/>
  <c r="AY632" i="9" s="1"/>
  <c r="AY633" i="9" s="1"/>
  <c r="AY634" i="9" s="1"/>
  <c r="AY635" i="9" s="1"/>
  <c r="AY636" i="9" s="1"/>
  <c r="AY637" i="9" s="1"/>
  <c r="AY638" i="9" s="1"/>
  <c r="AY639" i="9" s="1"/>
  <c r="AY640" i="9" s="1"/>
  <c r="AY641" i="9" s="1"/>
  <c r="AY642" i="9" s="1"/>
  <c r="AY643" i="9" s="1"/>
  <c r="AY644" i="9" s="1"/>
  <c r="AY645" i="9" s="1"/>
  <c r="AY646" i="9" s="1"/>
  <c r="AY647" i="9" s="1"/>
  <c r="AY648" i="9" s="1"/>
  <c r="AY649" i="9" s="1"/>
  <c r="AY650" i="9" s="1"/>
  <c r="AY651" i="9" s="1"/>
  <c r="AY652" i="9" s="1"/>
  <c r="AY653" i="9" s="1"/>
  <c r="AY654" i="9" s="1"/>
  <c r="AY655" i="9" s="1"/>
  <c r="AY656" i="9" s="1"/>
  <c r="BA514" i="9"/>
  <c r="BA515" i="9" s="1"/>
  <c r="BA516" i="9" s="1"/>
  <c r="BA517" i="9" s="1"/>
  <c r="BA518" i="9" s="1"/>
  <c r="BA519" i="9" s="1"/>
  <c r="BA520" i="9" s="1"/>
  <c r="BA521" i="9" s="1"/>
  <c r="BA522" i="9" s="1"/>
  <c r="BA523" i="9" s="1"/>
  <c r="BA524" i="9" s="1"/>
  <c r="BA525" i="9" s="1"/>
  <c r="BA526" i="9" s="1"/>
  <c r="BA527" i="9" s="1"/>
  <c r="BA528" i="9" s="1"/>
  <c r="BA529" i="9" s="1"/>
  <c r="BA530" i="9" s="1"/>
  <c r="BA531" i="9" s="1"/>
  <c r="BA532" i="9" s="1"/>
  <c r="BA533" i="9" s="1"/>
  <c r="BA534" i="9" s="1"/>
  <c r="BA535" i="9" s="1"/>
  <c r="BA536" i="9" s="1"/>
  <c r="BA537" i="9" s="1"/>
  <c r="BA538" i="9" s="1"/>
  <c r="BA539" i="9" s="1"/>
  <c r="BA540" i="9" s="1"/>
  <c r="BA541" i="9" s="1"/>
  <c r="BA542" i="9" s="1"/>
  <c r="BA543" i="9" s="1"/>
  <c r="BA544" i="9" s="1"/>
  <c r="BA545" i="9" s="1"/>
  <c r="BA546" i="9" s="1"/>
  <c r="BA547" i="9" s="1"/>
  <c r="BA548" i="9" s="1"/>
  <c r="BA549" i="9" s="1"/>
  <c r="BA550" i="9" s="1"/>
  <c r="BA551" i="9" s="1"/>
  <c r="BA552" i="9" s="1"/>
  <c r="BA553" i="9" s="1"/>
  <c r="BA554" i="9" s="1"/>
  <c r="BA555" i="9" s="1"/>
  <c r="BA556" i="9" s="1"/>
  <c r="BA557" i="9" s="1"/>
  <c r="BA558" i="9" s="1"/>
  <c r="BA559" i="9" s="1"/>
  <c r="BA560" i="9" s="1"/>
  <c r="BA561" i="9" s="1"/>
  <c r="BA562" i="9" s="1"/>
  <c r="BA563" i="9" s="1"/>
  <c r="BA564" i="9" s="1"/>
  <c r="BA565" i="9" s="1"/>
  <c r="BA566" i="9" s="1"/>
  <c r="BA567" i="9" s="1"/>
  <c r="BA568" i="9" s="1"/>
  <c r="BA569" i="9" s="1"/>
  <c r="BA570" i="9" s="1"/>
  <c r="BA571" i="9" s="1"/>
  <c r="BA572" i="9" s="1"/>
  <c r="BA573" i="9" s="1"/>
  <c r="BA574" i="9" s="1"/>
  <c r="BA575" i="9" s="1"/>
  <c r="BA576" i="9" s="1"/>
  <c r="BA577" i="9" s="1"/>
  <c r="BA578" i="9" s="1"/>
  <c r="BA579" i="9" s="1"/>
  <c r="BA580" i="9" s="1"/>
  <c r="BA581" i="9" s="1"/>
  <c r="BA582" i="9" s="1"/>
  <c r="BA583" i="9" s="1"/>
  <c r="BA584" i="9" s="1"/>
  <c r="BA585" i="9" s="1"/>
  <c r="BA586" i="9" s="1"/>
  <c r="BA587" i="9" s="1"/>
  <c r="BA588" i="9" s="1"/>
  <c r="BA589" i="9" s="1"/>
  <c r="BA590" i="9" s="1"/>
  <c r="BA591" i="9" s="1"/>
  <c r="BA592" i="9" s="1"/>
  <c r="BA593" i="9" s="1"/>
  <c r="BA594" i="9" s="1"/>
  <c r="BA595" i="9" s="1"/>
  <c r="BA596" i="9" s="1"/>
  <c r="BA597" i="9" s="1"/>
  <c r="BA598" i="9" s="1"/>
  <c r="BA599" i="9" s="1"/>
  <c r="BA600" i="9" s="1"/>
  <c r="BA601" i="9" s="1"/>
  <c r="BA602" i="9" s="1"/>
  <c r="BA603" i="9" s="1"/>
  <c r="BA604" i="9" s="1"/>
  <c r="BA605" i="9" s="1"/>
  <c r="BA606" i="9" s="1"/>
  <c r="BA607" i="9" s="1"/>
  <c r="BA608" i="9" s="1"/>
  <c r="BA609" i="9" s="1"/>
  <c r="BA610" i="9" s="1"/>
  <c r="BA611" i="9" s="1"/>
  <c r="BA612" i="9" s="1"/>
  <c r="BA613" i="9" s="1"/>
  <c r="BA614" i="9" s="1"/>
  <c r="BA615" i="9" s="1"/>
  <c r="BA616" i="9" s="1"/>
  <c r="BA617" i="9" s="1"/>
  <c r="BA618" i="9" s="1"/>
  <c r="BA619" i="9" s="1"/>
  <c r="BA620" i="9" s="1"/>
  <c r="BA621" i="9" s="1"/>
  <c r="BA622" i="9" s="1"/>
  <c r="BA623" i="9" s="1"/>
  <c r="BA624" i="9" s="1"/>
  <c r="BA625" i="9" s="1"/>
  <c r="BA626" i="9" s="1"/>
  <c r="BA627" i="9" s="1"/>
  <c r="BA628" i="9" s="1"/>
  <c r="BA629" i="9" s="1"/>
  <c r="BA630" i="9" s="1"/>
  <c r="BA631" i="9" s="1"/>
  <c r="BA632" i="9" s="1"/>
  <c r="BA633" i="9" s="1"/>
  <c r="BA634" i="9" s="1"/>
  <c r="BA635" i="9" s="1"/>
  <c r="BA636" i="9" s="1"/>
  <c r="BA637" i="9" s="1"/>
  <c r="BA638" i="9" s="1"/>
  <c r="BA639" i="9" s="1"/>
  <c r="BA640" i="9" s="1"/>
  <c r="BA641" i="9" s="1"/>
  <c r="BA642" i="9" s="1"/>
  <c r="BA643" i="9" s="1"/>
  <c r="BA644" i="9" s="1"/>
  <c r="BA645" i="9" s="1"/>
  <c r="BA646" i="9" s="1"/>
  <c r="BA647" i="9" s="1"/>
  <c r="BA648" i="9" s="1"/>
  <c r="BA649" i="9" s="1"/>
  <c r="BA650" i="9" s="1"/>
  <c r="BA651" i="9" s="1"/>
  <c r="BA652" i="9" s="1"/>
  <c r="BA653" i="9" s="1"/>
  <c r="BA654" i="9" s="1"/>
  <c r="BA655" i="9" s="1"/>
  <c r="BA656" i="9" s="1"/>
  <c r="BB514" i="9"/>
  <c r="BB515" i="9" s="1"/>
  <c r="BB516" i="9" s="1"/>
  <c r="BB517" i="9" s="1"/>
  <c r="BB518" i="9" s="1"/>
  <c r="BB519" i="9" s="1"/>
  <c r="BB520" i="9" s="1"/>
  <c r="BB521" i="9" s="1"/>
  <c r="BB522" i="9" s="1"/>
  <c r="BB523" i="9" s="1"/>
  <c r="BB524" i="9" s="1"/>
  <c r="BB525" i="9" s="1"/>
  <c r="BB526" i="9" s="1"/>
  <c r="BB527" i="9" s="1"/>
  <c r="BB528" i="9" s="1"/>
  <c r="BB529" i="9" s="1"/>
  <c r="BB530" i="9" s="1"/>
  <c r="BB531" i="9" s="1"/>
  <c r="BB532" i="9" s="1"/>
  <c r="BB533" i="9" s="1"/>
  <c r="BB534" i="9" s="1"/>
  <c r="BB535" i="9" s="1"/>
  <c r="BB536" i="9" s="1"/>
  <c r="BB537" i="9" s="1"/>
  <c r="BB538" i="9" s="1"/>
  <c r="BB539" i="9" s="1"/>
  <c r="BB540" i="9" s="1"/>
  <c r="BB541" i="9" s="1"/>
  <c r="BB542" i="9" s="1"/>
  <c r="BB543" i="9" s="1"/>
  <c r="BB544" i="9" s="1"/>
  <c r="BB545" i="9" s="1"/>
  <c r="BB546" i="9" s="1"/>
  <c r="BB547" i="9" s="1"/>
  <c r="BB548" i="9" s="1"/>
  <c r="BB549" i="9" s="1"/>
  <c r="BB550" i="9" s="1"/>
  <c r="BB551" i="9" s="1"/>
  <c r="BB552" i="9" s="1"/>
  <c r="BB553" i="9" s="1"/>
  <c r="BB554" i="9" s="1"/>
  <c r="BB555" i="9" s="1"/>
  <c r="BB556" i="9" s="1"/>
  <c r="BB557" i="9" s="1"/>
  <c r="BB558" i="9" s="1"/>
  <c r="BB559" i="9" s="1"/>
  <c r="BB560" i="9" s="1"/>
  <c r="BB561" i="9" s="1"/>
  <c r="BB562" i="9" s="1"/>
  <c r="BB563" i="9" s="1"/>
  <c r="BB564" i="9" s="1"/>
  <c r="BB565" i="9" s="1"/>
  <c r="BB566" i="9" s="1"/>
  <c r="BB567" i="9" s="1"/>
  <c r="BB568" i="9" s="1"/>
  <c r="BB569" i="9" s="1"/>
  <c r="BB570" i="9" s="1"/>
  <c r="BB571" i="9" s="1"/>
  <c r="BB572" i="9" s="1"/>
  <c r="BB573" i="9" s="1"/>
  <c r="BB574" i="9" s="1"/>
  <c r="BB575" i="9" s="1"/>
  <c r="BB576" i="9" s="1"/>
  <c r="BB577" i="9" s="1"/>
  <c r="BB578" i="9" s="1"/>
  <c r="BB579" i="9" s="1"/>
  <c r="BB580" i="9" s="1"/>
  <c r="BB581" i="9" s="1"/>
  <c r="BB582" i="9" s="1"/>
  <c r="BB583" i="9" s="1"/>
  <c r="BB584" i="9" s="1"/>
  <c r="BB585" i="9" s="1"/>
  <c r="BB586" i="9" s="1"/>
  <c r="BB587" i="9" s="1"/>
  <c r="BB588" i="9" s="1"/>
  <c r="BB589" i="9" s="1"/>
  <c r="BB590" i="9" s="1"/>
  <c r="BB591" i="9" s="1"/>
  <c r="BB592" i="9" s="1"/>
  <c r="BB593" i="9" s="1"/>
  <c r="BB594" i="9" s="1"/>
  <c r="BB595" i="9" s="1"/>
  <c r="BB596" i="9" s="1"/>
  <c r="BB597" i="9" s="1"/>
  <c r="BB598" i="9" s="1"/>
  <c r="BB599" i="9" s="1"/>
  <c r="BB600" i="9" s="1"/>
  <c r="BB601" i="9" s="1"/>
  <c r="BB602" i="9" s="1"/>
  <c r="BB603" i="9" s="1"/>
  <c r="BB604" i="9" s="1"/>
  <c r="BB605" i="9" s="1"/>
  <c r="BB606" i="9" s="1"/>
  <c r="BB607" i="9" s="1"/>
  <c r="BB608" i="9" s="1"/>
  <c r="BB609" i="9" s="1"/>
  <c r="BB610" i="9" s="1"/>
  <c r="BB611" i="9" s="1"/>
  <c r="BB612" i="9" s="1"/>
  <c r="BB613" i="9" s="1"/>
  <c r="BB614" i="9" s="1"/>
  <c r="BB615" i="9" s="1"/>
  <c r="BB616" i="9" s="1"/>
  <c r="BB617" i="9" s="1"/>
  <c r="BB618" i="9" s="1"/>
  <c r="BB619" i="9" s="1"/>
  <c r="BB620" i="9" s="1"/>
  <c r="BB621" i="9" s="1"/>
  <c r="BB622" i="9" s="1"/>
  <c r="BB623" i="9" s="1"/>
  <c r="BB624" i="9" s="1"/>
  <c r="BB625" i="9" s="1"/>
  <c r="BB626" i="9" s="1"/>
  <c r="BB627" i="9" s="1"/>
  <c r="BB628" i="9" s="1"/>
  <c r="BB629" i="9" s="1"/>
  <c r="BB630" i="9" s="1"/>
  <c r="BB631" i="9" s="1"/>
  <c r="BB632" i="9" s="1"/>
  <c r="BB633" i="9" s="1"/>
  <c r="BB634" i="9" s="1"/>
  <c r="BB635" i="9" s="1"/>
  <c r="BB636" i="9" s="1"/>
  <c r="BB637" i="9" s="1"/>
  <c r="BB638" i="9" s="1"/>
  <c r="BB639" i="9" s="1"/>
  <c r="BB640" i="9" s="1"/>
  <c r="BB641" i="9" s="1"/>
  <c r="BB642" i="9" s="1"/>
  <c r="BB643" i="9" s="1"/>
  <c r="BB644" i="9" s="1"/>
  <c r="BB645" i="9" s="1"/>
  <c r="BB646" i="9" s="1"/>
  <c r="BB647" i="9" s="1"/>
  <c r="BB648" i="9" s="1"/>
  <c r="BB649" i="9" s="1"/>
  <c r="BB650" i="9" s="1"/>
  <c r="BB651" i="9" s="1"/>
  <c r="BB652" i="9" s="1"/>
  <c r="BB653" i="9" s="1"/>
  <c r="BB654" i="9" s="1"/>
  <c r="BB655" i="9" s="1"/>
  <c r="BB656" i="9" s="1"/>
  <c r="AV514" i="9"/>
  <c r="AV515" i="9" s="1"/>
  <c r="AV516" i="9" s="1"/>
  <c r="AV517" i="9" s="1"/>
  <c r="BD514" i="9"/>
  <c r="BD515" i="9" s="1"/>
  <c r="BD516" i="9" s="1"/>
  <c r="BD517" i="9" s="1"/>
  <c r="BD518" i="9" s="1"/>
  <c r="BD519" i="9" s="1"/>
  <c r="BD520" i="9" s="1"/>
  <c r="BD521" i="9" s="1"/>
  <c r="BD522" i="9" s="1"/>
  <c r="BD523" i="9" s="1"/>
  <c r="BD524" i="9" s="1"/>
  <c r="BD525" i="9" s="1"/>
  <c r="BD526" i="9" s="1"/>
  <c r="BD527" i="9" s="1"/>
  <c r="BD528" i="9" s="1"/>
  <c r="BD529" i="9" s="1"/>
  <c r="BD530" i="9" s="1"/>
  <c r="BD531" i="9" s="1"/>
  <c r="BD532" i="9" s="1"/>
  <c r="BD533" i="9" s="1"/>
  <c r="BD534" i="9" s="1"/>
  <c r="BD535" i="9" s="1"/>
  <c r="BD536" i="9" s="1"/>
  <c r="BD537" i="9" s="1"/>
  <c r="BD538" i="9" s="1"/>
  <c r="BD539" i="9" s="1"/>
  <c r="BD540" i="9" s="1"/>
  <c r="BD541" i="9" s="1"/>
  <c r="BD542" i="9" s="1"/>
  <c r="BD543" i="9" s="1"/>
  <c r="BD544" i="9" s="1"/>
  <c r="BD545" i="9" s="1"/>
  <c r="BD546" i="9" s="1"/>
  <c r="BD547" i="9" s="1"/>
  <c r="BD548" i="9" s="1"/>
  <c r="BD549" i="9" s="1"/>
  <c r="BD550" i="9" s="1"/>
  <c r="BD551" i="9" s="1"/>
  <c r="BD552" i="9" s="1"/>
  <c r="BD553" i="9" s="1"/>
  <c r="BD554" i="9" s="1"/>
  <c r="BD555" i="9" s="1"/>
  <c r="BD556" i="9" s="1"/>
  <c r="BD557" i="9" s="1"/>
  <c r="BD558" i="9" s="1"/>
  <c r="BD559" i="9" s="1"/>
  <c r="BD560" i="9" s="1"/>
  <c r="BD561" i="9" s="1"/>
  <c r="BD562" i="9" s="1"/>
  <c r="BD563" i="9" s="1"/>
  <c r="BD564" i="9" s="1"/>
  <c r="BD565" i="9" s="1"/>
  <c r="BD566" i="9" s="1"/>
  <c r="BD567" i="9" s="1"/>
  <c r="BD568" i="9" s="1"/>
  <c r="BD569" i="9" s="1"/>
  <c r="BD570" i="9" s="1"/>
  <c r="BD571" i="9" s="1"/>
  <c r="BD572" i="9" s="1"/>
  <c r="BD573" i="9" s="1"/>
  <c r="BD574" i="9" s="1"/>
  <c r="BD575" i="9" s="1"/>
  <c r="BD576" i="9" s="1"/>
  <c r="BD577" i="9" s="1"/>
  <c r="BD578" i="9" s="1"/>
  <c r="BD579" i="9" s="1"/>
  <c r="BD580" i="9" s="1"/>
  <c r="BD581" i="9" s="1"/>
  <c r="BD582" i="9" s="1"/>
  <c r="BD583" i="9" s="1"/>
  <c r="BD584" i="9" s="1"/>
  <c r="BD585" i="9" s="1"/>
  <c r="BD586" i="9" s="1"/>
  <c r="BD587" i="9" s="1"/>
  <c r="BD588" i="9" s="1"/>
  <c r="BD589" i="9" s="1"/>
  <c r="BD590" i="9" s="1"/>
  <c r="BD591" i="9" s="1"/>
  <c r="BD592" i="9" s="1"/>
  <c r="BD593" i="9" s="1"/>
  <c r="BD594" i="9" s="1"/>
  <c r="BD595" i="9" s="1"/>
  <c r="BD596" i="9" s="1"/>
  <c r="BD597" i="9" s="1"/>
  <c r="BD598" i="9" s="1"/>
  <c r="BD599" i="9" s="1"/>
  <c r="BD600" i="9" s="1"/>
  <c r="BD601" i="9" s="1"/>
  <c r="BD602" i="9" s="1"/>
  <c r="BD603" i="9" s="1"/>
  <c r="BD604" i="9" s="1"/>
  <c r="BD605" i="9" s="1"/>
  <c r="BD606" i="9" s="1"/>
  <c r="BD607" i="9" s="1"/>
  <c r="BD608" i="9" s="1"/>
  <c r="BD609" i="9" s="1"/>
  <c r="BD610" i="9" s="1"/>
  <c r="BD611" i="9" s="1"/>
  <c r="BD612" i="9" s="1"/>
  <c r="BD613" i="9" s="1"/>
  <c r="BD614" i="9" s="1"/>
  <c r="BD615" i="9" s="1"/>
  <c r="BD616" i="9" s="1"/>
  <c r="BD617" i="9" s="1"/>
  <c r="BD618" i="9" s="1"/>
  <c r="BD619" i="9" s="1"/>
  <c r="BD620" i="9" s="1"/>
  <c r="BD621" i="9" s="1"/>
  <c r="BD622" i="9" s="1"/>
  <c r="BD623" i="9" s="1"/>
  <c r="BD624" i="9" s="1"/>
  <c r="BD625" i="9" s="1"/>
  <c r="BD626" i="9" s="1"/>
  <c r="BD627" i="9" s="1"/>
  <c r="BD628" i="9" s="1"/>
  <c r="BD629" i="9" s="1"/>
  <c r="BD630" i="9" s="1"/>
  <c r="BD631" i="9" s="1"/>
  <c r="BD632" i="9" s="1"/>
  <c r="BD633" i="9" s="1"/>
  <c r="BD634" i="9" s="1"/>
  <c r="BD635" i="9" s="1"/>
  <c r="BD636" i="9" s="1"/>
  <c r="BD637" i="9" s="1"/>
  <c r="BD638" i="9" s="1"/>
  <c r="BD639" i="9" s="1"/>
  <c r="BD640" i="9" s="1"/>
  <c r="BD641" i="9" s="1"/>
  <c r="BD642" i="9" s="1"/>
  <c r="BD643" i="9" s="1"/>
  <c r="BD644" i="9" s="1"/>
  <c r="BD645" i="9" s="1"/>
  <c r="BD646" i="9" s="1"/>
  <c r="BD647" i="9" s="1"/>
  <c r="BD648" i="9" s="1"/>
  <c r="BD649" i="9" s="1"/>
  <c r="BD650" i="9" s="1"/>
  <c r="BD651" i="9" s="1"/>
  <c r="BD652" i="9" s="1"/>
  <c r="BD653" i="9" s="1"/>
  <c r="BD654" i="9" s="1"/>
  <c r="BD655" i="9" s="1"/>
  <c r="BD656" i="9" s="1"/>
  <c r="AX514" i="9"/>
  <c r="AX515" i="9" s="1"/>
  <c r="AX516" i="9" s="1"/>
  <c r="AX517" i="9" s="1"/>
  <c r="AX518" i="9" s="1"/>
  <c r="AX519" i="9" s="1"/>
  <c r="AX520" i="9" s="1"/>
  <c r="AX521" i="9" s="1"/>
  <c r="AX522" i="9" s="1"/>
  <c r="AX523" i="9" s="1"/>
  <c r="AX524" i="9" s="1"/>
  <c r="AX525" i="9" s="1"/>
  <c r="AX526" i="9" s="1"/>
  <c r="AX527" i="9" s="1"/>
  <c r="AX528" i="9" s="1"/>
  <c r="AX529" i="9" s="1"/>
  <c r="AX530" i="9" s="1"/>
  <c r="AX531" i="9" s="1"/>
  <c r="AX532" i="9" s="1"/>
  <c r="AX533" i="9" s="1"/>
  <c r="AX534" i="9" s="1"/>
  <c r="AX535" i="9" s="1"/>
  <c r="AX536" i="9" s="1"/>
  <c r="AX537" i="9" s="1"/>
  <c r="AX538" i="9" s="1"/>
  <c r="AX539" i="9" s="1"/>
  <c r="AX540" i="9" s="1"/>
  <c r="AX541" i="9" s="1"/>
  <c r="AX542" i="9" s="1"/>
  <c r="AX543" i="9" s="1"/>
  <c r="AX544" i="9" s="1"/>
  <c r="AX545" i="9" s="1"/>
  <c r="AX546" i="9" s="1"/>
  <c r="AX547" i="9" s="1"/>
  <c r="AX548" i="9" s="1"/>
  <c r="AX549" i="9" s="1"/>
  <c r="AX550" i="9" s="1"/>
  <c r="AX551" i="9" s="1"/>
  <c r="AX552" i="9" s="1"/>
  <c r="AX553" i="9" s="1"/>
  <c r="AX554" i="9" s="1"/>
  <c r="AX555" i="9" s="1"/>
  <c r="AX556" i="9" s="1"/>
  <c r="AX557" i="9" s="1"/>
  <c r="AX558" i="9" s="1"/>
  <c r="AX559" i="9" s="1"/>
  <c r="AX560" i="9" s="1"/>
  <c r="AX561" i="9" s="1"/>
  <c r="AX562" i="9" s="1"/>
  <c r="AX563" i="9" s="1"/>
  <c r="AX564" i="9" s="1"/>
  <c r="AX565" i="9" s="1"/>
  <c r="AX566" i="9" s="1"/>
  <c r="AX567" i="9" s="1"/>
  <c r="AX568" i="9" s="1"/>
  <c r="AX569" i="9" s="1"/>
  <c r="AX570" i="9" s="1"/>
  <c r="AX571" i="9" s="1"/>
  <c r="AX572" i="9" s="1"/>
  <c r="AX573" i="9" s="1"/>
  <c r="AX574" i="9" s="1"/>
  <c r="AX575" i="9" s="1"/>
  <c r="AX576" i="9" s="1"/>
  <c r="AX577" i="9" s="1"/>
  <c r="AX578" i="9" s="1"/>
  <c r="AX579" i="9" s="1"/>
  <c r="AX580" i="9" s="1"/>
  <c r="AX581" i="9" s="1"/>
  <c r="AX582" i="9" s="1"/>
  <c r="AX583" i="9" s="1"/>
  <c r="AX584" i="9" s="1"/>
  <c r="AX585" i="9" s="1"/>
  <c r="AX586" i="9" s="1"/>
  <c r="AX587" i="9" s="1"/>
  <c r="AX588" i="9" s="1"/>
  <c r="AX589" i="9" s="1"/>
  <c r="AX590" i="9" s="1"/>
  <c r="AX591" i="9" s="1"/>
  <c r="AX592" i="9" s="1"/>
  <c r="AX593" i="9" s="1"/>
  <c r="AX594" i="9" s="1"/>
  <c r="AX595" i="9" s="1"/>
  <c r="AX596" i="9" s="1"/>
  <c r="AX597" i="9" s="1"/>
  <c r="AX598" i="9" s="1"/>
  <c r="AX599" i="9" s="1"/>
  <c r="AX600" i="9" s="1"/>
  <c r="AX601" i="9" s="1"/>
  <c r="AX602" i="9" s="1"/>
  <c r="AX603" i="9" s="1"/>
  <c r="AX604" i="9" s="1"/>
  <c r="AX605" i="9" s="1"/>
  <c r="AX606" i="9" s="1"/>
  <c r="AX607" i="9" s="1"/>
  <c r="AX608" i="9" s="1"/>
  <c r="AX609" i="9" s="1"/>
  <c r="AX610" i="9" s="1"/>
  <c r="AX611" i="9" s="1"/>
  <c r="AX612" i="9" s="1"/>
  <c r="AX613" i="9" s="1"/>
  <c r="AX614" i="9" s="1"/>
  <c r="AX615" i="9" s="1"/>
  <c r="AX616" i="9" s="1"/>
  <c r="AX617" i="9" s="1"/>
  <c r="AX618" i="9" s="1"/>
  <c r="AX619" i="9" s="1"/>
  <c r="AX620" i="9" s="1"/>
  <c r="AX621" i="9" s="1"/>
  <c r="AX622" i="9" s="1"/>
  <c r="AX623" i="9" s="1"/>
  <c r="AX624" i="9" s="1"/>
  <c r="AX625" i="9" s="1"/>
  <c r="AX626" i="9" s="1"/>
  <c r="AX627" i="9" s="1"/>
  <c r="AX628" i="9" s="1"/>
  <c r="AX629" i="9" s="1"/>
  <c r="AX630" i="9" s="1"/>
  <c r="AX631" i="9" s="1"/>
  <c r="AX632" i="9" s="1"/>
  <c r="AX633" i="9" s="1"/>
  <c r="AX634" i="9" s="1"/>
  <c r="AX635" i="9" s="1"/>
  <c r="AX636" i="9" s="1"/>
  <c r="AX637" i="9" s="1"/>
  <c r="AX638" i="9" s="1"/>
  <c r="AX639" i="9" s="1"/>
  <c r="AX640" i="9" s="1"/>
  <c r="AX641" i="9" s="1"/>
  <c r="AX642" i="9" s="1"/>
  <c r="AX643" i="9" s="1"/>
  <c r="AX644" i="9" s="1"/>
  <c r="AX645" i="9" s="1"/>
  <c r="AX646" i="9" s="1"/>
  <c r="AX647" i="9" s="1"/>
  <c r="AX648" i="9" s="1"/>
  <c r="AX649" i="9" s="1"/>
  <c r="AX650" i="9" s="1"/>
  <c r="AX651" i="9" s="1"/>
  <c r="AX652" i="9" s="1"/>
  <c r="AX653" i="9" s="1"/>
  <c r="AX654" i="9" s="1"/>
  <c r="AX655" i="9" s="1"/>
  <c r="AX656" i="9" s="1"/>
  <c r="AZ514" i="9"/>
  <c r="AZ515" i="9" s="1"/>
  <c r="AZ516" i="9" s="1"/>
  <c r="AZ517" i="9" s="1"/>
  <c r="AZ518" i="9" s="1"/>
  <c r="AZ519" i="9" s="1"/>
  <c r="AZ520" i="9" s="1"/>
  <c r="AZ521" i="9" s="1"/>
  <c r="AZ522" i="9" s="1"/>
  <c r="AZ523" i="9" s="1"/>
  <c r="AZ524" i="9" s="1"/>
  <c r="AZ525" i="9" s="1"/>
  <c r="AZ526" i="9" s="1"/>
  <c r="AZ527" i="9" s="1"/>
  <c r="AZ528" i="9" s="1"/>
  <c r="AZ529" i="9" s="1"/>
  <c r="AZ530" i="9" s="1"/>
  <c r="AZ531" i="9" s="1"/>
  <c r="AZ532" i="9" s="1"/>
  <c r="AZ533" i="9" s="1"/>
  <c r="AZ534" i="9" s="1"/>
  <c r="AZ535" i="9" s="1"/>
  <c r="AZ536" i="9" s="1"/>
  <c r="AZ537" i="9" s="1"/>
  <c r="AZ538" i="9" s="1"/>
  <c r="AZ539" i="9" s="1"/>
  <c r="AZ540" i="9" s="1"/>
  <c r="AZ541" i="9" s="1"/>
  <c r="AZ542" i="9" s="1"/>
  <c r="AZ543" i="9" s="1"/>
  <c r="AZ544" i="9" s="1"/>
  <c r="AZ545" i="9" s="1"/>
  <c r="AZ546" i="9" s="1"/>
  <c r="AZ547" i="9" s="1"/>
  <c r="AZ548" i="9" s="1"/>
  <c r="AZ549" i="9" s="1"/>
  <c r="AZ550" i="9" s="1"/>
  <c r="AZ551" i="9" s="1"/>
  <c r="AZ552" i="9" s="1"/>
  <c r="AZ553" i="9" s="1"/>
  <c r="AZ554" i="9" s="1"/>
  <c r="AZ555" i="9" s="1"/>
  <c r="AZ556" i="9" s="1"/>
  <c r="AZ557" i="9" s="1"/>
  <c r="AZ558" i="9" s="1"/>
  <c r="AZ559" i="9" s="1"/>
  <c r="AZ560" i="9" s="1"/>
  <c r="AZ561" i="9" s="1"/>
  <c r="AZ562" i="9" s="1"/>
  <c r="AZ563" i="9" s="1"/>
  <c r="AZ564" i="9" s="1"/>
  <c r="AZ565" i="9" s="1"/>
  <c r="AZ566" i="9" s="1"/>
  <c r="AZ567" i="9" s="1"/>
  <c r="AZ568" i="9" s="1"/>
  <c r="AZ569" i="9" s="1"/>
  <c r="AZ570" i="9" s="1"/>
  <c r="AZ571" i="9" s="1"/>
  <c r="AZ572" i="9" s="1"/>
  <c r="AZ573" i="9" s="1"/>
  <c r="AZ574" i="9" s="1"/>
  <c r="AZ575" i="9" s="1"/>
  <c r="AZ576" i="9" s="1"/>
  <c r="AZ577" i="9" s="1"/>
  <c r="AZ578" i="9" s="1"/>
  <c r="AZ579" i="9" s="1"/>
  <c r="AZ580" i="9" s="1"/>
  <c r="AZ581" i="9" s="1"/>
  <c r="AZ582" i="9" s="1"/>
  <c r="AZ583" i="9" s="1"/>
  <c r="AZ584" i="9" s="1"/>
  <c r="AZ585" i="9" s="1"/>
  <c r="AZ586" i="9" s="1"/>
  <c r="AZ587" i="9" s="1"/>
  <c r="AZ588" i="9" s="1"/>
  <c r="AZ589" i="9" s="1"/>
  <c r="AZ590" i="9" s="1"/>
  <c r="AZ591" i="9" s="1"/>
  <c r="AZ592" i="9" s="1"/>
  <c r="AZ593" i="9" s="1"/>
  <c r="AZ594" i="9" s="1"/>
  <c r="AZ595" i="9" s="1"/>
  <c r="AZ596" i="9" s="1"/>
  <c r="AZ597" i="9" s="1"/>
  <c r="AZ598" i="9" s="1"/>
  <c r="AZ599" i="9" s="1"/>
  <c r="AZ600" i="9" s="1"/>
  <c r="AZ601" i="9" s="1"/>
  <c r="AZ602" i="9" s="1"/>
  <c r="AZ603" i="9" s="1"/>
  <c r="AZ604" i="9" s="1"/>
  <c r="AZ605" i="9" s="1"/>
  <c r="AZ606" i="9" s="1"/>
  <c r="AZ607" i="9" s="1"/>
  <c r="AZ608" i="9" s="1"/>
  <c r="AZ609" i="9" s="1"/>
  <c r="AZ610" i="9" s="1"/>
  <c r="AZ611" i="9" s="1"/>
  <c r="AZ612" i="9" s="1"/>
  <c r="AZ613" i="9" s="1"/>
  <c r="AZ614" i="9" s="1"/>
  <c r="AZ615" i="9" s="1"/>
  <c r="AZ616" i="9" s="1"/>
  <c r="AZ617" i="9" s="1"/>
  <c r="AZ618" i="9" s="1"/>
  <c r="AZ619" i="9" s="1"/>
  <c r="AZ620" i="9" s="1"/>
  <c r="AZ621" i="9" s="1"/>
  <c r="AZ622" i="9" s="1"/>
  <c r="AZ623" i="9" s="1"/>
  <c r="AZ624" i="9" s="1"/>
  <c r="AZ625" i="9" s="1"/>
  <c r="AZ626" i="9" s="1"/>
  <c r="AZ627" i="9" s="1"/>
  <c r="AZ628" i="9" s="1"/>
  <c r="AZ629" i="9" s="1"/>
  <c r="AZ630" i="9" s="1"/>
  <c r="AZ631" i="9" s="1"/>
  <c r="AZ632" i="9" s="1"/>
  <c r="AZ633" i="9" s="1"/>
  <c r="AZ634" i="9" s="1"/>
  <c r="AZ635" i="9" s="1"/>
  <c r="AZ636" i="9" s="1"/>
  <c r="AZ637" i="9" s="1"/>
  <c r="AZ638" i="9" s="1"/>
  <c r="AZ639" i="9" s="1"/>
  <c r="AZ640" i="9" s="1"/>
  <c r="AZ641" i="9" s="1"/>
  <c r="AZ642" i="9" s="1"/>
  <c r="AZ643" i="9" s="1"/>
  <c r="AZ644" i="9" s="1"/>
  <c r="AZ645" i="9" s="1"/>
  <c r="AZ646" i="9" s="1"/>
  <c r="AZ647" i="9" s="1"/>
  <c r="AZ648" i="9" s="1"/>
  <c r="AZ649" i="9" s="1"/>
  <c r="AZ650" i="9" s="1"/>
  <c r="AZ651" i="9" s="1"/>
  <c r="AZ652" i="9" s="1"/>
  <c r="AZ653" i="9" s="1"/>
  <c r="AZ654" i="9" s="1"/>
  <c r="AZ655" i="9" s="1"/>
  <c r="AZ656" i="9" s="1"/>
  <c r="BC514" i="9"/>
  <c r="BC515" i="9" s="1"/>
  <c r="BC516" i="9" s="1"/>
  <c r="BC517" i="9" s="1"/>
  <c r="BC518" i="9" s="1"/>
  <c r="BC519" i="9" s="1"/>
  <c r="BC520" i="9" s="1"/>
  <c r="BC521" i="9" s="1"/>
  <c r="BC522" i="9" s="1"/>
  <c r="BC523" i="9" s="1"/>
  <c r="BC524" i="9" s="1"/>
  <c r="BC525" i="9" s="1"/>
  <c r="BC526" i="9" s="1"/>
  <c r="BC527" i="9" s="1"/>
  <c r="BC528" i="9" s="1"/>
  <c r="BC529" i="9" s="1"/>
  <c r="BC530" i="9" s="1"/>
  <c r="BC531" i="9" s="1"/>
  <c r="BC532" i="9" s="1"/>
  <c r="BC533" i="9" s="1"/>
  <c r="BC534" i="9" s="1"/>
  <c r="BC535" i="9" s="1"/>
  <c r="BC536" i="9" s="1"/>
  <c r="BC537" i="9" s="1"/>
  <c r="BC538" i="9" s="1"/>
  <c r="BC539" i="9" s="1"/>
  <c r="BC540" i="9" s="1"/>
  <c r="BC541" i="9" s="1"/>
  <c r="BC542" i="9" s="1"/>
  <c r="BC543" i="9" s="1"/>
  <c r="BC544" i="9" s="1"/>
  <c r="BC545" i="9" s="1"/>
  <c r="BC546" i="9" s="1"/>
  <c r="BC547" i="9" s="1"/>
  <c r="BC548" i="9" s="1"/>
  <c r="BC549" i="9" s="1"/>
  <c r="BC550" i="9" s="1"/>
  <c r="BC551" i="9" s="1"/>
  <c r="BC552" i="9" s="1"/>
  <c r="BC553" i="9" s="1"/>
  <c r="BC554" i="9" s="1"/>
  <c r="BC555" i="9" s="1"/>
  <c r="BC556" i="9" s="1"/>
  <c r="BC557" i="9" s="1"/>
  <c r="BC558" i="9" s="1"/>
  <c r="BC559" i="9" s="1"/>
  <c r="BC560" i="9" s="1"/>
  <c r="BC561" i="9" s="1"/>
  <c r="BC562" i="9" s="1"/>
  <c r="BC563" i="9" s="1"/>
  <c r="BC564" i="9" s="1"/>
  <c r="BC565" i="9" s="1"/>
  <c r="BC566" i="9" s="1"/>
  <c r="BC567" i="9" s="1"/>
  <c r="BC568" i="9" s="1"/>
  <c r="BC569" i="9" s="1"/>
  <c r="BC570" i="9" s="1"/>
  <c r="BC571" i="9" s="1"/>
  <c r="BC572" i="9" s="1"/>
  <c r="BC573" i="9" s="1"/>
  <c r="BC574" i="9" s="1"/>
  <c r="BC575" i="9" s="1"/>
  <c r="BC576" i="9" s="1"/>
  <c r="BC577" i="9" s="1"/>
  <c r="BC578" i="9" s="1"/>
  <c r="BC579" i="9" s="1"/>
  <c r="BC580" i="9" s="1"/>
  <c r="BC581" i="9" s="1"/>
  <c r="BC582" i="9" s="1"/>
  <c r="BC583" i="9" s="1"/>
  <c r="BC584" i="9" s="1"/>
  <c r="BC585" i="9" s="1"/>
  <c r="BC586" i="9" s="1"/>
  <c r="BC587" i="9" s="1"/>
  <c r="BC588" i="9" s="1"/>
  <c r="BC589" i="9" s="1"/>
  <c r="BC590" i="9" s="1"/>
  <c r="BC591" i="9" s="1"/>
  <c r="BC592" i="9" s="1"/>
  <c r="BC593" i="9" s="1"/>
  <c r="BC594" i="9" s="1"/>
  <c r="BC595" i="9" s="1"/>
  <c r="BC596" i="9" s="1"/>
  <c r="BC597" i="9" s="1"/>
  <c r="BC598" i="9" s="1"/>
  <c r="BC599" i="9" s="1"/>
  <c r="BC600" i="9" s="1"/>
  <c r="BC601" i="9" s="1"/>
  <c r="BC602" i="9" s="1"/>
  <c r="BC603" i="9" s="1"/>
  <c r="BC604" i="9" s="1"/>
  <c r="BC605" i="9" s="1"/>
  <c r="BC606" i="9" s="1"/>
  <c r="BC607" i="9" s="1"/>
  <c r="BC608" i="9" s="1"/>
  <c r="BC609" i="9" s="1"/>
  <c r="BC610" i="9" s="1"/>
  <c r="BC611" i="9" s="1"/>
  <c r="BC612" i="9" s="1"/>
  <c r="BC613" i="9" s="1"/>
  <c r="BC614" i="9" s="1"/>
  <c r="BC615" i="9" s="1"/>
  <c r="BC616" i="9" s="1"/>
  <c r="BC617" i="9" s="1"/>
  <c r="BC618" i="9" s="1"/>
  <c r="BC619" i="9" s="1"/>
  <c r="BC620" i="9" s="1"/>
  <c r="BC621" i="9" s="1"/>
  <c r="BC622" i="9" s="1"/>
  <c r="BC623" i="9" s="1"/>
  <c r="BC624" i="9" s="1"/>
  <c r="BC625" i="9" s="1"/>
  <c r="BC626" i="9" s="1"/>
  <c r="BC627" i="9" s="1"/>
  <c r="BC628" i="9" s="1"/>
  <c r="BC629" i="9" s="1"/>
  <c r="BC630" i="9" s="1"/>
  <c r="BC631" i="9" s="1"/>
  <c r="BC632" i="9" s="1"/>
  <c r="BC633" i="9" s="1"/>
  <c r="BC634" i="9" s="1"/>
  <c r="BC635" i="9" s="1"/>
  <c r="BC636" i="9" s="1"/>
  <c r="BC637" i="9" s="1"/>
  <c r="BC638" i="9" s="1"/>
  <c r="BC639" i="9" s="1"/>
  <c r="BC640" i="9" s="1"/>
  <c r="BC641" i="9" s="1"/>
  <c r="BC642" i="9" s="1"/>
  <c r="BC643" i="9" s="1"/>
  <c r="BC644" i="9" s="1"/>
  <c r="BC645" i="9" s="1"/>
  <c r="BC646" i="9" s="1"/>
  <c r="BC647" i="9" s="1"/>
  <c r="BC648" i="9" s="1"/>
  <c r="BC649" i="9" s="1"/>
  <c r="BC650" i="9" s="1"/>
  <c r="BC651" i="9" s="1"/>
  <c r="BC652" i="9" s="1"/>
  <c r="BC653" i="9" s="1"/>
  <c r="BC654" i="9" s="1"/>
  <c r="BC655" i="9" s="1"/>
  <c r="BC656" i="9" s="1"/>
  <c r="BH514" i="9"/>
  <c r="BH515" i="9" s="1"/>
  <c r="BH516" i="9" s="1"/>
  <c r="BH517" i="9" s="1"/>
  <c r="BH518" i="9" s="1"/>
  <c r="BH519" i="9" s="1"/>
  <c r="BH520" i="9" s="1"/>
  <c r="BH521" i="9" s="1"/>
  <c r="BH522" i="9" s="1"/>
  <c r="BH523" i="9" s="1"/>
  <c r="BH524" i="9" s="1"/>
  <c r="BH525" i="9" s="1"/>
  <c r="BH526" i="9" s="1"/>
  <c r="BH527" i="9" s="1"/>
  <c r="BH528" i="9" s="1"/>
  <c r="BH529" i="9" s="1"/>
  <c r="BH530" i="9" s="1"/>
  <c r="BH531" i="9" s="1"/>
  <c r="BH532" i="9" s="1"/>
  <c r="BH533" i="9" s="1"/>
  <c r="BH534" i="9" s="1"/>
  <c r="BH535" i="9" s="1"/>
  <c r="BH536" i="9" s="1"/>
  <c r="BH537" i="9" s="1"/>
  <c r="BH538" i="9" s="1"/>
  <c r="BH539" i="9" s="1"/>
  <c r="BH540" i="9" s="1"/>
  <c r="BH541" i="9" s="1"/>
  <c r="BH542" i="9" s="1"/>
  <c r="BH543" i="9" s="1"/>
  <c r="BH544" i="9" s="1"/>
  <c r="BH545" i="9" s="1"/>
  <c r="BH546" i="9" s="1"/>
  <c r="BH547" i="9" s="1"/>
  <c r="BH548" i="9" s="1"/>
  <c r="BH549" i="9" s="1"/>
  <c r="BH550" i="9" s="1"/>
  <c r="BH551" i="9" s="1"/>
  <c r="BH552" i="9" s="1"/>
  <c r="BH553" i="9" s="1"/>
  <c r="BH554" i="9" s="1"/>
  <c r="BH555" i="9" s="1"/>
  <c r="BH556" i="9" s="1"/>
  <c r="BH557" i="9" s="1"/>
  <c r="BH558" i="9" s="1"/>
  <c r="BH559" i="9" s="1"/>
  <c r="BH560" i="9" s="1"/>
  <c r="BH561" i="9" s="1"/>
  <c r="BH562" i="9" s="1"/>
  <c r="BH563" i="9" s="1"/>
  <c r="BH564" i="9" s="1"/>
  <c r="BH565" i="9" s="1"/>
  <c r="BH566" i="9" s="1"/>
  <c r="BH567" i="9" s="1"/>
  <c r="BH568" i="9" s="1"/>
  <c r="BH569" i="9" s="1"/>
  <c r="BH570" i="9" s="1"/>
  <c r="BH571" i="9" s="1"/>
  <c r="BH572" i="9" s="1"/>
  <c r="BH573" i="9" s="1"/>
  <c r="BH574" i="9" s="1"/>
  <c r="BH575" i="9" s="1"/>
  <c r="BH576" i="9" s="1"/>
  <c r="BH577" i="9" s="1"/>
  <c r="BH578" i="9" s="1"/>
  <c r="BH579" i="9" s="1"/>
  <c r="BH580" i="9" s="1"/>
  <c r="BH581" i="9" s="1"/>
  <c r="BH582" i="9" s="1"/>
  <c r="BH583" i="9" s="1"/>
  <c r="BH584" i="9" s="1"/>
  <c r="BH585" i="9" s="1"/>
  <c r="BH586" i="9" s="1"/>
  <c r="BH587" i="9" s="1"/>
  <c r="BH588" i="9" s="1"/>
  <c r="BH589" i="9" s="1"/>
  <c r="BH590" i="9" s="1"/>
  <c r="BH591" i="9" s="1"/>
  <c r="BH592" i="9" s="1"/>
  <c r="BH593" i="9" s="1"/>
  <c r="BH594" i="9" s="1"/>
  <c r="BH595" i="9" s="1"/>
  <c r="BH596" i="9" s="1"/>
  <c r="BH597" i="9" s="1"/>
  <c r="BH598" i="9" s="1"/>
  <c r="BH599" i="9" s="1"/>
  <c r="BH600" i="9" s="1"/>
  <c r="BH601" i="9" s="1"/>
  <c r="BH602" i="9" s="1"/>
  <c r="BH603" i="9" s="1"/>
  <c r="BH604" i="9" s="1"/>
  <c r="BH605" i="9" s="1"/>
  <c r="BH606" i="9" s="1"/>
  <c r="BH607" i="9" s="1"/>
  <c r="BH608" i="9" s="1"/>
  <c r="BH609" i="9" s="1"/>
  <c r="BH610" i="9" s="1"/>
  <c r="BH611" i="9" s="1"/>
  <c r="BH612" i="9" s="1"/>
  <c r="BH613" i="9" s="1"/>
  <c r="BH614" i="9" s="1"/>
  <c r="BH615" i="9" s="1"/>
  <c r="BH616" i="9" s="1"/>
  <c r="BH617" i="9" s="1"/>
  <c r="BH618" i="9" s="1"/>
  <c r="BH619" i="9" s="1"/>
  <c r="BH620" i="9" s="1"/>
  <c r="BH621" i="9" s="1"/>
  <c r="BH622" i="9" s="1"/>
  <c r="BH623" i="9" s="1"/>
  <c r="BH624" i="9" s="1"/>
  <c r="BH625" i="9" s="1"/>
  <c r="BH626" i="9" s="1"/>
  <c r="BH627" i="9" s="1"/>
  <c r="BH628" i="9" s="1"/>
  <c r="BH629" i="9" s="1"/>
  <c r="BH630" i="9" s="1"/>
  <c r="BH631" i="9" s="1"/>
  <c r="BH632" i="9" s="1"/>
  <c r="BH633" i="9" s="1"/>
  <c r="BH634" i="9" s="1"/>
  <c r="BH635" i="9" s="1"/>
  <c r="BH636" i="9" s="1"/>
  <c r="BH637" i="9" s="1"/>
  <c r="BH638" i="9" s="1"/>
  <c r="BH639" i="9" s="1"/>
  <c r="BH640" i="9" s="1"/>
  <c r="BH641" i="9" s="1"/>
  <c r="BH642" i="9" s="1"/>
  <c r="BH643" i="9" s="1"/>
  <c r="BH644" i="9" s="1"/>
  <c r="BH645" i="9" s="1"/>
  <c r="BH646" i="9" s="1"/>
  <c r="BH647" i="9" s="1"/>
  <c r="BH648" i="9" s="1"/>
  <c r="BH649" i="9" s="1"/>
  <c r="BH650" i="9" s="1"/>
  <c r="BH651" i="9" s="1"/>
  <c r="BH652" i="9" s="1"/>
  <c r="BH653" i="9" s="1"/>
  <c r="BH654" i="9" s="1"/>
  <c r="BH655" i="9" s="1"/>
  <c r="BH656" i="9" s="1"/>
  <c r="BD2" i="9" l="1"/>
  <c r="AZ2" i="9"/>
  <c r="AY2" i="9"/>
  <c r="BC2" i="9"/>
  <c r="BA2" i="9"/>
  <c r="AX2" i="9"/>
  <c r="BB2" i="9"/>
  <c r="BH2" i="9"/>
  <c r="AZ3" i="9"/>
  <c r="BB4" i="9"/>
  <c r="AX3" i="9"/>
  <c r="AZ4" i="9"/>
  <c r="BE514" i="9"/>
  <c r="BE515" i="9" s="1"/>
  <c r="BE516" i="9" s="1"/>
  <c r="BE517" i="9" s="1"/>
  <c r="BE518" i="9" s="1"/>
  <c r="BE519" i="9" s="1"/>
  <c r="BE520" i="9" s="1"/>
  <c r="BE521" i="9" s="1"/>
  <c r="BE522" i="9" s="1"/>
  <c r="BE523" i="9" s="1"/>
  <c r="BE524" i="9" s="1"/>
  <c r="BE525" i="9" s="1"/>
  <c r="BE526" i="9" s="1"/>
  <c r="BE527" i="9" s="1"/>
  <c r="BE528" i="9" s="1"/>
  <c r="BE529" i="9" s="1"/>
  <c r="BE530" i="9" s="1"/>
  <c r="BE531" i="9" s="1"/>
  <c r="BE532" i="9" s="1"/>
  <c r="BE533" i="9" s="1"/>
  <c r="BE534" i="9" s="1"/>
  <c r="BE535" i="9" s="1"/>
  <c r="BE536" i="9" s="1"/>
  <c r="BE537" i="9" s="1"/>
  <c r="BE538" i="9" s="1"/>
  <c r="BE539" i="9" s="1"/>
  <c r="BE540" i="9" s="1"/>
  <c r="BE541" i="9" s="1"/>
  <c r="BE542" i="9" s="1"/>
  <c r="BE543" i="9" s="1"/>
  <c r="BE544" i="9" s="1"/>
  <c r="BE545" i="9" s="1"/>
  <c r="BE546" i="9" s="1"/>
  <c r="BE547" i="9" s="1"/>
  <c r="BE548" i="9" s="1"/>
  <c r="BE549" i="9" s="1"/>
  <c r="BE550" i="9" s="1"/>
  <c r="BE551" i="9" s="1"/>
  <c r="BE552" i="9" s="1"/>
  <c r="BE553" i="9" s="1"/>
  <c r="BE554" i="9" s="1"/>
  <c r="BE555" i="9" s="1"/>
  <c r="BE556" i="9" s="1"/>
  <c r="BE557" i="9" s="1"/>
  <c r="BE558" i="9" s="1"/>
  <c r="BE559" i="9" s="1"/>
  <c r="BE560" i="9" s="1"/>
  <c r="BE561" i="9" s="1"/>
  <c r="BE562" i="9" s="1"/>
  <c r="BE563" i="9" s="1"/>
  <c r="BE564" i="9" s="1"/>
  <c r="BE565" i="9" s="1"/>
  <c r="BE566" i="9" s="1"/>
  <c r="BE567" i="9" s="1"/>
  <c r="BE568" i="9" s="1"/>
  <c r="BE569" i="9" s="1"/>
  <c r="BE570" i="9" s="1"/>
  <c r="BE571" i="9" s="1"/>
  <c r="BE572" i="9" s="1"/>
  <c r="BE573" i="9" s="1"/>
  <c r="BE574" i="9" s="1"/>
  <c r="BE575" i="9" s="1"/>
  <c r="BE576" i="9" s="1"/>
  <c r="BE577" i="9" s="1"/>
  <c r="BE578" i="9" s="1"/>
  <c r="BE579" i="9" s="1"/>
  <c r="BE580" i="9" s="1"/>
  <c r="BE581" i="9" s="1"/>
  <c r="BE582" i="9" s="1"/>
  <c r="BE583" i="9" s="1"/>
  <c r="BE584" i="9" s="1"/>
  <c r="BE585" i="9" s="1"/>
  <c r="BE586" i="9" s="1"/>
  <c r="BE587" i="9" s="1"/>
  <c r="BE588" i="9" s="1"/>
  <c r="BE589" i="9" s="1"/>
  <c r="BE590" i="9" s="1"/>
  <c r="BE591" i="9" s="1"/>
  <c r="BE592" i="9" s="1"/>
  <c r="BE593" i="9" s="1"/>
  <c r="BE594" i="9" s="1"/>
  <c r="BE595" i="9" s="1"/>
  <c r="BE596" i="9" s="1"/>
  <c r="BE597" i="9" s="1"/>
  <c r="BE598" i="9" s="1"/>
  <c r="BE599" i="9" s="1"/>
  <c r="BE600" i="9" s="1"/>
  <c r="BE601" i="9" s="1"/>
  <c r="BE602" i="9" s="1"/>
  <c r="BE603" i="9" s="1"/>
  <c r="BE604" i="9" s="1"/>
  <c r="BE605" i="9" s="1"/>
  <c r="BE606" i="9" s="1"/>
  <c r="BE607" i="9" s="1"/>
  <c r="BE608" i="9" s="1"/>
  <c r="BE609" i="9" s="1"/>
  <c r="BE610" i="9" s="1"/>
  <c r="BE611" i="9" s="1"/>
  <c r="BE612" i="9" s="1"/>
  <c r="BE613" i="9" s="1"/>
  <c r="BE614" i="9" s="1"/>
  <c r="BE615" i="9" s="1"/>
  <c r="BE616" i="9" s="1"/>
  <c r="BE617" i="9" s="1"/>
  <c r="BE618" i="9" s="1"/>
  <c r="BE619" i="9" s="1"/>
  <c r="BE620" i="9" s="1"/>
  <c r="BE621" i="9" s="1"/>
  <c r="BE622" i="9" s="1"/>
  <c r="BE623" i="9" s="1"/>
  <c r="BE624" i="9" s="1"/>
  <c r="BE625" i="9" s="1"/>
  <c r="BE626" i="9" s="1"/>
  <c r="BE627" i="9" s="1"/>
  <c r="BE628" i="9" s="1"/>
  <c r="BE629" i="9" s="1"/>
  <c r="BE630" i="9" s="1"/>
  <c r="BE631" i="9" s="1"/>
  <c r="BE632" i="9" s="1"/>
  <c r="BE633" i="9" s="1"/>
  <c r="BE634" i="9" s="1"/>
  <c r="BE635" i="9" s="1"/>
  <c r="BE636" i="9" s="1"/>
  <c r="BE637" i="9" s="1"/>
  <c r="BE638" i="9" s="1"/>
  <c r="BE639" i="9" s="1"/>
  <c r="BE640" i="9" s="1"/>
  <c r="BE641" i="9" s="1"/>
  <c r="BE642" i="9" s="1"/>
  <c r="BE643" i="9" s="1"/>
  <c r="BE644" i="9" s="1"/>
  <c r="BE645" i="9" s="1"/>
  <c r="BE646" i="9" s="1"/>
  <c r="BE647" i="9" s="1"/>
  <c r="BE648" i="9" s="1"/>
  <c r="BE649" i="9" s="1"/>
  <c r="BE650" i="9" s="1"/>
  <c r="BE651" i="9" s="1"/>
  <c r="BE652" i="9" s="1"/>
  <c r="BE653" i="9" s="1"/>
  <c r="BE654" i="9" s="1"/>
  <c r="BE655" i="9" s="1"/>
  <c r="BE656" i="9" s="1"/>
  <c r="BC3" i="9"/>
  <c r="AW514" i="9"/>
  <c r="AW515" i="9" s="1"/>
  <c r="AW516" i="9" s="1"/>
  <c r="AW517" i="9" s="1"/>
  <c r="AW518" i="9" s="1"/>
  <c r="AW519" i="9" s="1"/>
  <c r="AW520" i="9" s="1"/>
  <c r="AW521" i="9" s="1"/>
  <c r="AW522" i="9" s="1"/>
  <c r="AW523" i="9" s="1"/>
  <c r="AW524" i="9" s="1"/>
  <c r="AW525" i="9" s="1"/>
  <c r="AW526" i="9" s="1"/>
  <c r="AW527" i="9" s="1"/>
  <c r="AW528" i="9" s="1"/>
  <c r="AW529" i="9" s="1"/>
  <c r="AW530" i="9" s="1"/>
  <c r="AW531" i="9" s="1"/>
  <c r="AW532" i="9" s="1"/>
  <c r="AW533" i="9" s="1"/>
  <c r="AW534" i="9" s="1"/>
  <c r="AW535" i="9" s="1"/>
  <c r="AW536" i="9" s="1"/>
  <c r="AW537" i="9" s="1"/>
  <c r="AW538" i="9" s="1"/>
  <c r="AW539" i="9" s="1"/>
  <c r="AW540" i="9" s="1"/>
  <c r="AW541" i="9" s="1"/>
  <c r="AW542" i="9" s="1"/>
  <c r="AW543" i="9" s="1"/>
  <c r="AW544" i="9" s="1"/>
  <c r="AW545" i="9" s="1"/>
  <c r="AW546" i="9" s="1"/>
  <c r="AW547" i="9" s="1"/>
  <c r="AW548" i="9" s="1"/>
  <c r="AW549" i="9" s="1"/>
  <c r="AW550" i="9" s="1"/>
  <c r="AW551" i="9" s="1"/>
  <c r="AW552" i="9" s="1"/>
  <c r="AW553" i="9" s="1"/>
  <c r="AW554" i="9" s="1"/>
  <c r="AW555" i="9" s="1"/>
  <c r="AW556" i="9" s="1"/>
  <c r="AW557" i="9" s="1"/>
  <c r="AW558" i="9" s="1"/>
  <c r="AW559" i="9" s="1"/>
  <c r="AW560" i="9" s="1"/>
  <c r="AW561" i="9" s="1"/>
  <c r="AW562" i="9" s="1"/>
  <c r="AW563" i="9" s="1"/>
  <c r="AW564" i="9" s="1"/>
  <c r="AW565" i="9" s="1"/>
  <c r="AW566" i="9" s="1"/>
  <c r="AW567" i="9" s="1"/>
  <c r="AW568" i="9" s="1"/>
  <c r="AW569" i="9" s="1"/>
  <c r="AW570" i="9" s="1"/>
  <c r="AW571" i="9" s="1"/>
  <c r="AW572" i="9" s="1"/>
  <c r="AW573" i="9" s="1"/>
  <c r="AW574" i="9" s="1"/>
  <c r="AW575" i="9" s="1"/>
  <c r="AW576" i="9" s="1"/>
  <c r="AW577" i="9" s="1"/>
  <c r="AW578" i="9" s="1"/>
  <c r="AW579" i="9" s="1"/>
  <c r="AW580" i="9" s="1"/>
  <c r="AW581" i="9" s="1"/>
  <c r="AW582" i="9" s="1"/>
  <c r="AW583" i="9" s="1"/>
  <c r="AW584" i="9" s="1"/>
  <c r="AW585" i="9" s="1"/>
  <c r="AW586" i="9" s="1"/>
  <c r="AW587" i="9" s="1"/>
  <c r="AW588" i="9" s="1"/>
  <c r="AW589" i="9" s="1"/>
  <c r="AW590" i="9" s="1"/>
  <c r="AW591" i="9" s="1"/>
  <c r="AW592" i="9" s="1"/>
  <c r="AW593" i="9" s="1"/>
  <c r="AW594" i="9" s="1"/>
  <c r="AW595" i="9" s="1"/>
  <c r="AW596" i="9" s="1"/>
  <c r="AW597" i="9" s="1"/>
  <c r="AW598" i="9" s="1"/>
  <c r="AW599" i="9" s="1"/>
  <c r="AW600" i="9" s="1"/>
  <c r="AW601" i="9" s="1"/>
  <c r="AW602" i="9" s="1"/>
  <c r="AW603" i="9" s="1"/>
  <c r="AW604" i="9" s="1"/>
  <c r="AW605" i="9" s="1"/>
  <c r="AW606" i="9" s="1"/>
  <c r="AW607" i="9" s="1"/>
  <c r="AW608" i="9" s="1"/>
  <c r="AW609" i="9" s="1"/>
  <c r="AW610" i="9" s="1"/>
  <c r="AW611" i="9" s="1"/>
  <c r="AW612" i="9" s="1"/>
  <c r="AW613" i="9" s="1"/>
  <c r="AW614" i="9" s="1"/>
  <c r="AW615" i="9" s="1"/>
  <c r="AW616" i="9" s="1"/>
  <c r="AW617" i="9" s="1"/>
  <c r="AW618" i="9" s="1"/>
  <c r="AW619" i="9" s="1"/>
  <c r="AW620" i="9" s="1"/>
  <c r="AW621" i="9" s="1"/>
  <c r="AW622" i="9" s="1"/>
  <c r="AW623" i="9" s="1"/>
  <c r="AW624" i="9" s="1"/>
  <c r="AW625" i="9" s="1"/>
  <c r="AW626" i="9" s="1"/>
  <c r="AW627" i="9" s="1"/>
  <c r="AW628" i="9" s="1"/>
  <c r="AW629" i="9" s="1"/>
  <c r="AW630" i="9" s="1"/>
  <c r="AW631" i="9" s="1"/>
  <c r="AW632" i="9" s="1"/>
  <c r="AW633" i="9" s="1"/>
  <c r="AW634" i="9" s="1"/>
  <c r="AW635" i="9" s="1"/>
  <c r="AW636" i="9" s="1"/>
  <c r="AW637" i="9" s="1"/>
  <c r="AW638" i="9" s="1"/>
  <c r="AW639" i="9" s="1"/>
  <c r="AW640" i="9" s="1"/>
  <c r="AW641" i="9" s="1"/>
  <c r="AW642" i="9" s="1"/>
  <c r="AW643" i="9" s="1"/>
  <c r="AW644" i="9" s="1"/>
  <c r="AW645" i="9" s="1"/>
  <c r="AW646" i="9" s="1"/>
  <c r="AW647" i="9" s="1"/>
  <c r="AW648" i="9" s="1"/>
  <c r="AW649" i="9" s="1"/>
  <c r="AW650" i="9" s="1"/>
  <c r="AW651" i="9" s="1"/>
  <c r="AW652" i="9" s="1"/>
  <c r="AW653" i="9" s="1"/>
  <c r="AW654" i="9" s="1"/>
  <c r="AW655" i="9" s="1"/>
  <c r="AW656" i="9" s="1"/>
  <c r="BH4" i="9"/>
  <c r="BC4" i="9"/>
  <c r="BB3" i="9"/>
  <c r="BG514" i="9"/>
  <c r="BG515" i="9" s="1"/>
  <c r="BG516" i="9" s="1"/>
  <c r="BG517" i="9" s="1"/>
  <c r="BG518" i="9" s="1"/>
  <c r="BG519" i="9" s="1"/>
  <c r="BG520" i="9" s="1"/>
  <c r="BG521" i="9" s="1"/>
  <c r="BG522" i="9" s="1"/>
  <c r="BG523" i="9" s="1"/>
  <c r="BG524" i="9" s="1"/>
  <c r="BG525" i="9" s="1"/>
  <c r="BG526" i="9" s="1"/>
  <c r="BG527" i="9" s="1"/>
  <c r="BG528" i="9" s="1"/>
  <c r="BG529" i="9" s="1"/>
  <c r="BG530" i="9" s="1"/>
  <c r="BG531" i="9" s="1"/>
  <c r="BG532" i="9" s="1"/>
  <c r="BG533" i="9" s="1"/>
  <c r="BG534" i="9" s="1"/>
  <c r="BG535" i="9" s="1"/>
  <c r="BG536" i="9" s="1"/>
  <c r="BG537" i="9" s="1"/>
  <c r="BG538" i="9" s="1"/>
  <c r="BG539" i="9" s="1"/>
  <c r="BG540" i="9" s="1"/>
  <c r="BG541" i="9" s="1"/>
  <c r="BG542" i="9" s="1"/>
  <c r="BG543" i="9" s="1"/>
  <c r="BG544" i="9" s="1"/>
  <c r="BG545" i="9" s="1"/>
  <c r="BG546" i="9" s="1"/>
  <c r="BG547" i="9" s="1"/>
  <c r="BG548" i="9" s="1"/>
  <c r="BG549" i="9" s="1"/>
  <c r="BG550" i="9" s="1"/>
  <c r="BG551" i="9" s="1"/>
  <c r="BG552" i="9" s="1"/>
  <c r="BG553" i="9" s="1"/>
  <c r="BG554" i="9" s="1"/>
  <c r="BG555" i="9" s="1"/>
  <c r="BG556" i="9" s="1"/>
  <c r="BG557" i="9" s="1"/>
  <c r="BG558" i="9" s="1"/>
  <c r="BG559" i="9" s="1"/>
  <c r="BG560" i="9" s="1"/>
  <c r="BG561" i="9" s="1"/>
  <c r="BG562" i="9" s="1"/>
  <c r="BG563" i="9" s="1"/>
  <c r="BG564" i="9" s="1"/>
  <c r="BG565" i="9" s="1"/>
  <c r="BG566" i="9" s="1"/>
  <c r="BG567" i="9" s="1"/>
  <c r="BG568" i="9" s="1"/>
  <c r="BG569" i="9" s="1"/>
  <c r="BG570" i="9" s="1"/>
  <c r="BG571" i="9" s="1"/>
  <c r="BG572" i="9" s="1"/>
  <c r="BG573" i="9" s="1"/>
  <c r="BG574" i="9" s="1"/>
  <c r="BG575" i="9" s="1"/>
  <c r="BG576" i="9" s="1"/>
  <c r="BG577" i="9" s="1"/>
  <c r="BG578" i="9" s="1"/>
  <c r="BG579" i="9" s="1"/>
  <c r="BG580" i="9" s="1"/>
  <c r="BG581" i="9" s="1"/>
  <c r="BG582" i="9" s="1"/>
  <c r="BG583" i="9" s="1"/>
  <c r="BG584" i="9" s="1"/>
  <c r="BG585" i="9" s="1"/>
  <c r="BG586" i="9" s="1"/>
  <c r="BG587" i="9" s="1"/>
  <c r="BG588" i="9" s="1"/>
  <c r="BG589" i="9" s="1"/>
  <c r="BG590" i="9" s="1"/>
  <c r="BG591" i="9" s="1"/>
  <c r="BG592" i="9" s="1"/>
  <c r="BG593" i="9" s="1"/>
  <c r="BG594" i="9" s="1"/>
  <c r="BG595" i="9" s="1"/>
  <c r="BG596" i="9" s="1"/>
  <c r="BG597" i="9" s="1"/>
  <c r="BG598" i="9" s="1"/>
  <c r="BG599" i="9" s="1"/>
  <c r="BG600" i="9" s="1"/>
  <c r="BG601" i="9" s="1"/>
  <c r="BG602" i="9" s="1"/>
  <c r="BG603" i="9" s="1"/>
  <c r="BG604" i="9" s="1"/>
  <c r="BG605" i="9" s="1"/>
  <c r="BG606" i="9" s="1"/>
  <c r="BG607" i="9" s="1"/>
  <c r="BG608" i="9" s="1"/>
  <c r="BG609" i="9" s="1"/>
  <c r="BG610" i="9" s="1"/>
  <c r="BG611" i="9" s="1"/>
  <c r="BG612" i="9" s="1"/>
  <c r="BG613" i="9" s="1"/>
  <c r="BG614" i="9" s="1"/>
  <c r="BG615" i="9" s="1"/>
  <c r="BG616" i="9" s="1"/>
  <c r="BG617" i="9" s="1"/>
  <c r="BG618" i="9" s="1"/>
  <c r="BG619" i="9" s="1"/>
  <c r="BG620" i="9" s="1"/>
  <c r="BG621" i="9" s="1"/>
  <c r="BG622" i="9" s="1"/>
  <c r="BG623" i="9" s="1"/>
  <c r="BG624" i="9" s="1"/>
  <c r="BG625" i="9" s="1"/>
  <c r="BG626" i="9" s="1"/>
  <c r="BG627" i="9" s="1"/>
  <c r="BG628" i="9" s="1"/>
  <c r="BG629" i="9" s="1"/>
  <c r="BG630" i="9" s="1"/>
  <c r="BG631" i="9" s="1"/>
  <c r="BG632" i="9" s="1"/>
  <c r="BG633" i="9" s="1"/>
  <c r="BG634" i="9" s="1"/>
  <c r="BG635" i="9" s="1"/>
  <c r="BG636" i="9" s="1"/>
  <c r="BG637" i="9" s="1"/>
  <c r="BG638" i="9" s="1"/>
  <c r="BG639" i="9" s="1"/>
  <c r="BG640" i="9" s="1"/>
  <c r="BG641" i="9" s="1"/>
  <c r="BG642" i="9" s="1"/>
  <c r="BG643" i="9" s="1"/>
  <c r="BG644" i="9" s="1"/>
  <c r="BG645" i="9" s="1"/>
  <c r="BG646" i="9" s="1"/>
  <c r="BG647" i="9" s="1"/>
  <c r="BG648" i="9" s="1"/>
  <c r="BG649" i="9" s="1"/>
  <c r="BG650" i="9" s="1"/>
  <c r="BG651" i="9" s="1"/>
  <c r="BG652" i="9" s="1"/>
  <c r="BG653" i="9" s="1"/>
  <c r="BG654" i="9" s="1"/>
  <c r="BG655" i="9" s="1"/>
  <c r="BG656" i="9" s="1"/>
  <c r="BF514" i="9"/>
  <c r="BF515" i="9" s="1"/>
  <c r="BF516" i="9" s="1"/>
  <c r="BF517" i="9" s="1"/>
  <c r="BF518" i="9" s="1"/>
  <c r="BF519" i="9" s="1"/>
  <c r="BF520" i="9" s="1"/>
  <c r="BF521" i="9" s="1"/>
  <c r="BF522" i="9" s="1"/>
  <c r="BF523" i="9" s="1"/>
  <c r="BF524" i="9" s="1"/>
  <c r="BF525" i="9" s="1"/>
  <c r="BF526" i="9" s="1"/>
  <c r="BF527" i="9" s="1"/>
  <c r="BF528" i="9" s="1"/>
  <c r="BF529" i="9" s="1"/>
  <c r="BF530" i="9" s="1"/>
  <c r="BF531" i="9" s="1"/>
  <c r="BF532" i="9" s="1"/>
  <c r="BF533" i="9" s="1"/>
  <c r="BF534" i="9" s="1"/>
  <c r="BF535" i="9" s="1"/>
  <c r="BF536" i="9" s="1"/>
  <c r="BF537" i="9" s="1"/>
  <c r="BF538" i="9" s="1"/>
  <c r="BF539" i="9" s="1"/>
  <c r="BF540" i="9" s="1"/>
  <c r="BF541" i="9" s="1"/>
  <c r="BF542" i="9" s="1"/>
  <c r="BF543" i="9" s="1"/>
  <c r="BF544" i="9" s="1"/>
  <c r="BF545" i="9" s="1"/>
  <c r="BF546" i="9" s="1"/>
  <c r="BF547" i="9" s="1"/>
  <c r="BF548" i="9" s="1"/>
  <c r="BF549" i="9" s="1"/>
  <c r="BF550" i="9" s="1"/>
  <c r="BF551" i="9" s="1"/>
  <c r="BF552" i="9" s="1"/>
  <c r="BF553" i="9" s="1"/>
  <c r="BF554" i="9" s="1"/>
  <c r="BF555" i="9" s="1"/>
  <c r="BF556" i="9" s="1"/>
  <c r="BF557" i="9" s="1"/>
  <c r="BF558" i="9" s="1"/>
  <c r="BF559" i="9" s="1"/>
  <c r="BF560" i="9" s="1"/>
  <c r="BF561" i="9" s="1"/>
  <c r="BF562" i="9" s="1"/>
  <c r="BF563" i="9" s="1"/>
  <c r="BF564" i="9" s="1"/>
  <c r="BF565" i="9" s="1"/>
  <c r="BF566" i="9" s="1"/>
  <c r="BF567" i="9" s="1"/>
  <c r="BF568" i="9" s="1"/>
  <c r="BF569" i="9" s="1"/>
  <c r="BF570" i="9" s="1"/>
  <c r="BF571" i="9" s="1"/>
  <c r="BF572" i="9" s="1"/>
  <c r="BF573" i="9" s="1"/>
  <c r="BF574" i="9" s="1"/>
  <c r="BF575" i="9" s="1"/>
  <c r="BF576" i="9" s="1"/>
  <c r="BF577" i="9" s="1"/>
  <c r="BF578" i="9" s="1"/>
  <c r="BF579" i="9" s="1"/>
  <c r="BF580" i="9" s="1"/>
  <c r="BF581" i="9" s="1"/>
  <c r="BF582" i="9" s="1"/>
  <c r="BF583" i="9" s="1"/>
  <c r="BF584" i="9" s="1"/>
  <c r="BF585" i="9" s="1"/>
  <c r="BF586" i="9" s="1"/>
  <c r="BF587" i="9" s="1"/>
  <c r="BF588" i="9" s="1"/>
  <c r="BF589" i="9" s="1"/>
  <c r="BF590" i="9" s="1"/>
  <c r="BF591" i="9" s="1"/>
  <c r="BF592" i="9" s="1"/>
  <c r="BF593" i="9" s="1"/>
  <c r="BF594" i="9" s="1"/>
  <c r="BF595" i="9" s="1"/>
  <c r="BF596" i="9" s="1"/>
  <c r="BF597" i="9" s="1"/>
  <c r="BF598" i="9" s="1"/>
  <c r="BF599" i="9" s="1"/>
  <c r="BF600" i="9" s="1"/>
  <c r="BF601" i="9" s="1"/>
  <c r="BF602" i="9" s="1"/>
  <c r="BF603" i="9" s="1"/>
  <c r="BF604" i="9" s="1"/>
  <c r="BF605" i="9" s="1"/>
  <c r="BF606" i="9" s="1"/>
  <c r="BF607" i="9" s="1"/>
  <c r="BF608" i="9" s="1"/>
  <c r="BF609" i="9" s="1"/>
  <c r="BF610" i="9" s="1"/>
  <c r="BF611" i="9" s="1"/>
  <c r="BF612" i="9" s="1"/>
  <c r="BF613" i="9" s="1"/>
  <c r="BF614" i="9" s="1"/>
  <c r="BF615" i="9" s="1"/>
  <c r="BF616" i="9" s="1"/>
  <c r="BF617" i="9" s="1"/>
  <c r="BF618" i="9" s="1"/>
  <c r="BF619" i="9" s="1"/>
  <c r="BF620" i="9" s="1"/>
  <c r="BF621" i="9" s="1"/>
  <c r="BF622" i="9" s="1"/>
  <c r="BF623" i="9" s="1"/>
  <c r="BF624" i="9" s="1"/>
  <c r="BF625" i="9" s="1"/>
  <c r="BF626" i="9" s="1"/>
  <c r="BF627" i="9" s="1"/>
  <c r="BF628" i="9" s="1"/>
  <c r="BF629" i="9" s="1"/>
  <c r="BF630" i="9" s="1"/>
  <c r="BF631" i="9" s="1"/>
  <c r="BF632" i="9" s="1"/>
  <c r="BF633" i="9" s="1"/>
  <c r="BF634" i="9" s="1"/>
  <c r="BF635" i="9" s="1"/>
  <c r="BF636" i="9" s="1"/>
  <c r="BF637" i="9" s="1"/>
  <c r="BF638" i="9" s="1"/>
  <c r="BF639" i="9" s="1"/>
  <c r="BF640" i="9" s="1"/>
  <c r="BF641" i="9" s="1"/>
  <c r="BF642" i="9" s="1"/>
  <c r="BF643" i="9" s="1"/>
  <c r="BF644" i="9" s="1"/>
  <c r="BF645" i="9" s="1"/>
  <c r="BF646" i="9" s="1"/>
  <c r="BF647" i="9" s="1"/>
  <c r="BF648" i="9" s="1"/>
  <c r="BF649" i="9" s="1"/>
  <c r="BF650" i="9" s="1"/>
  <c r="BF651" i="9" s="1"/>
  <c r="BF652" i="9" s="1"/>
  <c r="BF653" i="9" s="1"/>
  <c r="BF654" i="9" s="1"/>
  <c r="BF655" i="9" s="1"/>
  <c r="BF656" i="9" s="1"/>
  <c r="BD4" i="9" l="1"/>
  <c r="BH3" i="9"/>
  <c r="BA4" i="9"/>
  <c r="AY3" i="9"/>
  <c r="BD3" i="9"/>
  <c r="AY4" i="9"/>
  <c r="BF2" i="9"/>
  <c r="BG2" i="9"/>
  <c r="BE2" i="9"/>
  <c r="BA3" i="9"/>
  <c r="AX4" i="9"/>
  <c r="AW2" i="9"/>
  <c r="BG4" i="9"/>
  <c r="AW3" i="9"/>
  <c r="BE4" i="9"/>
  <c r="BF3" i="9"/>
  <c r="BE3" i="9"/>
  <c r="BF4" i="9" l="1"/>
  <c r="BG3" i="9"/>
  <c r="AW4" i="9"/>
  <c r="A4" i="2" l="1"/>
  <c r="A5" i="2" l="1"/>
  <c r="A6" i="2" l="1"/>
  <c r="A7" i="2" l="1"/>
  <c r="A8" i="2" l="1"/>
  <c r="A9" i="2" l="1"/>
  <c r="A10" i="2" l="1"/>
  <c r="A11" i="2" l="1"/>
  <c r="A12" i="2" l="1"/>
  <c r="A13" i="2" l="1"/>
  <c r="A14" i="2" l="1"/>
  <c r="A15" i="2" l="1"/>
  <c r="A16" i="2" l="1"/>
  <c r="A17" i="2" l="1"/>
  <c r="A18" i="2" l="1"/>
  <c r="A19" i="2" l="1"/>
  <c r="A20" i="2" l="1"/>
  <c r="A21" i="2" l="1"/>
  <c r="A22" i="2" l="1"/>
  <c r="A23" i="2" l="1"/>
  <c r="A24" i="2" l="1"/>
  <c r="A25" i="2" l="1"/>
  <c r="A26" i="2" l="1"/>
  <c r="A27" i="2" l="1"/>
  <c r="A28" i="2" l="1"/>
  <c r="A29" i="2" l="1"/>
  <c r="A30" i="2" l="1"/>
  <c r="A31" i="2" l="1"/>
  <c r="A32" i="2" l="1"/>
  <c r="A33" i="2" l="1"/>
  <c r="A34" i="2" l="1"/>
  <c r="A35" i="2" l="1"/>
  <c r="A36" i="2" l="1"/>
  <c r="A37" i="2" l="1"/>
  <c r="A38" i="2" l="1"/>
  <c r="A39" i="2" l="1"/>
  <c r="A40" i="2" l="1"/>
  <c r="A41" i="2" l="1"/>
  <c r="A42" i="2" l="1"/>
  <c r="A43" i="2" l="1"/>
  <c r="A44" i="2" l="1"/>
  <c r="A45" i="2" l="1"/>
  <c r="A46" i="2" l="1"/>
  <c r="A47" i="2" l="1"/>
  <c r="A48" i="2" s="1"/>
  <c r="C4" i="11" l="1"/>
  <c r="G4" i="11" s="1"/>
  <c r="N5" i="11" l="1"/>
  <c r="K32" i="11" s="1"/>
  <c r="I5" i="11"/>
  <c r="C32" i="11" s="1"/>
  <c r="K4" i="11"/>
  <c r="L4" i="11"/>
  <c r="F4" i="11"/>
  <c r="R11" i="11" l="1"/>
  <c r="R12" i="11" s="1"/>
  <c r="Q11" i="11"/>
  <c r="Q12" i="11" s="1"/>
  <c r="AJ514" i="9" l="1"/>
  <c r="AJ515" i="9" s="1"/>
  <c r="AJ516" i="9" s="1"/>
  <c r="AJ517" i="9" s="1"/>
  <c r="AJ518" i="9" s="1"/>
  <c r="AJ519" i="9" s="1"/>
  <c r="AJ520" i="9" s="1"/>
  <c r="AJ521" i="9" s="1"/>
  <c r="AJ522" i="9" s="1"/>
  <c r="AJ523" i="9" s="1"/>
  <c r="AJ524" i="9" s="1"/>
  <c r="K514" i="9" l="1"/>
  <c r="K515" i="9" s="1"/>
  <c r="K516" i="9" s="1"/>
  <c r="K517" i="9" s="1"/>
  <c r="K518" i="9" s="1"/>
  <c r="K519" i="9" s="1"/>
  <c r="K520" i="9" s="1"/>
  <c r="K521" i="9" s="1"/>
  <c r="K522" i="9" s="1"/>
  <c r="K523" i="9" s="1"/>
  <c r="K524" i="9" s="1"/>
  <c r="K525" i="9" s="1"/>
  <c r="K526" i="9" s="1"/>
  <c r="K527" i="9" s="1"/>
  <c r="K528" i="9" s="1"/>
  <c r="K529" i="9" s="1"/>
  <c r="K530" i="9" s="1"/>
  <c r="K531" i="9" s="1"/>
  <c r="K532" i="9" s="1"/>
  <c r="K533" i="9" s="1"/>
  <c r="K534" i="9" s="1"/>
  <c r="K535" i="9" s="1"/>
  <c r="K536" i="9" s="1"/>
  <c r="K537" i="9" s="1"/>
  <c r="K538" i="9" s="1"/>
  <c r="K539" i="9" s="1"/>
  <c r="K540" i="9" s="1"/>
  <c r="K541" i="9" s="1"/>
  <c r="K542" i="9" s="1"/>
  <c r="K543" i="9" s="1"/>
  <c r="K544" i="9" s="1"/>
  <c r="K545" i="9" s="1"/>
  <c r="K546" i="9" s="1"/>
  <c r="K547" i="9" s="1"/>
  <c r="K548" i="9" s="1"/>
  <c r="K549" i="9" s="1"/>
  <c r="K550" i="9" s="1"/>
  <c r="K551" i="9" s="1"/>
  <c r="K552" i="9" s="1"/>
  <c r="K553" i="9" s="1"/>
  <c r="K554" i="9" s="1"/>
  <c r="K555" i="9" s="1"/>
  <c r="K556" i="9" s="1"/>
  <c r="K557" i="9" s="1"/>
  <c r="K558" i="9" s="1"/>
  <c r="K559" i="9" s="1"/>
  <c r="K560" i="9" s="1"/>
  <c r="K561" i="9" s="1"/>
  <c r="K562" i="9" s="1"/>
  <c r="K563" i="9" s="1"/>
  <c r="K564" i="9" s="1"/>
  <c r="K2" i="9" l="1"/>
  <c r="K565" i="9"/>
  <c r="K566" i="9" s="1"/>
  <c r="K567" i="9" s="1"/>
  <c r="K568" i="9" s="1"/>
  <c r="K569" i="9" s="1"/>
  <c r="K570" i="9" s="1"/>
  <c r="K571" i="9" s="1"/>
  <c r="K572" i="9" s="1"/>
  <c r="K573" i="9" s="1"/>
  <c r="K574" i="9" s="1"/>
  <c r="K575" i="9" s="1"/>
  <c r="K576" i="9" s="1"/>
  <c r="K577" i="9" s="1"/>
  <c r="K578" i="9" s="1"/>
  <c r="K579" i="9" s="1"/>
  <c r="K580" i="9" s="1"/>
  <c r="K581" i="9" s="1"/>
  <c r="K582" i="9" s="1"/>
  <c r="K583" i="9" s="1"/>
  <c r="K584" i="9" s="1"/>
  <c r="K585" i="9" s="1"/>
  <c r="K586" i="9" s="1"/>
  <c r="K587" i="9" s="1"/>
  <c r="K588" i="9" s="1"/>
  <c r="K589" i="9" s="1"/>
  <c r="K590" i="9" s="1"/>
  <c r="K591" i="9" s="1"/>
  <c r="K592" i="9" s="1"/>
  <c r="K593" i="9" s="1"/>
  <c r="K594" i="9" s="1"/>
  <c r="K595" i="9" s="1"/>
  <c r="K596" i="9" s="1"/>
  <c r="K597" i="9" s="1"/>
  <c r="K598" i="9" s="1"/>
  <c r="K599" i="9" s="1"/>
  <c r="K600" i="9" s="1"/>
  <c r="K601" i="9" s="1"/>
  <c r="K602" i="9" s="1"/>
  <c r="K603" i="9" s="1"/>
  <c r="K604" i="9" s="1"/>
  <c r="K605" i="9" s="1"/>
  <c r="K606" i="9" s="1"/>
  <c r="K607" i="9" s="1"/>
  <c r="K608" i="9" s="1"/>
  <c r="K609" i="9" s="1"/>
  <c r="K610" i="9" s="1"/>
  <c r="K611" i="9" s="1"/>
  <c r="K612" i="9" s="1"/>
  <c r="K613" i="9" s="1"/>
  <c r="K614" i="9" s="1"/>
  <c r="K615" i="9" s="1"/>
  <c r="K616" i="9" s="1"/>
  <c r="K617" i="9" s="1"/>
  <c r="K618" i="9" s="1"/>
  <c r="K619" i="9" s="1"/>
  <c r="K620" i="9" s="1"/>
  <c r="K621" i="9" s="1"/>
  <c r="K622" i="9" s="1"/>
  <c r="K623" i="9" s="1"/>
  <c r="K624" i="9" s="1"/>
  <c r="K625" i="9" s="1"/>
  <c r="K626" i="9" s="1"/>
  <c r="K627" i="9" s="1"/>
  <c r="K628" i="9" s="1"/>
  <c r="K629" i="9" s="1"/>
  <c r="K630" i="9" s="1"/>
  <c r="K631" i="9" s="1"/>
  <c r="K632" i="9" s="1"/>
  <c r="K633" i="9" s="1"/>
  <c r="K634" i="9" s="1"/>
  <c r="K635" i="9" s="1"/>
  <c r="K636" i="9" s="1"/>
  <c r="K637" i="9" s="1"/>
  <c r="K638" i="9" s="1"/>
  <c r="K639" i="9" s="1"/>
  <c r="K640" i="9" s="1"/>
  <c r="K641" i="9" s="1"/>
  <c r="K642" i="9" s="1"/>
  <c r="K643" i="9" s="1"/>
  <c r="K644" i="9" s="1"/>
  <c r="K645" i="9" s="1"/>
  <c r="K646" i="9" s="1"/>
  <c r="K647" i="9" s="1"/>
  <c r="K648" i="9" s="1"/>
  <c r="K649" i="9" s="1"/>
  <c r="K650" i="9" s="1"/>
  <c r="K651" i="9" s="1"/>
  <c r="K652" i="9" s="1"/>
  <c r="K653" i="9" s="1"/>
  <c r="K654" i="9" s="1"/>
  <c r="K655" i="9" s="1"/>
  <c r="K656" i="9" s="1"/>
  <c r="K4" i="9" l="1"/>
  <c r="K3" i="9"/>
  <c r="F514" i="9" l="1"/>
  <c r="F515" i="9" s="1"/>
  <c r="F516" i="9" s="1"/>
  <c r="F517" i="9" s="1"/>
  <c r="F518" i="9" s="1"/>
  <c r="F519" i="9" s="1"/>
  <c r="F520" i="9" s="1"/>
  <c r="F521" i="9" s="1"/>
  <c r="F522" i="9" s="1"/>
  <c r="F523" i="9" s="1"/>
  <c r="F524" i="9" s="1"/>
  <c r="F525" i="9" s="1"/>
  <c r="F526" i="9" s="1"/>
  <c r="F527" i="9" s="1"/>
  <c r="F528" i="9" s="1"/>
  <c r="F529" i="9" s="1"/>
  <c r="F530" i="9" s="1"/>
  <c r="F531" i="9" s="1"/>
  <c r="F532" i="9" s="1"/>
  <c r="F533" i="9" s="1"/>
  <c r="F534" i="9" s="1"/>
  <c r="F535" i="9" s="1"/>
  <c r="F536" i="9" s="1"/>
  <c r="F537" i="9" s="1"/>
  <c r="F538" i="9" s="1"/>
  <c r="F539" i="9" s="1"/>
  <c r="F540" i="9" s="1"/>
  <c r="F541" i="9" s="1"/>
  <c r="F542" i="9" s="1"/>
  <c r="F543" i="9" s="1"/>
  <c r="F544" i="9" s="1"/>
  <c r="F545" i="9" s="1"/>
  <c r="F546" i="9" s="1"/>
  <c r="F547" i="9" s="1"/>
  <c r="F548" i="9" s="1"/>
  <c r="F549" i="9" s="1"/>
  <c r="F550" i="9" s="1"/>
  <c r="F551" i="9" s="1"/>
  <c r="F552" i="9" s="1"/>
  <c r="F553" i="9" s="1"/>
  <c r="F554" i="9" s="1"/>
  <c r="F555" i="9" s="1"/>
  <c r="F556" i="9" s="1"/>
  <c r="F557" i="9" s="1"/>
  <c r="F558" i="9" s="1"/>
  <c r="F559" i="9" s="1"/>
  <c r="F560" i="9" s="1"/>
  <c r="F561" i="9" s="1"/>
  <c r="F562" i="9" s="1"/>
  <c r="F563" i="9" s="1"/>
  <c r="F564" i="9" s="1"/>
  <c r="F2" i="9" l="1"/>
  <c r="F565" i="9"/>
  <c r="F566" i="9" s="1"/>
  <c r="F567" i="9" s="1"/>
  <c r="F568" i="9" s="1"/>
  <c r="F569" i="9" s="1"/>
  <c r="F570" i="9" s="1"/>
  <c r="F571" i="9" s="1"/>
  <c r="F572" i="9" s="1"/>
  <c r="F573" i="9" s="1"/>
  <c r="F574" i="9" s="1"/>
  <c r="F575" i="9" s="1"/>
  <c r="F576" i="9" s="1"/>
  <c r="F577" i="9" s="1"/>
  <c r="F578" i="9" s="1"/>
  <c r="F579" i="9" s="1"/>
  <c r="F580" i="9" s="1"/>
  <c r="F581" i="9" s="1"/>
  <c r="F582" i="9" s="1"/>
  <c r="F583" i="9" s="1"/>
  <c r="F584" i="9" s="1"/>
  <c r="F585" i="9" s="1"/>
  <c r="F586" i="9" s="1"/>
  <c r="F587" i="9" s="1"/>
  <c r="F588" i="9" s="1"/>
  <c r="F589" i="9" s="1"/>
  <c r="F590" i="9" s="1"/>
  <c r="F591" i="9" s="1"/>
  <c r="F592" i="9" s="1"/>
  <c r="F593" i="9" s="1"/>
  <c r="F594" i="9" s="1"/>
  <c r="F595" i="9" s="1"/>
  <c r="F596" i="9" s="1"/>
  <c r="F597" i="9" s="1"/>
  <c r="F598" i="9" s="1"/>
  <c r="F599" i="9" s="1"/>
  <c r="F600" i="9" s="1"/>
  <c r="F601" i="9" s="1"/>
  <c r="F602" i="9" s="1"/>
  <c r="F603" i="9" s="1"/>
  <c r="F604" i="9" s="1"/>
  <c r="F605" i="9" s="1"/>
  <c r="F606" i="9" s="1"/>
  <c r="F607" i="9" s="1"/>
  <c r="F608" i="9" s="1"/>
  <c r="F609" i="9" s="1"/>
  <c r="F610" i="9" s="1"/>
  <c r="F611" i="9" s="1"/>
  <c r="F612" i="9" s="1"/>
  <c r="F613" i="9" s="1"/>
  <c r="F614" i="9" s="1"/>
  <c r="F615" i="9" s="1"/>
  <c r="F616" i="9" s="1"/>
  <c r="F617" i="9" s="1"/>
  <c r="F618" i="9" s="1"/>
  <c r="F619" i="9" s="1"/>
  <c r="F620" i="9" s="1"/>
  <c r="F621" i="9" s="1"/>
  <c r="F622" i="9" s="1"/>
  <c r="F623" i="9" s="1"/>
  <c r="F624" i="9" s="1"/>
  <c r="F625" i="9" s="1"/>
  <c r="F626" i="9" s="1"/>
  <c r="F627" i="9" s="1"/>
  <c r="F628" i="9" s="1"/>
  <c r="F629" i="9" s="1"/>
  <c r="F630" i="9" s="1"/>
  <c r="F631" i="9" s="1"/>
  <c r="F632" i="9" s="1"/>
  <c r="F633" i="9" s="1"/>
  <c r="F634" i="9" s="1"/>
  <c r="F635" i="9" s="1"/>
  <c r="F636" i="9" s="1"/>
  <c r="F637" i="9" s="1"/>
  <c r="F638" i="9" s="1"/>
  <c r="F639" i="9" s="1"/>
  <c r="F640" i="9" s="1"/>
  <c r="F641" i="9" s="1"/>
  <c r="F642" i="9" s="1"/>
  <c r="F643" i="9" s="1"/>
  <c r="F644" i="9" s="1"/>
  <c r="F645" i="9" s="1"/>
  <c r="F646" i="9" s="1"/>
  <c r="F647" i="9" s="1"/>
  <c r="F648" i="9" s="1"/>
  <c r="F649" i="9" s="1"/>
  <c r="F650" i="9" s="1"/>
  <c r="F651" i="9" s="1"/>
  <c r="F652" i="9" s="1"/>
  <c r="F653" i="9" s="1"/>
  <c r="F654" i="9" s="1"/>
  <c r="F655" i="9" s="1"/>
  <c r="F656" i="9" s="1"/>
  <c r="F3" i="9" l="1"/>
  <c r="F4" i="9"/>
  <c r="D514" i="9" l="1"/>
  <c r="D515" i="9" s="1"/>
  <c r="D516" i="9" s="1"/>
  <c r="H514" i="9" l="1"/>
  <c r="H515" i="9" s="1"/>
  <c r="H516" i="9" s="1"/>
  <c r="H517" i="9" s="1"/>
  <c r="H518" i="9" s="1"/>
  <c r="H519" i="9" s="1"/>
  <c r="H520" i="9" s="1"/>
  <c r="H521" i="9" s="1"/>
  <c r="H522" i="9" s="1"/>
  <c r="H523" i="9" s="1"/>
  <c r="H524" i="9" s="1"/>
  <c r="H525" i="9" s="1"/>
  <c r="H526" i="9" s="1"/>
  <c r="H527" i="9" s="1"/>
  <c r="H528" i="9" s="1"/>
  <c r="H529" i="9" s="1"/>
  <c r="H530" i="9" s="1"/>
  <c r="H531" i="9" s="1"/>
  <c r="H532" i="9" s="1"/>
  <c r="H533" i="9" s="1"/>
  <c r="H534" i="9" s="1"/>
  <c r="H535" i="9" s="1"/>
  <c r="H536" i="9" s="1"/>
  <c r="H537" i="9" s="1"/>
  <c r="H538" i="9" s="1"/>
  <c r="H539" i="9" s="1"/>
  <c r="H540" i="9" s="1"/>
  <c r="H541" i="9" s="1"/>
  <c r="H542" i="9" s="1"/>
  <c r="H543" i="9" s="1"/>
  <c r="H544" i="9" s="1"/>
  <c r="H545" i="9" s="1"/>
  <c r="H546" i="9" s="1"/>
  <c r="H547" i="9" s="1"/>
  <c r="H548" i="9" s="1"/>
  <c r="H549" i="9" s="1"/>
  <c r="H550" i="9" s="1"/>
  <c r="H551" i="9" s="1"/>
  <c r="H552" i="9" s="1"/>
  <c r="H553" i="9" s="1"/>
  <c r="H554" i="9" s="1"/>
  <c r="H555" i="9" s="1"/>
  <c r="H556" i="9" s="1"/>
  <c r="H557" i="9" s="1"/>
  <c r="H558" i="9" s="1"/>
  <c r="H559" i="9" s="1"/>
  <c r="H560" i="9" s="1"/>
  <c r="H561" i="9" s="1"/>
  <c r="H562" i="9" s="1"/>
  <c r="H563" i="9" s="1"/>
  <c r="H564" i="9" s="1"/>
  <c r="AM514" i="9" l="1"/>
  <c r="AM515" i="9" s="1"/>
  <c r="AM516" i="9" s="1"/>
  <c r="AM517" i="9" s="1"/>
  <c r="AM518" i="9" s="1"/>
  <c r="AM519" i="9" s="1"/>
  <c r="AM520" i="9" s="1"/>
  <c r="AM521" i="9" s="1"/>
  <c r="AM522" i="9" s="1"/>
  <c r="AM523" i="9" s="1"/>
  <c r="AM524" i="9" s="1"/>
  <c r="AM525" i="9" s="1"/>
  <c r="H2" i="9"/>
  <c r="H565" i="9"/>
  <c r="H566" i="9" s="1"/>
  <c r="H567" i="9" s="1"/>
  <c r="H568" i="9" s="1"/>
  <c r="H569" i="9" s="1"/>
  <c r="H570" i="9" s="1"/>
  <c r="H571" i="9" s="1"/>
  <c r="H572" i="9" s="1"/>
  <c r="H573" i="9" s="1"/>
  <c r="H574" i="9" s="1"/>
  <c r="H575" i="9" s="1"/>
  <c r="H576" i="9" s="1"/>
  <c r="H577" i="9" s="1"/>
  <c r="H578" i="9" s="1"/>
  <c r="H579" i="9" s="1"/>
  <c r="H580" i="9" s="1"/>
  <c r="H581" i="9" s="1"/>
  <c r="H582" i="9" s="1"/>
  <c r="H583" i="9" s="1"/>
  <c r="H584" i="9" s="1"/>
  <c r="H585" i="9" s="1"/>
  <c r="H586" i="9" s="1"/>
  <c r="H587" i="9" s="1"/>
  <c r="H588" i="9" s="1"/>
  <c r="H589" i="9" s="1"/>
  <c r="H590" i="9" s="1"/>
  <c r="H591" i="9" s="1"/>
  <c r="H592" i="9" s="1"/>
  <c r="H593" i="9" s="1"/>
  <c r="H594" i="9" s="1"/>
  <c r="H595" i="9" s="1"/>
  <c r="H596" i="9" s="1"/>
  <c r="H597" i="9" s="1"/>
  <c r="H598" i="9" s="1"/>
  <c r="H599" i="9" s="1"/>
  <c r="H600" i="9" s="1"/>
  <c r="H601" i="9" s="1"/>
  <c r="H602" i="9" s="1"/>
  <c r="H603" i="9" s="1"/>
  <c r="H604" i="9" s="1"/>
  <c r="H605" i="9" s="1"/>
  <c r="H606" i="9" s="1"/>
  <c r="H607" i="9" s="1"/>
  <c r="H608" i="9" s="1"/>
  <c r="H609" i="9" s="1"/>
  <c r="H610" i="9" s="1"/>
  <c r="H611" i="9" s="1"/>
  <c r="H612" i="9" s="1"/>
  <c r="H613" i="9" s="1"/>
  <c r="H614" i="9" s="1"/>
  <c r="H615" i="9" s="1"/>
  <c r="H616" i="9" s="1"/>
  <c r="H617" i="9" s="1"/>
  <c r="H618" i="9" s="1"/>
  <c r="H619" i="9" s="1"/>
  <c r="H620" i="9" s="1"/>
  <c r="H621" i="9" s="1"/>
  <c r="H622" i="9" s="1"/>
  <c r="H623" i="9" s="1"/>
  <c r="H624" i="9" s="1"/>
  <c r="H625" i="9" s="1"/>
  <c r="H626" i="9" s="1"/>
  <c r="H627" i="9" s="1"/>
  <c r="H628" i="9" s="1"/>
  <c r="H629" i="9" s="1"/>
  <c r="H630" i="9" s="1"/>
  <c r="H631" i="9" s="1"/>
  <c r="H632" i="9" s="1"/>
  <c r="H633" i="9" s="1"/>
  <c r="H634" i="9" s="1"/>
  <c r="H635" i="9" s="1"/>
  <c r="H636" i="9" s="1"/>
  <c r="H637" i="9" s="1"/>
  <c r="H638" i="9" s="1"/>
  <c r="H639" i="9" s="1"/>
  <c r="H640" i="9" s="1"/>
  <c r="H641" i="9" s="1"/>
  <c r="H642" i="9" s="1"/>
  <c r="H643" i="9" s="1"/>
  <c r="H644" i="9" s="1"/>
  <c r="H645" i="9" s="1"/>
  <c r="H646" i="9" s="1"/>
  <c r="H647" i="9" s="1"/>
  <c r="H648" i="9" s="1"/>
  <c r="H649" i="9" s="1"/>
  <c r="H650" i="9" s="1"/>
  <c r="H651" i="9" s="1"/>
  <c r="H652" i="9" s="1"/>
  <c r="H653" i="9" s="1"/>
  <c r="H654" i="9" s="1"/>
  <c r="H655" i="9" s="1"/>
  <c r="H656" i="9" s="1"/>
  <c r="H4" i="9" l="1"/>
  <c r="H3" i="9"/>
  <c r="W514" i="9" l="1"/>
  <c r="W515" i="9" s="1"/>
  <c r="W516" i="9" s="1"/>
  <c r="W517" i="9" s="1"/>
  <c r="W518" i="9" s="1"/>
  <c r="W519" i="9" s="1"/>
  <c r="W520" i="9" s="1"/>
  <c r="W521" i="9" s="1"/>
  <c r="W522" i="9" s="1"/>
  <c r="W523" i="9" s="1"/>
  <c r="W524" i="9" s="1"/>
  <c r="W525" i="9" s="1"/>
  <c r="W526" i="9" s="1"/>
  <c r="W527" i="9" s="1"/>
  <c r="W528" i="9" s="1"/>
  <c r="W529" i="9" s="1"/>
  <c r="W530" i="9" s="1"/>
  <c r="W531" i="9" s="1"/>
  <c r="W532" i="9" s="1"/>
  <c r="W533" i="9" s="1"/>
  <c r="W534" i="9" s="1"/>
  <c r="W535" i="9" s="1"/>
  <c r="W536" i="9" s="1"/>
  <c r="W537" i="9" s="1"/>
  <c r="W538" i="9" s="1"/>
  <c r="W539" i="9" s="1"/>
  <c r="W540" i="9" s="1"/>
  <c r="W541" i="9" s="1"/>
  <c r="W542" i="9" s="1"/>
  <c r="W543" i="9" s="1"/>
  <c r="W544" i="9" s="1"/>
  <c r="W545" i="9" s="1"/>
  <c r="W546" i="9" s="1"/>
  <c r="W547" i="9" s="1"/>
  <c r="W548" i="9" s="1"/>
  <c r="W549" i="9" s="1"/>
  <c r="W550" i="9" s="1"/>
  <c r="W551" i="9" s="1"/>
  <c r="W552" i="9" s="1"/>
  <c r="W553" i="9" s="1"/>
  <c r="W554" i="9" s="1"/>
  <c r="W555" i="9" s="1"/>
  <c r="W556" i="9" s="1"/>
  <c r="W557" i="9" s="1"/>
  <c r="W558" i="9" s="1"/>
  <c r="W559" i="9" s="1"/>
  <c r="W560" i="9" s="1"/>
  <c r="W561" i="9" s="1"/>
  <c r="W562" i="9" s="1"/>
  <c r="W563" i="9" s="1"/>
  <c r="W564" i="9" s="1"/>
  <c r="W2" i="9" s="1"/>
  <c r="W565" i="9" l="1"/>
  <c r="W566" i="9" s="1"/>
  <c r="W567" i="9" s="1"/>
  <c r="W568" i="9" s="1"/>
  <c r="W569" i="9" s="1"/>
  <c r="W570" i="9" s="1"/>
  <c r="W571" i="9" s="1"/>
  <c r="W572" i="9" s="1"/>
  <c r="W573" i="9" s="1"/>
  <c r="W574" i="9" s="1"/>
  <c r="W575" i="9" s="1"/>
  <c r="W576" i="9" s="1"/>
  <c r="W577" i="9" s="1"/>
  <c r="W578" i="9" s="1"/>
  <c r="W579" i="9" s="1"/>
  <c r="W580" i="9" s="1"/>
  <c r="W581" i="9" s="1"/>
  <c r="W582" i="9" s="1"/>
  <c r="W583" i="9" s="1"/>
  <c r="W584" i="9" s="1"/>
  <c r="W585" i="9" s="1"/>
  <c r="W586" i="9" s="1"/>
  <c r="W587" i="9" s="1"/>
  <c r="W588" i="9" s="1"/>
  <c r="W589" i="9" s="1"/>
  <c r="W590" i="9" s="1"/>
  <c r="W591" i="9" s="1"/>
  <c r="W592" i="9" s="1"/>
  <c r="W593" i="9" s="1"/>
  <c r="W594" i="9" s="1"/>
  <c r="W595" i="9" s="1"/>
  <c r="W596" i="9" s="1"/>
  <c r="W597" i="9" s="1"/>
  <c r="W598" i="9" s="1"/>
  <c r="W599" i="9" s="1"/>
  <c r="W600" i="9" s="1"/>
  <c r="W601" i="9" s="1"/>
  <c r="W602" i="9" s="1"/>
  <c r="W603" i="9" s="1"/>
  <c r="W604" i="9" s="1"/>
  <c r="W605" i="9" s="1"/>
  <c r="W606" i="9" s="1"/>
  <c r="W607" i="9" s="1"/>
  <c r="W608" i="9" s="1"/>
  <c r="W609" i="9" s="1"/>
  <c r="W610" i="9" s="1"/>
  <c r="W611" i="9" s="1"/>
  <c r="W612" i="9" s="1"/>
  <c r="W613" i="9" s="1"/>
  <c r="W614" i="9" s="1"/>
  <c r="W615" i="9" s="1"/>
  <c r="W616" i="9" s="1"/>
  <c r="W617" i="9" s="1"/>
  <c r="W618" i="9" s="1"/>
  <c r="W619" i="9" s="1"/>
  <c r="W620" i="9" s="1"/>
  <c r="W621" i="9" s="1"/>
  <c r="W622" i="9" s="1"/>
  <c r="W623" i="9" s="1"/>
  <c r="W624" i="9" s="1"/>
  <c r="W625" i="9" s="1"/>
  <c r="W626" i="9" s="1"/>
  <c r="W627" i="9" s="1"/>
  <c r="W628" i="9" s="1"/>
  <c r="W629" i="9" s="1"/>
  <c r="W630" i="9" s="1"/>
  <c r="W631" i="9" s="1"/>
  <c r="W632" i="9" s="1"/>
  <c r="W633" i="9" s="1"/>
  <c r="W634" i="9" s="1"/>
  <c r="W635" i="9" s="1"/>
  <c r="W636" i="9" s="1"/>
  <c r="W637" i="9" s="1"/>
  <c r="W638" i="9" s="1"/>
  <c r="W639" i="9" s="1"/>
  <c r="W640" i="9" s="1"/>
  <c r="W641" i="9" s="1"/>
  <c r="W642" i="9" s="1"/>
  <c r="W643" i="9" s="1"/>
  <c r="W644" i="9" s="1"/>
  <c r="W645" i="9" s="1"/>
  <c r="W646" i="9" s="1"/>
  <c r="W647" i="9" s="1"/>
  <c r="W648" i="9" s="1"/>
  <c r="W649" i="9" s="1"/>
  <c r="W650" i="9" s="1"/>
  <c r="W651" i="9" s="1"/>
  <c r="W652" i="9" s="1"/>
  <c r="W653" i="9" s="1"/>
  <c r="W654" i="9" s="1"/>
  <c r="W655" i="9" s="1"/>
  <c r="W656" i="9" s="1"/>
  <c r="W3" i="9" l="1"/>
  <c r="W4" i="9"/>
  <c r="X514" i="9" l="1"/>
  <c r="X515" i="9" s="1"/>
  <c r="X516" i="9" s="1"/>
  <c r="X517" i="9" s="1"/>
  <c r="X518" i="9" s="1"/>
  <c r="X519" i="9" s="1"/>
  <c r="X520" i="9" s="1"/>
  <c r="X521" i="9" s="1"/>
  <c r="X522" i="9" s="1"/>
  <c r="X523" i="9" s="1"/>
  <c r="X524" i="9" s="1"/>
  <c r="X525" i="9" s="1"/>
  <c r="X526" i="9" s="1"/>
  <c r="X527" i="9" s="1"/>
  <c r="X528" i="9" s="1"/>
  <c r="X529" i="9" s="1"/>
  <c r="X530" i="9" s="1"/>
  <c r="X531" i="9" s="1"/>
  <c r="X532" i="9" s="1"/>
  <c r="X533" i="9" s="1"/>
  <c r="X534" i="9" s="1"/>
  <c r="X535" i="9" s="1"/>
  <c r="X536" i="9" s="1"/>
  <c r="X537" i="9" s="1"/>
  <c r="X538" i="9" s="1"/>
  <c r="X539" i="9" s="1"/>
  <c r="X540" i="9" s="1"/>
  <c r="X541" i="9" s="1"/>
  <c r="X542" i="9" s="1"/>
  <c r="X543" i="9" s="1"/>
  <c r="X544" i="9" s="1"/>
  <c r="X545" i="9" s="1"/>
  <c r="X546" i="9" s="1"/>
  <c r="X547" i="9" s="1"/>
  <c r="X548" i="9" s="1"/>
  <c r="X549" i="9" s="1"/>
  <c r="X550" i="9" s="1"/>
  <c r="X551" i="9" s="1"/>
  <c r="X552" i="9" s="1"/>
  <c r="X553" i="9" s="1"/>
  <c r="X554" i="9" s="1"/>
  <c r="X555" i="9" s="1"/>
  <c r="X556" i="9" s="1"/>
  <c r="X557" i="9" s="1"/>
  <c r="X558" i="9" s="1"/>
  <c r="X559" i="9" s="1"/>
  <c r="X560" i="9" s="1"/>
  <c r="X561" i="9" s="1"/>
  <c r="X562" i="9" s="1"/>
  <c r="X563" i="9" s="1"/>
  <c r="X564" i="9" s="1"/>
  <c r="X565" i="9" l="1"/>
  <c r="X566" i="9" s="1"/>
  <c r="X567" i="9" s="1"/>
  <c r="X568" i="9" s="1"/>
  <c r="X569" i="9" s="1"/>
  <c r="X570" i="9" s="1"/>
  <c r="X571" i="9" s="1"/>
  <c r="X572" i="9" s="1"/>
  <c r="X573" i="9" s="1"/>
  <c r="X574" i="9" s="1"/>
  <c r="X575" i="9" s="1"/>
  <c r="X576" i="9" s="1"/>
  <c r="X577" i="9" s="1"/>
  <c r="X578" i="9" s="1"/>
  <c r="X579" i="9" s="1"/>
  <c r="X580" i="9" s="1"/>
  <c r="X581" i="9" s="1"/>
  <c r="X582" i="9" s="1"/>
  <c r="X583" i="9" s="1"/>
  <c r="X584" i="9" s="1"/>
  <c r="X585" i="9" s="1"/>
  <c r="X586" i="9" s="1"/>
  <c r="X587" i="9" s="1"/>
  <c r="X588" i="9" s="1"/>
  <c r="X589" i="9" s="1"/>
  <c r="X590" i="9" s="1"/>
  <c r="X591" i="9" s="1"/>
  <c r="X592" i="9" s="1"/>
  <c r="X593" i="9" s="1"/>
  <c r="X594" i="9" s="1"/>
  <c r="X595" i="9" s="1"/>
  <c r="X596" i="9" s="1"/>
  <c r="X597" i="9" s="1"/>
  <c r="X598" i="9" s="1"/>
  <c r="X599" i="9" s="1"/>
  <c r="X600" i="9" s="1"/>
  <c r="X601" i="9" s="1"/>
  <c r="X602" i="9" s="1"/>
  <c r="X603" i="9" s="1"/>
  <c r="X604" i="9" s="1"/>
  <c r="X605" i="9" s="1"/>
  <c r="X606" i="9" s="1"/>
  <c r="X607" i="9" s="1"/>
  <c r="X608" i="9" s="1"/>
  <c r="X609" i="9" s="1"/>
  <c r="X610" i="9" s="1"/>
  <c r="X611" i="9" s="1"/>
  <c r="X612" i="9" s="1"/>
  <c r="X613" i="9" s="1"/>
  <c r="X614" i="9" s="1"/>
  <c r="X615" i="9" s="1"/>
  <c r="X616" i="9" s="1"/>
  <c r="X617" i="9" s="1"/>
  <c r="X618" i="9" s="1"/>
  <c r="X619" i="9" s="1"/>
  <c r="X620" i="9" s="1"/>
  <c r="X621" i="9" s="1"/>
  <c r="X622" i="9" s="1"/>
  <c r="X623" i="9" s="1"/>
  <c r="X624" i="9" s="1"/>
  <c r="X625" i="9" s="1"/>
  <c r="X626" i="9" s="1"/>
  <c r="X627" i="9" s="1"/>
  <c r="X628" i="9" s="1"/>
  <c r="X629" i="9" s="1"/>
  <c r="X630" i="9" s="1"/>
  <c r="X631" i="9" s="1"/>
  <c r="X632" i="9" s="1"/>
  <c r="X633" i="9" s="1"/>
  <c r="X634" i="9" s="1"/>
  <c r="X635" i="9" s="1"/>
  <c r="X636" i="9" s="1"/>
  <c r="X637" i="9" s="1"/>
  <c r="X638" i="9" s="1"/>
  <c r="X639" i="9" s="1"/>
  <c r="X640" i="9" s="1"/>
  <c r="X641" i="9" s="1"/>
  <c r="X642" i="9" s="1"/>
  <c r="X643" i="9" s="1"/>
  <c r="X644" i="9" s="1"/>
  <c r="X645" i="9" s="1"/>
  <c r="X646" i="9" s="1"/>
  <c r="X647" i="9" s="1"/>
  <c r="X648" i="9" s="1"/>
  <c r="X649" i="9" s="1"/>
  <c r="X650" i="9" s="1"/>
  <c r="X651" i="9" s="1"/>
  <c r="X652" i="9" s="1"/>
  <c r="X653" i="9" s="1"/>
  <c r="X654" i="9" s="1"/>
  <c r="X655" i="9" s="1"/>
  <c r="X656" i="9" s="1"/>
  <c r="X2" i="9"/>
  <c r="X3" i="9" l="1"/>
  <c r="X4" i="9"/>
  <c r="AD514" i="9" l="1"/>
  <c r="AD515" i="9" s="1"/>
  <c r="AD516" i="9" s="1"/>
  <c r="AD517" i="9" s="1"/>
  <c r="AD518" i="9" s="1"/>
  <c r="AD519" i="9" s="1"/>
  <c r="AD520" i="9" s="1"/>
  <c r="AD521" i="9" s="1"/>
  <c r="AD522" i="9" s="1"/>
  <c r="AD523" i="9" s="1"/>
  <c r="AD524" i="9" s="1"/>
  <c r="AD525" i="9" s="1"/>
  <c r="AD526" i="9" s="1"/>
  <c r="AD527" i="9" s="1"/>
  <c r="AD528" i="9" s="1"/>
  <c r="AD529" i="9" s="1"/>
  <c r="AD530" i="9" s="1"/>
  <c r="AD531" i="9" s="1"/>
  <c r="AD532" i="9" s="1"/>
  <c r="AD533" i="9" s="1"/>
  <c r="AD534" i="9" s="1"/>
  <c r="AD535" i="9" s="1"/>
  <c r="AD536" i="9" s="1"/>
  <c r="AD537" i="9" s="1"/>
  <c r="AD538" i="9" s="1"/>
  <c r="AD539" i="9" s="1"/>
  <c r="AD540" i="9" s="1"/>
  <c r="AD541" i="9" s="1"/>
  <c r="AD542" i="9" s="1"/>
  <c r="AD543" i="9" s="1"/>
  <c r="AD544" i="9" s="1"/>
  <c r="AD545" i="9" s="1"/>
  <c r="AD546" i="9" s="1"/>
  <c r="AD547" i="9" s="1"/>
  <c r="AD548" i="9" s="1"/>
  <c r="AD549" i="9" s="1"/>
  <c r="AD550" i="9" s="1"/>
  <c r="AD551" i="9" s="1"/>
  <c r="AD552" i="9" s="1"/>
  <c r="AD553" i="9" s="1"/>
  <c r="AD554" i="9" s="1"/>
  <c r="AD555" i="9" s="1"/>
  <c r="AD556" i="9" s="1"/>
  <c r="AD557" i="9" s="1"/>
  <c r="AD558" i="9" s="1"/>
  <c r="AD559" i="9" s="1"/>
  <c r="AD560" i="9" s="1"/>
  <c r="AD561" i="9" s="1"/>
  <c r="AD562" i="9" s="1"/>
  <c r="AD563" i="9" s="1"/>
  <c r="AD564" i="9" s="1"/>
  <c r="AD565" i="9" l="1"/>
  <c r="AD566" i="9" s="1"/>
  <c r="AD567" i="9" s="1"/>
  <c r="AD568" i="9" s="1"/>
  <c r="AD569" i="9" s="1"/>
  <c r="AD570" i="9" s="1"/>
  <c r="AD571" i="9" s="1"/>
  <c r="AD572" i="9" s="1"/>
  <c r="AD573" i="9" s="1"/>
  <c r="AD574" i="9" s="1"/>
  <c r="AD575" i="9" s="1"/>
  <c r="AD576" i="9" s="1"/>
  <c r="AD577" i="9" s="1"/>
  <c r="AD578" i="9" s="1"/>
  <c r="AD579" i="9" s="1"/>
  <c r="AD580" i="9" s="1"/>
  <c r="AD581" i="9" s="1"/>
  <c r="AD582" i="9" s="1"/>
  <c r="AD583" i="9" s="1"/>
  <c r="AD584" i="9" s="1"/>
  <c r="AD585" i="9" s="1"/>
  <c r="AD586" i="9" s="1"/>
  <c r="AD587" i="9" s="1"/>
  <c r="AD588" i="9" s="1"/>
  <c r="AD589" i="9" s="1"/>
  <c r="AD590" i="9" s="1"/>
  <c r="AD591" i="9" s="1"/>
  <c r="AD592" i="9" s="1"/>
  <c r="AD593" i="9" s="1"/>
  <c r="AD594" i="9" s="1"/>
  <c r="AD595" i="9" s="1"/>
  <c r="AD596" i="9" s="1"/>
  <c r="AD597" i="9" s="1"/>
  <c r="AD598" i="9" s="1"/>
  <c r="AD599" i="9" s="1"/>
  <c r="AD600" i="9" s="1"/>
  <c r="AD601" i="9" s="1"/>
  <c r="AD602" i="9" s="1"/>
  <c r="AD603" i="9" s="1"/>
  <c r="AD604" i="9" s="1"/>
  <c r="AD605" i="9" s="1"/>
  <c r="AD606" i="9" s="1"/>
  <c r="AD607" i="9" s="1"/>
  <c r="AD608" i="9" s="1"/>
  <c r="AD609" i="9" s="1"/>
  <c r="AD610" i="9" s="1"/>
  <c r="AD611" i="9" s="1"/>
  <c r="AD612" i="9" s="1"/>
  <c r="AD613" i="9" s="1"/>
  <c r="AD614" i="9" s="1"/>
  <c r="AD615" i="9" s="1"/>
  <c r="AD616" i="9" s="1"/>
  <c r="AD617" i="9" s="1"/>
  <c r="AD618" i="9" s="1"/>
  <c r="AD619" i="9" s="1"/>
  <c r="AD620" i="9" s="1"/>
  <c r="AD621" i="9" s="1"/>
  <c r="AD622" i="9" s="1"/>
  <c r="AD623" i="9" s="1"/>
  <c r="AD624" i="9" s="1"/>
  <c r="AD625" i="9" s="1"/>
  <c r="AD626" i="9" s="1"/>
  <c r="AD627" i="9" s="1"/>
  <c r="AD628" i="9" s="1"/>
  <c r="AD629" i="9" s="1"/>
  <c r="AD630" i="9" s="1"/>
  <c r="AD631" i="9" s="1"/>
  <c r="AD632" i="9" s="1"/>
  <c r="AD633" i="9" s="1"/>
  <c r="AD634" i="9" s="1"/>
  <c r="AD635" i="9" s="1"/>
  <c r="AD636" i="9" s="1"/>
  <c r="AD637" i="9" s="1"/>
  <c r="AD638" i="9" s="1"/>
  <c r="AD639" i="9" s="1"/>
  <c r="AD640" i="9" s="1"/>
  <c r="AD641" i="9" s="1"/>
  <c r="AD642" i="9" s="1"/>
  <c r="AD643" i="9" s="1"/>
  <c r="AD644" i="9" s="1"/>
  <c r="AD645" i="9" s="1"/>
  <c r="AD646" i="9" s="1"/>
  <c r="AD647" i="9" s="1"/>
  <c r="AD648" i="9" s="1"/>
  <c r="AD649" i="9" s="1"/>
  <c r="AD650" i="9" s="1"/>
  <c r="AD651" i="9" s="1"/>
  <c r="AD652" i="9" s="1"/>
  <c r="AD653" i="9" s="1"/>
  <c r="AD654" i="9" s="1"/>
  <c r="AD655" i="9" s="1"/>
  <c r="AD656" i="9" s="1"/>
  <c r="AD2" i="9"/>
  <c r="AD4" i="9" l="1"/>
  <c r="AD3" i="9"/>
  <c r="AN514" i="9" l="1"/>
  <c r="AN515" i="9" s="1"/>
  <c r="AN516" i="9" s="1"/>
  <c r="AN517" i="9" s="1"/>
  <c r="AN518" i="9" s="1"/>
  <c r="AN519" i="9" s="1"/>
  <c r="AN520" i="9" s="1"/>
  <c r="AN521" i="9" s="1"/>
  <c r="AN522" i="9" s="1"/>
  <c r="AH514" i="9" l="1"/>
  <c r="AH515" i="9" s="1"/>
  <c r="AH516" i="9" s="1"/>
  <c r="AH517" i="9" s="1"/>
  <c r="AH518" i="9" s="1"/>
  <c r="AH519" i="9" s="1"/>
  <c r="AH520" i="9" s="1"/>
  <c r="AH521" i="9" s="1"/>
  <c r="AH522" i="9" s="1"/>
  <c r="AH523" i="9" s="1"/>
  <c r="AH524" i="9" s="1"/>
  <c r="AH525" i="9" s="1"/>
  <c r="AH526" i="9" s="1"/>
  <c r="AH527" i="9" s="1"/>
  <c r="AH528" i="9" s="1"/>
  <c r="AH529" i="9" s="1"/>
  <c r="AH530" i="9" s="1"/>
  <c r="AH531" i="9" s="1"/>
  <c r="AH532" i="9" s="1"/>
  <c r="AH533" i="9" s="1"/>
  <c r="AH534" i="9" s="1"/>
  <c r="AH535" i="9" s="1"/>
  <c r="AH536" i="9" s="1"/>
  <c r="AH537" i="9" s="1"/>
  <c r="AH538" i="9" s="1"/>
  <c r="AH539" i="9" s="1"/>
  <c r="AH540" i="9" s="1"/>
  <c r="AH541" i="9" s="1"/>
  <c r="AH542" i="9" s="1"/>
  <c r="AH543" i="9" s="1"/>
  <c r="AH544" i="9" s="1"/>
  <c r="AH545" i="9" s="1"/>
  <c r="AH546" i="9" s="1"/>
  <c r="AH547" i="9" s="1"/>
  <c r="AH548" i="9" s="1"/>
  <c r="AH549" i="9" s="1"/>
  <c r="AH550" i="9" s="1"/>
  <c r="AH551" i="9" s="1"/>
  <c r="AH552" i="9" s="1"/>
  <c r="AH553" i="9" s="1"/>
  <c r="AH554" i="9" s="1"/>
  <c r="AH555" i="9" s="1"/>
  <c r="AH556" i="9" s="1"/>
  <c r="AH557" i="9" s="1"/>
  <c r="AH558" i="9" s="1"/>
  <c r="AH559" i="9" s="1"/>
  <c r="AH560" i="9" s="1"/>
  <c r="AH561" i="9" s="1"/>
  <c r="AH562" i="9" s="1"/>
  <c r="AH563" i="9" s="1"/>
  <c r="AH564" i="9" s="1"/>
  <c r="AR514" i="9" l="1"/>
  <c r="AR515" i="9" s="1"/>
  <c r="AR516" i="9" s="1"/>
  <c r="AR517" i="9" s="1"/>
  <c r="AR518" i="9" s="1"/>
  <c r="AR519" i="9" s="1"/>
  <c r="AR520" i="9" s="1"/>
  <c r="AR521" i="9" s="1"/>
  <c r="AR522" i="9" s="1"/>
  <c r="AR523" i="9" s="1"/>
  <c r="AR524" i="9" s="1"/>
  <c r="AR525" i="9" s="1"/>
  <c r="AR526" i="9" s="1"/>
  <c r="AR527" i="9" s="1"/>
  <c r="AR528" i="9" s="1"/>
  <c r="AR529" i="9" s="1"/>
  <c r="AR530" i="9" s="1"/>
  <c r="AR531" i="9" s="1"/>
  <c r="AR532" i="9" s="1"/>
  <c r="AR533" i="9" s="1"/>
  <c r="AR534" i="9" s="1"/>
  <c r="AR535" i="9" s="1"/>
  <c r="AR536" i="9" s="1"/>
  <c r="AR537" i="9" s="1"/>
  <c r="AR538" i="9" s="1"/>
  <c r="AR539" i="9" s="1"/>
  <c r="AR540" i="9" s="1"/>
  <c r="AR541" i="9" s="1"/>
  <c r="AR542" i="9" s="1"/>
  <c r="AR543" i="9" s="1"/>
  <c r="AR544" i="9" s="1"/>
  <c r="AR545" i="9" s="1"/>
  <c r="AR546" i="9" s="1"/>
  <c r="AR547" i="9" s="1"/>
  <c r="AR548" i="9" s="1"/>
  <c r="AR549" i="9" s="1"/>
  <c r="AR550" i="9" s="1"/>
  <c r="AR551" i="9" s="1"/>
  <c r="AR552" i="9" s="1"/>
  <c r="AR553" i="9" s="1"/>
  <c r="AR554" i="9" s="1"/>
  <c r="AR555" i="9" s="1"/>
  <c r="AR556" i="9" s="1"/>
  <c r="AR557" i="9" s="1"/>
  <c r="AR558" i="9" s="1"/>
  <c r="AR559" i="9" s="1"/>
  <c r="AR560" i="9" s="1"/>
  <c r="AR561" i="9" s="1"/>
  <c r="AR562" i="9" s="1"/>
  <c r="AR563" i="9" s="1"/>
  <c r="AR564" i="9" s="1"/>
  <c r="AR565" i="9" s="1"/>
  <c r="AR566" i="9" s="1"/>
  <c r="AR567" i="9" s="1"/>
  <c r="AR568" i="9" s="1"/>
  <c r="AR569" i="9" s="1"/>
  <c r="AR570" i="9" s="1"/>
  <c r="AR571" i="9" s="1"/>
  <c r="AR572" i="9" s="1"/>
  <c r="AR573" i="9" s="1"/>
  <c r="AR574" i="9" s="1"/>
  <c r="AR575" i="9" s="1"/>
  <c r="AR576" i="9" s="1"/>
  <c r="AR577" i="9" s="1"/>
  <c r="AR578" i="9" s="1"/>
  <c r="AR579" i="9" s="1"/>
  <c r="AR580" i="9" s="1"/>
  <c r="AR581" i="9" s="1"/>
  <c r="AR582" i="9" s="1"/>
  <c r="AR583" i="9" s="1"/>
  <c r="AR584" i="9" s="1"/>
  <c r="AR585" i="9" s="1"/>
  <c r="AR586" i="9" s="1"/>
  <c r="AR587" i="9" s="1"/>
  <c r="AR588" i="9" s="1"/>
  <c r="AR589" i="9" s="1"/>
  <c r="AR590" i="9" s="1"/>
  <c r="AR591" i="9" s="1"/>
  <c r="AR592" i="9" s="1"/>
  <c r="AR593" i="9" s="1"/>
  <c r="AR594" i="9" s="1"/>
  <c r="AR595" i="9" s="1"/>
  <c r="AR596" i="9" s="1"/>
  <c r="AR597" i="9" s="1"/>
  <c r="AR598" i="9" s="1"/>
  <c r="AR599" i="9" s="1"/>
  <c r="AR600" i="9" s="1"/>
  <c r="AR601" i="9" s="1"/>
  <c r="AR602" i="9" s="1"/>
  <c r="AR603" i="9" s="1"/>
  <c r="AR604" i="9" s="1"/>
  <c r="AR605" i="9" s="1"/>
  <c r="AR606" i="9" s="1"/>
  <c r="AR607" i="9" s="1"/>
  <c r="AR608" i="9" s="1"/>
  <c r="AR609" i="9" s="1"/>
  <c r="AR610" i="9" s="1"/>
  <c r="AR611" i="9" s="1"/>
  <c r="AR612" i="9" s="1"/>
  <c r="AR613" i="9" s="1"/>
  <c r="AR614" i="9" s="1"/>
  <c r="AR615" i="9" s="1"/>
  <c r="AR616" i="9" s="1"/>
  <c r="AR617" i="9" s="1"/>
  <c r="AR618" i="9" s="1"/>
  <c r="AR619" i="9" s="1"/>
  <c r="AR620" i="9" s="1"/>
  <c r="AR621" i="9" s="1"/>
  <c r="AR622" i="9" s="1"/>
  <c r="AR623" i="9" s="1"/>
  <c r="AR624" i="9" s="1"/>
  <c r="AR625" i="9" s="1"/>
  <c r="AR626" i="9" s="1"/>
  <c r="AR627" i="9" s="1"/>
  <c r="AR628" i="9" s="1"/>
  <c r="AR629" i="9" s="1"/>
  <c r="AR630" i="9" s="1"/>
  <c r="AR631" i="9" s="1"/>
  <c r="AR632" i="9" s="1"/>
  <c r="AR633" i="9" s="1"/>
  <c r="AR634" i="9" s="1"/>
  <c r="AR635" i="9" s="1"/>
  <c r="AR636" i="9" s="1"/>
  <c r="AR637" i="9" s="1"/>
  <c r="AR638" i="9" s="1"/>
  <c r="AR639" i="9" s="1"/>
  <c r="AR640" i="9" s="1"/>
  <c r="AR641" i="9" s="1"/>
  <c r="AR642" i="9" s="1"/>
  <c r="AR643" i="9" s="1"/>
  <c r="AR644" i="9" s="1"/>
  <c r="AR645" i="9" s="1"/>
  <c r="AR646" i="9" s="1"/>
  <c r="AR647" i="9" s="1"/>
  <c r="AR648" i="9" s="1"/>
  <c r="AR649" i="9" s="1"/>
  <c r="AR650" i="9" s="1"/>
  <c r="AR651" i="9" s="1"/>
  <c r="AR652" i="9" s="1"/>
  <c r="AR653" i="9" s="1"/>
  <c r="AR654" i="9" s="1"/>
  <c r="AR655" i="9" s="1"/>
  <c r="AR656" i="9" s="1"/>
  <c r="AH2" i="9"/>
  <c r="D15" i="2" s="1"/>
  <c r="AH565" i="9"/>
  <c r="AH566" i="9" s="1"/>
  <c r="AH567" i="9" s="1"/>
  <c r="AH568" i="9" s="1"/>
  <c r="AH569" i="9" s="1"/>
  <c r="AH570" i="9" s="1"/>
  <c r="AH571" i="9" s="1"/>
  <c r="AH572" i="9" s="1"/>
  <c r="AH573" i="9" s="1"/>
  <c r="AH574" i="9" s="1"/>
  <c r="AH575" i="9" s="1"/>
  <c r="AH576" i="9" s="1"/>
  <c r="AH577" i="9" s="1"/>
  <c r="AH578" i="9" s="1"/>
  <c r="AH579" i="9" s="1"/>
  <c r="AH580" i="9" s="1"/>
  <c r="AH581" i="9" s="1"/>
  <c r="AH582" i="9" s="1"/>
  <c r="AH583" i="9" s="1"/>
  <c r="AH584" i="9" s="1"/>
  <c r="AH585" i="9" s="1"/>
  <c r="AH586" i="9" s="1"/>
  <c r="AH587" i="9" s="1"/>
  <c r="AH588" i="9" s="1"/>
  <c r="AH589" i="9" s="1"/>
  <c r="AH590" i="9" s="1"/>
  <c r="AH591" i="9" s="1"/>
  <c r="AH592" i="9" s="1"/>
  <c r="AH593" i="9" s="1"/>
  <c r="AH594" i="9" s="1"/>
  <c r="AH595" i="9" s="1"/>
  <c r="AH596" i="9" s="1"/>
  <c r="AH597" i="9" s="1"/>
  <c r="AH598" i="9" s="1"/>
  <c r="AH599" i="9" s="1"/>
  <c r="AH600" i="9" s="1"/>
  <c r="AH601" i="9" s="1"/>
  <c r="AH602" i="9" s="1"/>
  <c r="AH603" i="9" s="1"/>
  <c r="AH604" i="9" s="1"/>
  <c r="AH605" i="9" s="1"/>
  <c r="AH606" i="9" s="1"/>
  <c r="AH607" i="9" s="1"/>
  <c r="AH608" i="9" s="1"/>
  <c r="AH609" i="9" s="1"/>
  <c r="AH610" i="9" s="1"/>
  <c r="AH611" i="9" s="1"/>
  <c r="AH612" i="9" s="1"/>
  <c r="AH613" i="9" s="1"/>
  <c r="AH614" i="9" s="1"/>
  <c r="AH615" i="9" s="1"/>
  <c r="AH616" i="9" s="1"/>
  <c r="AH617" i="9" s="1"/>
  <c r="AH618" i="9" s="1"/>
  <c r="AH619" i="9" s="1"/>
  <c r="AH620" i="9" s="1"/>
  <c r="AH621" i="9" s="1"/>
  <c r="AH622" i="9" s="1"/>
  <c r="AH623" i="9" s="1"/>
  <c r="AH624" i="9" s="1"/>
  <c r="AH625" i="9" s="1"/>
  <c r="AH626" i="9" s="1"/>
  <c r="AH627" i="9" s="1"/>
  <c r="AH628" i="9" s="1"/>
  <c r="AH629" i="9" s="1"/>
  <c r="AH630" i="9" s="1"/>
  <c r="AH631" i="9" s="1"/>
  <c r="AH632" i="9" s="1"/>
  <c r="AH633" i="9" s="1"/>
  <c r="AH634" i="9" s="1"/>
  <c r="AH635" i="9" s="1"/>
  <c r="AH636" i="9" s="1"/>
  <c r="AH637" i="9" s="1"/>
  <c r="AH638" i="9" s="1"/>
  <c r="AH639" i="9" s="1"/>
  <c r="AH640" i="9" s="1"/>
  <c r="AH641" i="9" s="1"/>
  <c r="AH642" i="9" s="1"/>
  <c r="AH643" i="9" s="1"/>
  <c r="AH644" i="9" s="1"/>
  <c r="AH645" i="9" s="1"/>
  <c r="AH646" i="9" s="1"/>
  <c r="AH647" i="9" s="1"/>
  <c r="AH648" i="9" s="1"/>
  <c r="AH649" i="9" s="1"/>
  <c r="AH650" i="9" s="1"/>
  <c r="AH651" i="9" s="1"/>
  <c r="AH652" i="9" s="1"/>
  <c r="AH653" i="9" s="1"/>
  <c r="AH654" i="9" s="1"/>
  <c r="AH655" i="9" s="1"/>
  <c r="AH656" i="9" s="1"/>
  <c r="AR2" i="9" l="1"/>
  <c r="AR3" i="9"/>
  <c r="AR4" i="9"/>
  <c r="AH3" i="9"/>
  <c r="E15" i="2" s="1"/>
  <c r="AH4" i="9"/>
  <c r="F15" i="2" s="1"/>
  <c r="AU514" i="9" l="1"/>
  <c r="AU515" i="9" s="1"/>
  <c r="AU516" i="9" s="1"/>
  <c r="AU517" i="9" s="1"/>
  <c r="U514" i="9"/>
  <c r="U515" i="9" s="1"/>
  <c r="U516" i="9" s="1"/>
  <c r="U517" i="9" s="1"/>
  <c r="M514" i="9" l="1"/>
  <c r="M515" i="9" s="1"/>
  <c r="M516" i="9" s="1"/>
  <c r="M517" i="9" s="1"/>
  <c r="M518" i="9" s="1"/>
  <c r="M519" i="9" s="1"/>
  <c r="M520" i="9" s="1"/>
  <c r="M521" i="9" s="1"/>
  <c r="M522" i="9" s="1"/>
  <c r="M523" i="9" s="1"/>
  <c r="M524" i="9" s="1"/>
  <c r="M525" i="9" s="1"/>
  <c r="M526" i="9" s="1"/>
  <c r="M527" i="9" s="1"/>
  <c r="M528" i="9" s="1"/>
  <c r="M529" i="9" s="1"/>
  <c r="M530" i="9" s="1"/>
  <c r="M531" i="9" s="1"/>
  <c r="AU518" i="9" l="1"/>
  <c r="AQ514" i="9" l="1"/>
  <c r="AQ515" i="9" s="1"/>
  <c r="AQ516" i="9" s="1"/>
  <c r="AQ517" i="9" s="1"/>
  <c r="AQ518" i="9" s="1"/>
  <c r="AQ519" i="9" s="1"/>
  <c r="AQ520" i="9" s="1"/>
  <c r="AQ521" i="9" s="1"/>
  <c r="AQ522" i="9" s="1"/>
  <c r="AQ523" i="9" s="1"/>
  <c r="AQ524" i="9" s="1"/>
  <c r="AU519" i="9" l="1"/>
  <c r="AU520" i="9" s="1"/>
  <c r="AU521" i="9" s="1"/>
  <c r="AU522" i="9" s="1"/>
  <c r="AU523" i="9" s="1"/>
  <c r="AU524" i="9" s="1"/>
  <c r="AU525" i="9" s="1"/>
  <c r="AU526" i="9" s="1"/>
  <c r="AU527" i="9" s="1"/>
  <c r="AU528" i="9" s="1"/>
  <c r="AU529" i="9" s="1"/>
  <c r="AU530" i="9" s="1"/>
  <c r="AU531" i="9" s="1"/>
  <c r="AG514" i="9" l="1"/>
  <c r="AG515" i="9" s="1"/>
  <c r="AG516" i="9" s="1"/>
  <c r="AA514" i="9"/>
  <c r="AA515" i="9" s="1"/>
  <c r="AA516" i="9" s="1"/>
  <c r="M532" i="9"/>
  <c r="R514" i="9" l="1"/>
  <c r="R515" i="9" s="1"/>
  <c r="R516" i="9" s="1"/>
  <c r="R517" i="9" s="1"/>
  <c r="R518" i="9" s="1"/>
  <c r="R519" i="9" s="1"/>
  <c r="R520" i="9" s="1"/>
  <c r="R521" i="9" s="1"/>
  <c r="R522" i="9" s="1"/>
  <c r="R523" i="9" s="1"/>
  <c r="R524" i="9" s="1"/>
  <c r="R525" i="9" s="1"/>
  <c r="R526" i="9" s="1"/>
  <c r="R527" i="9" s="1"/>
  <c r="R528" i="9" s="1"/>
  <c r="R529" i="9" s="1"/>
  <c r="R530" i="9" s="1"/>
  <c r="M533" i="9" l="1"/>
  <c r="M534" i="9" l="1"/>
  <c r="M535" i="9" s="1"/>
  <c r="M536" i="9" s="1"/>
  <c r="M537" i="9" s="1"/>
  <c r="C514" i="9" l="1"/>
  <c r="C515" i="9" s="1"/>
  <c r="C516" i="9" s="1"/>
  <c r="C517" i="9" s="1"/>
  <c r="C518" i="9" s="1"/>
  <c r="C519" i="9" s="1"/>
  <c r="C520" i="9" s="1"/>
  <c r="C521" i="9" s="1"/>
  <c r="C522" i="9" s="1"/>
  <c r="C523" i="9" s="1"/>
  <c r="C524" i="9" s="1"/>
  <c r="C525" i="9" s="1"/>
  <c r="C526" i="9" s="1"/>
  <c r="C527" i="9" s="1"/>
  <c r="C528" i="9" s="1"/>
  <c r="C529" i="9" s="1"/>
  <c r="C530" i="9" s="1"/>
  <c r="C531" i="9" s="1"/>
  <c r="C532" i="9" s="1"/>
  <c r="C533" i="9" s="1"/>
  <c r="C534" i="9" s="1"/>
  <c r="C535" i="9" s="1"/>
  <c r="C536" i="9" s="1"/>
  <c r="C537" i="9" s="1"/>
  <c r="C538" i="9" s="1"/>
  <c r="C539" i="9" s="1"/>
  <c r="C540" i="9" s="1"/>
  <c r="C541" i="9" s="1"/>
  <c r="C542" i="9" s="1"/>
  <c r="C543" i="9" s="1"/>
  <c r="C544" i="9" s="1"/>
  <c r="C545" i="9" s="1"/>
  <c r="C546" i="9" s="1"/>
  <c r="C547" i="9" s="1"/>
  <c r="C548" i="9" s="1"/>
  <c r="C549" i="9" s="1"/>
  <c r="C550" i="9" s="1"/>
  <c r="C551" i="9" s="1"/>
  <c r="C552" i="9" s="1"/>
  <c r="C553" i="9" s="1"/>
  <c r="C554" i="9" s="1"/>
  <c r="C555" i="9" s="1"/>
  <c r="C556" i="9" s="1"/>
  <c r="C557" i="9" s="1"/>
  <c r="C558" i="9" s="1"/>
  <c r="C559" i="9" s="1"/>
  <c r="C560" i="9" s="1"/>
  <c r="C561" i="9" s="1"/>
  <c r="C562" i="9" s="1"/>
  <c r="C563" i="9" s="1"/>
  <c r="C564" i="9" s="1"/>
  <c r="C565" i="9" l="1"/>
  <c r="C566" i="9" s="1"/>
  <c r="C567" i="9" s="1"/>
  <c r="C568" i="9" s="1"/>
  <c r="C569" i="9" s="1"/>
  <c r="C570" i="9" s="1"/>
  <c r="C571" i="9" s="1"/>
  <c r="C572" i="9" s="1"/>
  <c r="C573" i="9" s="1"/>
  <c r="C574" i="9" s="1"/>
  <c r="C575" i="9" s="1"/>
  <c r="C576" i="9" s="1"/>
  <c r="C577" i="9" s="1"/>
  <c r="C578" i="9" s="1"/>
  <c r="C579" i="9" s="1"/>
  <c r="C580" i="9" s="1"/>
  <c r="C581" i="9" s="1"/>
  <c r="C582" i="9" s="1"/>
  <c r="C583" i="9" s="1"/>
  <c r="C584" i="9" s="1"/>
  <c r="C585" i="9" s="1"/>
  <c r="C586" i="9" s="1"/>
  <c r="C587" i="9" s="1"/>
  <c r="C588" i="9" s="1"/>
  <c r="C589" i="9" s="1"/>
  <c r="C590" i="9" s="1"/>
  <c r="C591" i="9" s="1"/>
  <c r="C592" i="9" s="1"/>
  <c r="C593" i="9" s="1"/>
  <c r="C594" i="9" s="1"/>
  <c r="C595" i="9" s="1"/>
  <c r="C596" i="9" s="1"/>
  <c r="C597" i="9" s="1"/>
  <c r="C598" i="9" s="1"/>
  <c r="C599" i="9" s="1"/>
  <c r="C600" i="9" s="1"/>
  <c r="C601" i="9" s="1"/>
  <c r="C602" i="9" s="1"/>
  <c r="C603" i="9" s="1"/>
  <c r="C604" i="9" s="1"/>
  <c r="C605" i="9" s="1"/>
  <c r="C606" i="9" s="1"/>
  <c r="C607" i="9" s="1"/>
  <c r="C608" i="9" s="1"/>
  <c r="C609" i="9" s="1"/>
  <c r="C610" i="9" s="1"/>
  <c r="C611" i="9" s="1"/>
  <c r="C612" i="9" s="1"/>
  <c r="C613" i="9" s="1"/>
  <c r="C614" i="9" s="1"/>
  <c r="C615" i="9" s="1"/>
  <c r="C616" i="9" s="1"/>
  <c r="C617" i="9" s="1"/>
  <c r="C618" i="9" s="1"/>
  <c r="C619" i="9" s="1"/>
  <c r="C620" i="9" s="1"/>
  <c r="C621" i="9" s="1"/>
  <c r="C622" i="9" s="1"/>
  <c r="C623" i="9" s="1"/>
  <c r="C624" i="9" s="1"/>
  <c r="C625" i="9" s="1"/>
  <c r="C626" i="9" s="1"/>
  <c r="C627" i="9" s="1"/>
  <c r="C628" i="9" s="1"/>
  <c r="C629" i="9" s="1"/>
  <c r="C630" i="9" s="1"/>
  <c r="C631" i="9" s="1"/>
  <c r="C632" i="9" s="1"/>
  <c r="C633" i="9" s="1"/>
  <c r="C634" i="9" s="1"/>
  <c r="C635" i="9" s="1"/>
  <c r="C636" i="9" s="1"/>
  <c r="C637" i="9" s="1"/>
  <c r="C638" i="9" s="1"/>
  <c r="C639" i="9" s="1"/>
  <c r="C640" i="9" s="1"/>
  <c r="C641" i="9" s="1"/>
  <c r="C642" i="9" s="1"/>
  <c r="C643" i="9" s="1"/>
  <c r="C644" i="9" s="1"/>
  <c r="C645" i="9" s="1"/>
  <c r="C646" i="9" s="1"/>
  <c r="C647" i="9" s="1"/>
  <c r="C648" i="9" s="1"/>
  <c r="C649" i="9" s="1"/>
  <c r="C650" i="9" s="1"/>
  <c r="C651" i="9" s="1"/>
  <c r="C652" i="9" s="1"/>
  <c r="C653" i="9" s="1"/>
  <c r="C654" i="9" s="1"/>
  <c r="C655" i="9" s="1"/>
  <c r="C656" i="9" s="1"/>
  <c r="C2" i="9"/>
  <c r="M538" i="9"/>
  <c r="D41" i="2" l="1"/>
  <c r="C4" i="9"/>
  <c r="C3" i="9"/>
  <c r="O514" i="9"/>
  <c r="O515" i="9" s="1"/>
  <c r="O516" i="9" s="1"/>
  <c r="O517" i="9" s="1"/>
  <c r="O518" i="9" s="1"/>
  <c r="O519" i="9" s="1"/>
  <c r="E41" i="2" l="1"/>
  <c r="F41" i="2"/>
  <c r="N514" i="9"/>
  <c r="N515" i="9" s="1"/>
  <c r="AP514" i="9"/>
  <c r="AP515" i="9" s="1"/>
  <c r="AP516" i="9" s="1"/>
  <c r="AP517" i="9" s="1"/>
  <c r="AP518" i="9" s="1"/>
  <c r="AP519" i="9" s="1"/>
  <c r="AP520" i="9" s="1"/>
  <c r="AP521" i="9" s="1"/>
  <c r="AP522" i="9" s="1"/>
  <c r="AP523" i="9" s="1"/>
  <c r="AP524" i="9" s="1"/>
  <c r="M539" i="9" l="1"/>
  <c r="M540" i="9" l="1"/>
  <c r="M541" i="9" s="1"/>
  <c r="M542" i="9" s="1"/>
  <c r="M543" i="9" s="1"/>
  <c r="M544" i="9" s="1"/>
  <c r="M545" i="9" s="1"/>
  <c r="M546" i="9" s="1"/>
  <c r="M547" i="9" s="1"/>
  <c r="M548" i="9" s="1"/>
  <c r="M549" i="9" s="1"/>
  <c r="M550" i="9" s="1"/>
  <c r="M551" i="9" s="1"/>
  <c r="M552" i="9" s="1"/>
  <c r="M553" i="9" s="1"/>
  <c r="M554" i="9" s="1"/>
  <c r="M555" i="9" s="1"/>
  <c r="M556" i="9" s="1"/>
  <c r="M557" i="9" s="1"/>
  <c r="M558" i="9" s="1"/>
  <c r="M559" i="9" s="1"/>
  <c r="M560" i="9" s="1"/>
  <c r="M561" i="9" s="1"/>
  <c r="M562" i="9" s="1"/>
  <c r="M563" i="9" s="1"/>
  <c r="M564" i="9" s="1"/>
  <c r="S514" i="9" l="1"/>
  <c r="M2" i="9"/>
  <c r="M565" i="9"/>
  <c r="M566" i="9" s="1"/>
  <c r="M567" i="9" s="1"/>
  <c r="M568" i="9" s="1"/>
  <c r="M569" i="9" s="1"/>
  <c r="M570" i="9" s="1"/>
  <c r="M571" i="9" s="1"/>
  <c r="M572" i="9" s="1"/>
  <c r="M573" i="9" s="1"/>
  <c r="M574" i="9" s="1"/>
  <c r="M575" i="9" s="1"/>
  <c r="M576" i="9" s="1"/>
  <c r="M577" i="9" s="1"/>
  <c r="M578" i="9" s="1"/>
  <c r="M579" i="9" s="1"/>
  <c r="M580" i="9" s="1"/>
  <c r="M581" i="9" s="1"/>
  <c r="M582" i="9" s="1"/>
  <c r="M583" i="9" s="1"/>
  <c r="M584" i="9" s="1"/>
  <c r="M585" i="9" s="1"/>
  <c r="M586" i="9" s="1"/>
  <c r="M587" i="9" s="1"/>
  <c r="M588" i="9" s="1"/>
  <c r="M589" i="9" s="1"/>
  <c r="M590" i="9" s="1"/>
  <c r="M591" i="9" s="1"/>
  <c r="M592" i="9" s="1"/>
  <c r="M593" i="9" s="1"/>
  <c r="M594" i="9" s="1"/>
  <c r="M595" i="9" s="1"/>
  <c r="M596" i="9" s="1"/>
  <c r="M597" i="9" s="1"/>
  <c r="M598" i="9" s="1"/>
  <c r="M599" i="9" s="1"/>
  <c r="M600" i="9" s="1"/>
  <c r="M601" i="9" s="1"/>
  <c r="M602" i="9" s="1"/>
  <c r="M603" i="9" s="1"/>
  <c r="M604" i="9" s="1"/>
  <c r="M605" i="9" s="1"/>
  <c r="M606" i="9" s="1"/>
  <c r="M607" i="9" s="1"/>
  <c r="M608" i="9" s="1"/>
  <c r="M609" i="9" s="1"/>
  <c r="M610" i="9" s="1"/>
  <c r="M611" i="9" s="1"/>
  <c r="M612" i="9" s="1"/>
  <c r="M613" i="9" s="1"/>
  <c r="M614" i="9" s="1"/>
  <c r="M615" i="9" s="1"/>
  <c r="M616" i="9" s="1"/>
  <c r="M617" i="9" s="1"/>
  <c r="M618" i="9" s="1"/>
  <c r="M619" i="9" s="1"/>
  <c r="M620" i="9" s="1"/>
  <c r="M621" i="9" s="1"/>
  <c r="M622" i="9" s="1"/>
  <c r="M623" i="9" s="1"/>
  <c r="M624" i="9" s="1"/>
  <c r="M625" i="9" s="1"/>
  <c r="M626" i="9" s="1"/>
  <c r="M627" i="9" s="1"/>
  <c r="M628" i="9" s="1"/>
  <c r="M629" i="9" s="1"/>
  <c r="M630" i="9" s="1"/>
  <c r="M631" i="9" s="1"/>
  <c r="M632" i="9" s="1"/>
  <c r="M633" i="9" s="1"/>
  <c r="M634" i="9" s="1"/>
  <c r="M635" i="9" s="1"/>
  <c r="M636" i="9" s="1"/>
  <c r="M637" i="9" s="1"/>
  <c r="M638" i="9" s="1"/>
  <c r="M639" i="9" s="1"/>
  <c r="M640" i="9" s="1"/>
  <c r="M641" i="9" s="1"/>
  <c r="M642" i="9" s="1"/>
  <c r="M643" i="9" s="1"/>
  <c r="M644" i="9" s="1"/>
  <c r="M645" i="9" s="1"/>
  <c r="M646" i="9" s="1"/>
  <c r="M647" i="9" s="1"/>
  <c r="M648" i="9" s="1"/>
  <c r="M649" i="9" s="1"/>
  <c r="M650" i="9" s="1"/>
  <c r="M651" i="9" s="1"/>
  <c r="M652" i="9" s="1"/>
  <c r="M653" i="9" s="1"/>
  <c r="M654" i="9" s="1"/>
  <c r="M655" i="9" s="1"/>
  <c r="M656" i="9" s="1"/>
  <c r="M3" i="9" l="1"/>
  <c r="M4" i="9"/>
  <c r="AS514" i="9" l="1"/>
  <c r="AS515" i="9" s="1"/>
  <c r="AS516" i="9" s="1"/>
  <c r="AS517" i="9" s="1"/>
  <c r="AS518" i="9" s="1"/>
  <c r="AS519" i="9" s="1"/>
  <c r="AS520" i="9" s="1"/>
  <c r="AS521" i="9" s="1"/>
  <c r="AS522" i="9" s="1"/>
  <c r="AS523" i="9" s="1"/>
  <c r="AS524" i="9" s="1"/>
  <c r="AS525" i="9" s="1"/>
  <c r="AS526" i="9" s="1"/>
  <c r="AS527" i="9" s="1"/>
  <c r="AS528" i="9" s="1"/>
  <c r="AS529" i="9" s="1"/>
  <c r="AS530" i="9" s="1"/>
  <c r="AS531" i="9" s="1"/>
  <c r="AS532" i="9" s="1"/>
  <c r="AS533" i="9" s="1"/>
  <c r="AS534" i="9" s="1"/>
  <c r="AS535" i="9" s="1"/>
  <c r="AS536" i="9" s="1"/>
  <c r="AS537" i="9" s="1"/>
  <c r="AS538" i="9" s="1"/>
  <c r="AS539" i="9" s="1"/>
  <c r="AS540" i="9" s="1"/>
  <c r="AS541" i="9" s="1"/>
  <c r="AS542" i="9" s="1"/>
  <c r="AS543" i="9" s="1"/>
  <c r="AS544" i="9" s="1"/>
  <c r="AS545" i="9" s="1"/>
  <c r="AS546" i="9" s="1"/>
  <c r="AS547" i="9" s="1"/>
  <c r="AS548" i="9" s="1"/>
  <c r="AS549" i="9" s="1"/>
  <c r="AS550" i="9" s="1"/>
  <c r="AS551" i="9" s="1"/>
  <c r="AS552" i="9" s="1"/>
  <c r="AS553" i="9" s="1"/>
  <c r="AS554" i="9" s="1"/>
  <c r="AS555" i="9" s="1"/>
  <c r="AS556" i="9" s="1"/>
  <c r="AS557" i="9" s="1"/>
  <c r="AS558" i="9" s="1"/>
  <c r="AS559" i="9" s="1"/>
  <c r="AS560" i="9" s="1"/>
  <c r="AS561" i="9" s="1"/>
  <c r="AS562" i="9" s="1"/>
  <c r="AS563" i="9" s="1"/>
  <c r="AS564" i="9" s="1"/>
  <c r="AS2" i="9" s="1"/>
  <c r="AS565" i="9" l="1"/>
  <c r="AS566" i="9" s="1"/>
  <c r="AS567" i="9" s="1"/>
  <c r="AS568" i="9" s="1"/>
  <c r="AS569" i="9" s="1"/>
  <c r="AS570" i="9" s="1"/>
  <c r="AS571" i="9" s="1"/>
  <c r="AS572" i="9" s="1"/>
  <c r="AS573" i="9" s="1"/>
  <c r="AS574" i="9" s="1"/>
  <c r="AS575" i="9" s="1"/>
  <c r="AS576" i="9" s="1"/>
  <c r="AS577" i="9" s="1"/>
  <c r="AS578" i="9" s="1"/>
  <c r="AS579" i="9" s="1"/>
  <c r="AS580" i="9" s="1"/>
  <c r="AS581" i="9" s="1"/>
  <c r="AS582" i="9" s="1"/>
  <c r="AS583" i="9" s="1"/>
  <c r="AS584" i="9" s="1"/>
  <c r="AS585" i="9" s="1"/>
  <c r="AS586" i="9" s="1"/>
  <c r="AS587" i="9" s="1"/>
  <c r="AS588" i="9" s="1"/>
  <c r="AS589" i="9" s="1"/>
  <c r="AS590" i="9" s="1"/>
  <c r="AS591" i="9" s="1"/>
  <c r="AS592" i="9" s="1"/>
  <c r="AS593" i="9" s="1"/>
  <c r="AS594" i="9" s="1"/>
  <c r="AS595" i="9" s="1"/>
  <c r="AS596" i="9" s="1"/>
  <c r="AS597" i="9" s="1"/>
  <c r="AS598" i="9" s="1"/>
  <c r="AS599" i="9" s="1"/>
  <c r="AS600" i="9" s="1"/>
  <c r="AS601" i="9" s="1"/>
  <c r="AS602" i="9" s="1"/>
  <c r="AS603" i="9" s="1"/>
  <c r="AS604" i="9" s="1"/>
  <c r="AS605" i="9" s="1"/>
  <c r="AS606" i="9" s="1"/>
  <c r="AS607" i="9" l="1"/>
  <c r="AS608" i="9" l="1"/>
  <c r="AS609" i="9" l="1"/>
  <c r="P514" i="9" l="1"/>
  <c r="P515" i="9" s="1"/>
  <c r="P516" i="9" s="1"/>
  <c r="P517" i="9" s="1"/>
  <c r="P518" i="9" s="1"/>
  <c r="P519" i="9" s="1"/>
  <c r="P520" i="9" s="1"/>
  <c r="P521" i="9" s="1"/>
  <c r="P522" i="9" s="1"/>
  <c r="P523" i="9" s="1"/>
  <c r="P524" i="9" s="1"/>
  <c r="P525" i="9" s="1"/>
  <c r="P526" i="9" s="1"/>
  <c r="P527" i="9" s="1"/>
  <c r="P528" i="9" s="1"/>
  <c r="P529" i="9" s="1"/>
  <c r="P530" i="9" s="1"/>
  <c r="P531" i="9" s="1"/>
  <c r="P532" i="9" s="1"/>
  <c r="P533" i="9" s="1"/>
  <c r="P534" i="9" s="1"/>
  <c r="P535" i="9" s="1"/>
  <c r="P536" i="9" s="1"/>
  <c r="P537" i="9" s="1"/>
  <c r="P538" i="9" s="1"/>
  <c r="P539" i="9" s="1"/>
  <c r="P540" i="9" s="1"/>
  <c r="P541" i="9" s="1"/>
  <c r="P542" i="9" s="1"/>
  <c r="P543" i="9" s="1"/>
  <c r="P544" i="9" s="1"/>
  <c r="P545" i="9" s="1"/>
  <c r="P546" i="9" s="1"/>
  <c r="P547" i="9" s="1"/>
  <c r="P548" i="9" s="1"/>
  <c r="P549" i="9" s="1"/>
  <c r="P550" i="9" s="1"/>
  <c r="P551" i="9" s="1"/>
  <c r="P552" i="9" s="1"/>
  <c r="P553" i="9" s="1"/>
  <c r="P554" i="9" s="1"/>
  <c r="P555" i="9" s="1"/>
  <c r="P556" i="9" s="1"/>
  <c r="P557" i="9" s="1"/>
  <c r="P558" i="9" s="1"/>
  <c r="P559" i="9" s="1"/>
  <c r="P560" i="9" s="1"/>
  <c r="P561" i="9" s="1"/>
  <c r="P562" i="9" s="1"/>
  <c r="P563" i="9" s="1"/>
  <c r="P564" i="9" s="1"/>
  <c r="AS610" i="9"/>
  <c r="P2" i="9" l="1"/>
  <c r="P565" i="9"/>
  <c r="P566" i="9" s="1"/>
  <c r="P567" i="9" s="1"/>
  <c r="P568" i="9" s="1"/>
  <c r="P569" i="9" s="1"/>
  <c r="P570" i="9" s="1"/>
  <c r="P571" i="9" s="1"/>
  <c r="P572" i="9" s="1"/>
  <c r="P573" i="9" s="1"/>
  <c r="P574" i="9" s="1"/>
  <c r="P575" i="9" s="1"/>
  <c r="P576" i="9" s="1"/>
  <c r="P577" i="9" s="1"/>
  <c r="P578" i="9" s="1"/>
  <c r="P579" i="9" s="1"/>
  <c r="P580" i="9" s="1"/>
  <c r="P581" i="9" s="1"/>
  <c r="P582" i="9" s="1"/>
  <c r="P583" i="9" s="1"/>
  <c r="P584" i="9" s="1"/>
  <c r="P585" i="9" s="1"/>
  <c r="P586" i="9" s="1"/>
  <c r="P587" i="9" s="1"/>
  <c r="P588" i="9" s="1"/>
  <c r="P589" i="9" s="1"/>
  <c r="P590" i="9" s="1"/>
  <c r="P591" i="9" s="1"/>
  <c r="P592" i="9" s="1"/>
  <c r="P593" i="9" s="1"/>
  <c r="P594" i="9" s="1"/>
  <c r="P595" i="9" s="1"/>
  <c r="P596" i="9" s="1"/>
  <c r="P597" i="9" s="1"/>
  <c r="P598" i="9" s="1"/>
  <c r="P599" i="9" s="1"/>
  <c r="P600" i="9" s="1"/>
  <c r="P601" i="9" s="1"/>
  <c r="P602" i="9" s="1"/>
  <c r="P603" i="9" s="1"/>
  <c r="P604" i="9" s="1"/>
  <c r="P605" i="9" s="1"/>
  <c r="P606" i="9" s="1"/>
  <c r="P607" i="9" s="1"/>
  <c r="P608" i="9" s="1"/>
  <c r="P609" i="9" s="1"/>
  <c r="P610" i="9" s="1"/>
  <c r="P611" i="9" s="1"/>
  <c r="P612" i="9" s="1"/>
  <c r="P613" i="9" s="1"/>
  <c r="P614" i="9" s="1"/>
  <c r="P615" i="9" s="1"/>
  <c r="P616" i="9" s="1"/>
  <c r="P617" i="9" s="1"/>
  <c r="P618" i="9" s="1"/>
  <c r="P619" i="9" s="1"/>
  <c r="P620" i="9" s="1"/>
  <c r="P621" i="9" s="1"/>
  <c r="P622" i="9" s="1"/>
  <c r="P623" i="9" s="1"/>
  <c r="P624" i="9" s="1"/>
  <c r="P625" i="9" s="1"/>
  <c r="P626" i="9" s="1"/>
  <c r="P627" i="9" s="1"/>
  <c r="P628" i="9" s="1"/>
  <c r="P629" i="9" s="1"/>
  <c r="P630" i="9" s="1"/>
  <c r="P631" i="9" s="1"/>
  <c r="P632" i="9" s="1"/>
  <c r="P633" i="9" s="1"/>
  <c r="P634" i="9" s="1"/>
  <c r="P635" i="9" s="1"/>
  <c r="P636" i="9" s="1"/>
  <c r="P637" i="9" s="1"/>
  <c r="P638" i="9" s="1"/>
  <c r="P639" i="9" s="1"/>
  <c r="P640" i="9" s="1"/>
  <c r="P641" i="9" s="1"/>
  <c r="P642" i="9" s="1"/>
  <c r="P643" i="9" s="1"/>
  <c r="P644" i="9" s="1"/>
  <c r="P645" i="9" s="1"/>
  <c r="P646" i="9" s="1"/>
  <c r="P647" i="9" s="1"/>
  <c r="P648" i="9" s="1"/>
  <c r="P649" i="9" s="1"/>
  <c r="P650" i="9" s="1"/>
  <c r="P651" i="9" s="1"/>
  <c r="P652" i="9" s="1"/>
  <c r="P653" i="9" s="1"/>
  <c r="P654" i="9" s="1"/>
  <c r="P655" i="9" s="1"/>
  <c r="P656" i="9" s="1"/>
  <c r="AS611" i="9"/>
  <c r="D47" i="2" l="1"/>
  <c r="P3" i="9"/>
  <c r="P4" i="9"/>
  <c r="AS612" i="9"/>
  <c r="E47" i="2" l="1"/>
  <c r="F47" i="2"/>
  <c r="AS613" i="9"/>
  <c r="AB514" i="9" l="1"/>
  <c r="AB515" i="9" s="1"/>
  <c r="AB516" i="9" s="1"/>
  <c r="AB517" i="9" s="1"/>
  <c r="AB518" i="9" s="1"/>
  <c r="AB519" i="9" s="1"/>
  <c r="AB520" i="9" s="1"/>
  <c r="AB521" i="9" s="1"/>
  <c r="AB522" i="9" s="1"/>
  <c r="Q514" i="9"/>
  <c r="Q515" i="9" s="1"/>
  <c r="Q516" i="9" s="1"/>
  <c r="AS614" i="9"/>
  <c r="AS615" i="9" l="1"/>
  <c r="AK514" i="9" l="1"/>
  <c r="AK515" i="9" s="1"/>
  <c r="AK516" i="9" s="1"/>
  <c r="AK517" i="9" s="1"/>
  <c r="AK518" i="9" s="1"/>
  <c r="AK519" i="9" s="1"/>
  <c r="AK520" i="9" s="1"/>
  <c r="AK521" i="9" s="1"/>
  <c r="AK522" i="9" s="1"/>
  <c r="AK523" i="9" s="1"/>
  <c r="AK524" i="9" s="1"/>
  <c r="AK525" i="9" s="1"/>
  <c r="AK526" i="9" s="1"/>
  <c r="AK527" i="9" s="1"/>
  <c r="AK528" i="9" s="1"/>
  <c r="AK529" i="9" s="1"/>
  <c r="AK530" i="9" s="1"/>
  <c r="AK531" i="9" s="1"/>
  <c r="AK532" i="9" s="1"/>
  <c r="AK533" i="9" s="1"/>
  <c r="AK534" i="9" s="1"/>
  <c r="AS616" i="9"/>
  <c r="V514" i="9" l="1"/>
  <c r="V515" i="9" s="1"/>
  <c r="V516" i="9" s="1"/>
  <c r="V517" i="9" s="1"/>
  <c r="V518" i="9" s="1"/>
  <c r="AS617" i="9"/>
  <c r="AS618" i="9" l="1"/>
  <c r="U518" i="9" l="1"/>
  <c r="AV518" i="9"/>
  <c r="AS619" i="9"/>
  <c r="O507" i="10" l="1"/>
  <c r="G514" i="9"/>
  <c r="G515" i="9" s="1"/>
  <c r="G516" i="9" s="1"/>
  <c r="G517" i="9" s="1"/>
  <c r="G518" i="9" s="1"/>
  <c r="G519" i="9" s="1"/>
  <c r="G520" i="9" s="1"/>
  <c r="G521" i="9" s="1"/>
  <c r="AS620" i="9"/>
  <c r="AS621" i="9" l="1"/>
  <c r="AS622" i="9" l="1"/>
  <c r="Y514" i="9" l="1"/>
  <c r="Y515" i="9" s="1"/>
  <c r="AE514" i="9"/>
  <c r="U519" i="9"/>
  <c r="U520" i="9" s="1"/>
  <c r="U521" i="9" s="1"/>
  <c r="U522" i="9" s="1"/>
  <c r="U523" i="9" s="1"/>
  <c r="U524" i="9" s="1"/>
  <c r="U525" i="9" s="1"/>
  <c r="U526" i="9" s="1"/>
  <c r="U527" i="9" s="1"/>
  <c r="U528" i="9" s="1"/>
  <c r="U529" i="9" s="1"/>
  <c r="U530" i="9" s="1"/>
  <c r="U531" i="9" s="1"/>
  <c r="U532" i="9" s="1"/>
  <c r="U533" i="9" s="1"/>
  <c r="U534" i="9" s="1"/>
  <c r="U535" i="9" s="1"/>
  <c r="U536" i="9" s="1"/>
  <c r="U537" i="9" s="1"/>
  <c r="U538" i="9" s="1"/>
  <c r="U539" i="9" s="1"/>
  <c r="U540" i="9" s="1"/>
  <c r="U541" i="9" s="1"/>
  <c r="U542" i="9" s="1"/>
  <c r="U543" i="9" s="1"/>
  <c r="U544" i="9" s="1"/>
  <c r="U545" i="9" s="1"/>
  <c r="U546" i="9" s="1"/>
  <c r="U547" i="9" s="1"/>
  <c r="U548" i="9" s="1"/>
  <c r="U549" i="9" s="1"/>
  <c r="U550" i="9" s="1"/>
  <c r="U551" i="9" s="1"/>
  <c r="U552" i="9" s="1"/>
  <c r="U553" i="9" s="1"/>
  <c r="U554" i="9" s="1"/>
  <c r="U555" i="9" s="1"/>
  <c r="U556" i="9" s="1"/>
  <c r="U557" i="9" s="1"/>
  <c r="U558" i="9" s="1"/>
  <c r="U559" i="9" s="1"/>
  <c r="U560" i="9" s="1"/>
  <c r="U561" i="9" s="1"/>
  <c r="U562" i="9" s="1"/>
  <c r="U563" i="9" s="1"/>
  <c r="U564" i="9" s="1"/>
  <c r="AV519" i="9"/>
  <c r="AS623" i="9"/>
  <c r="I514" i="9" l="1"/>
  <c r="I515" i="9" s="1"/>
  <c r="I516" i="9" s="1"/>
  <c r="I517" i="9" s="1"/>
  <c r="I518" i="9" s="1"/>
  <c r="I519" i="9" s="1"/>
  <c r="I520" i="9" s="1"/>
  <c r="E514" i="9"/>
  <c r="E515" i="9" s="1"/>
  <c r="E516" i="9" s="1"/>
  <c r="E517" i="9" s="1"/>
  <c r="E518" i="9" s="1"/>
  <c r="E519" i="9" s="1"/>
  <c r="E520" i="9" s="1"/>
  <c r="U2" i="9"/>
  <c r="U565" i="9"/>
  <c r="U566" i="9" s="1"/>
  <c r="U567" i="9" s="1"/>
  <c r="U568" i="9" s="1"/>
  <c r="U569" i="9" s="1"/>
  <c r="U570" i="9" s="1"/>
  <c r="U571" i="9" s="1"/>
  <c r="U572" i="9" s="1"/>
  <c r="U573" i="9" s="1"/>
  <c r="U574" i="9" s="1"/>
  <c r="U575" i="9" s="1"/>
  <c r="U576" i="9" s="1"/>
  <c r="U577" i="9" s="1"/>
  <c r="U578" i="9" s="1"/>
  <c r="U579" i="9" s="1"/>
  <c r="U580" i="9" s="1"/>
  <c r="U581" i="9" s="1"/>
  <c r="U582" i="9" s="1"/>
  <c r="U583" i="9" s="1"/>
  <c r="U584" i="9" s="1"/>
  <c r="U585" i="9" s="1"/>
  <c r="U586" i="9" s="1"/>
  <c r="U587" i="9" s="1"/>
  <c r="U588" i="9" s="1"/>
  <c r="U589" i="9" s="1"/>
  <c r="U590" i="9" s="1"/>
  <c r="U591" i="9" s="1"/>
  <c r="U592" i="9" s="1"/>
  <c r="U593" i="9" s="1"/>
  <c r="U594" i="9" s="1"/>
  <c r="U595" i="9" s="1"/>
  <c r="U596" i="9" s="1"/>
  <c r="U597" i="9" s="1"/>
  <c r="U598" i="9" s="1"/>
  <c r="U599" i="9" s="1"/>
  <c r="U600" i="9" s="1"/>
  <c r="U601" i="9" s="1"/>
  <c r="U602" i="9" s="1"/>
  <c r="U603" i="9" s="1"/>
  <c r="U604" i="9" s="1"/>
  <c r="U605" i="9" s="1"/>
  <c r="U606" i="9" s="1"/>
  <c r="U607" i="9" s="1"/>
  <c r="U608" i="9" s="1"/>
  <c r="U609" i="9" s="1"/>
  <c r="U610" i="9" s="1"/>
  <c r="U611" i="9" s="1"/>
  <c r="U612" i="9" s="1"/>
  <c r="U613" i="9" s="1"/>
  <c r="U614" i="9" s="1"/>
  <c r="U615" i="9" s="1"/>
  <c r="U616" i="9" s="1"/>
  <c r="U617" i="9" s="1"/>
  <c r="U618" i="9" s="1"/>
  <c r="U619" i="9" s="1"/>
  <c r="U620" i="9" s="1"/>
  <c r="U621" i="9" s="1"/>
  <c r="U622" i="9" s="1"/>
  <c r="U623" i="9" s="1"/>
  <c r="U624" i="9" s="1"/>
  <c r="U625" i="9" s="1"/>
  <c r="U626" i="9" s="1"/>
  <c r="U627" i="9" s="1"/>
  <c r="U628" i="9" s="1"/>
  <c r="U629" i="9" s="1"/>
  <c r="U630" i="9" s="1"/>
  <c r="U631" i="9" s="1"/>
  <c r="U632" i="9" s="1"/>
  <c r="U633" i="9" s="1"/>
  <c r="U634" i="9" s="1"/>
  <c r="U635" i="9" s="1"/>
  <c r="U636" i="9" s="1"/>
  <c r="U637" i="9" s="1"/>
  <c r="U638" i="9" s="1"/>
  <c r="U639" i="9" s="1"/>
  <c r="U640" i="9" s="1"/>
  <c r="U641" i="9" s="1"/>
  <c r="U642" i="9" s="1"/>
  <c r="U643" i="9" s="1"/>
  <c r="U644" i="9" s="1"/>
  <c r="U645" i="9" s="1"/>
  <c r="U646" i="9" s="1"/>
  <c r="U647" i="9" s="1"/>
  <c r="U648" i="9" s="1"/>
  <c r="U649" i="9" s="1"/>
  <c r="U650" i="9" s="1"/>
  <c r="U651" i="9" s="1"/>
  <c r="U652" i="9" s="1"/>
  <c r="U653" i="9" s="1"/>
  <c r="U654" i="9" s="1"/>
  <c r="U655" i="9" s="1"/>
  <c r="U656" i="9" s="1"/>
  <c r="U4" i="9" s="1"/>
  <c r="AV520" i="9"/>
  <c r="AV521" i="9" s="1"/>
  <c r="AV522" i="9" s="1"/>
  <c r="AV523" i="9" s="1"/>
  <c r="AV524" i="9" s="1"/>
  <c r="AV525" i="9" s="1"/>
  <c r="AV526" i="9" s="1"/>
  <c r="AV527" i="9" s="1"/>
  <c r="AV528" i="9" s="1"/>
  <c r="AV529" i="9" s="1"/>
  <c r="AV530" i="9" s="1"/>
  <c r="AV531" i="9" s="1"/>
  <c r="AV532" i="9" s="1"/>
  <c r="AV533" i="9" s="1"/>
  <c r="AV534" i="9" s="1"/>
  <c r="AV535" i="9" s="1"/>
  <c r="AV536" i="9" s="1"/>
  <c r="AV537" i="9" s="1"/>
  <c r="AV538" i="9" s="1"/>
  <c r="AV539" i="9" s="1"/>
  <c r="AV540" i="9" s="1"/>
  <c r="AV541" i="9" s="1"/>
  <c r="AV542" i="9" s="1"/>
  <c r="AV543" i="9" s="1"/>
  <c r="AV544" i="9" s="1"/>
  <c r="AV545" i="9" s="1"/>
  <c r="AV546" i="9" s="1"/>
  <c r="AV547" i="9" s="1"/>
  <c r="AV548" i="9" s="1"/>
  <c r="AV549" i="9" s="1"/>
  <c r="AV550" i="9" s="1"/>
  <c r="AV551" i="9" s="1"/>
  <c r="AV552" i="9" s="1"/>
  <c r="AV553" i="9" s="1"/>
  <c r="AV554" i="9" s="1"/>
  <c r="AV555" i="9" s="1"/>
  <c r="AV556" i="9" s="1"/>
  <c r="AV557" i="9" s="1"/>
  <c r="AV558" i="9" s="1"/>
  <c r="AV559" i="9" s="1"/>
  <c r="AV560" i="9" s="1"/>
  <c r="AV561" i="9" s="1"/>
  <c r="AV562" i="9" s="1"/>
  <c r="AV563" i="9" s="1"/>
  <c r="AV564" i="9" s="1"/>
  <c r="AF514" i="9"/>
  <c r="AF515" i="9" s="1"/>
  <c r="AF516" i="9" s="1"/>
  <c r="AF517" i="9" s="1"/>
  <c r="AF518" i="9" s="1"/>
  <c r="AF519" i="9" s="1"/>
  <c r="AO514" i="9"/>
  <c r="AO515" i="9" s="1"/>
  <c r="AO516" i="9" s="1"/>
  <c r="AO517" i="9" s="1"/>
  <c r="AO518" i="9" s="1"/>
  <c r="AS624" i="9"/>
  <c r="J507" i="10" l="1"/>
  <c r="AI514" i="9"/>
  <c r="AI515" i="9" s="1"/>
  <c r="AI516" i="9" s="1"/>
  <c r="AI517" i="9" s="1"/>
  <c r="AI518" i="9" s="1"/>
  <c r="AI519" i="9" s="1"/>
  <c r="AI520" i="9" s="1"/>
  <c r="AI521" i="9" s="1"/>
  <c r="AI522" i="9" s="1"/>
  <c r="AI523" i="9" s="1"/>
  <c r="AI524" i="9" s="1"/>
  <c r="AI525" i="9" s="1"/>
  <c r="AI526" i="9" s="1"/>
  <c r="AI527" i="9" s="1"/>
  <c r="AI528" i="9" s="1"/>
  <c r="AI529" i="9" s="1"/>
  <c r="AI530" i="9" s="1"/>
  <c r="AI531" i="9" s="1"/>
  <c r="AI532" i="9" s="1"/>
  <c r="AI533" i="9" s="1"/>
  <c r="AI534" i="9" s="1"/>
  <c r="AI535" i="9" s="1"/>
  <c r="AI536" i="9" s="1"/>
  <c r="AI537" i="9" s="1"/>
  <c r="AI538" i="9" s="1"/>
  <c r="AI539" i="9" s="1"/>
  <c r="AI540" i="9" s="1"/>
  <c r="AI541" i="9" s="1"/>
  <c r="AT514" i="9"/>
  <c r="AT515" i="9" s="1"/>
  <c r="AT516" i="9" s="1"/>
  <c r="AT517" i="9" s="1"/>
  <c r="AT518" i="9" s="1"/>
  <c r="AT519" i="9" s="1"/>
  <c r="AT520" i="9" s="1"/>
  <c r="AT521" i="9" s="1"/>
  <c r="AT522" i="9" s="1"/>
  <c r="AT523" i="9" s="1"/>
  <c r="AT524" i="9" s="1"/>
  <c r="AT525" i="9" s="1"/>
  <c r="AT526" i="9" s="1"/>
  <c r="AT527" i="9" s="1"/>
  <c r="AT528" i="9" s="1"/>
  <c r="AT529" i="9" s="1"/>
  <c r="AT530" i="9" s="1"/>
  <c r="AT531" i="9" s="1"/>
  <c r="AT532" i="9" s="1"/>
  <c r="AT533" i="9" s="1"/>
  <c r="AT534" i="9" s="1"/>
  <c r="AT535" i="9" s="1"/>
  <c r="AT536" i="9" s="1"/>
  <c r="AT537" i="9" s="1"/>
  <c r="AT538" i="9" s="1"/>
  <c r="AT539" i="9" s="1"/>
  <c r="AT540" i="9" s="1"/>
  <c r="AV565" i="9"/>
  <c r="AV566" i="9" s="1"/>
  <c r="AV567" i="9" s="1"/>
  <c r="AV568" i="9" s="1"/>
  <c r="AV569" i="9" s="1"/>
  <c r="AV570" i="9" s="1"/>
  <c r="AV571" i="9" s="1"/>
  <c r="AV572" i="9" s="1"/>
  <c r="AV573" i="9" s="1"/>
  <c r="AV574" i="9" s="1"/>
  <c r="AV575" i="9" s="1"/>
  <c r="AV576" i="9" s="1"/>
  <c r="AV577" i="9" s="1"/>
  <c r="AV578" i="9" s="1"/>
  <c r="AV579" i="9" s="1"/>
  <c r="AV580" i="9" s="1"/>
  <c r="AV581" i="9" s="1"/>
  <c r="AV582" i="9" s="1"/>
  <c r="AV583" i="9" s="1"/>
  <c r="AV584" i="9" s="1"/>
  <c r="AV585" i="9" s="1"/>
  <c r="AV586" i="9" s="1"/>
  <c r="AV587" i="9" s="1"/>
  <c r="AV588" i="9" s="1"/>
  <c r="AV589" i="9" s="1"/>
  <c r="AV590" i="9" s="1"/>
  <c r="AV591" i="9" s="1"/>
  <c r="AV592" i="9" s="1"/>
  <c r="AV593" i="9" s="1"/>
  <c r="AV594" i="9" s="1"/>
  <c r="AV595" i="9" s="1"/>
  <c r="AV596" i="9" s="1"/>
  <c r="AV597" i="9" s="1"/>
  <c r="AV598" i="9" s="1"/>
  <c r="AV599" i="9" s="1"/>
  <c r="AV600" i="9" s="1"/>
  <c r="AV601" i="9" s="1"/>
  <c r="AV602" i="9" s="1"/>
  <c r="AV603" i="9" s="1"/>
  <c r="AV604" i="9" s="1"/>
  <c r="AV605" i="9" s="1"/>
  <c r="AV606" i="9" s="1"/>
  <c r="AV607" i="9" s="1"/>
  <c r="AV608" i="9" s="1"/>
  <c r="AV609" i="9" s="1"/>
  <c r="AV610" i="9" s="1"/>
  <c r="AV611" i="9" s="1"/>
  <c r="AV612" i="9" s="1"/>
  <c r="AV613" i="9" s="1"/>
  <c r="AV614" i="9" s="1"/>
  <c r="AV615" i="9" s="1"/>
  <c r="AV616" i="9" s="1"/>
  <c r="AV617" i="9" s="1"/>
  <c r="AV618" i="9" s="1"/>
  <c r="AV619" i="9" s="1"/>
  <c r="AV620" i="9" s="1"/>
  <c r="AV621" i="9" s="1"/>
  <c r="AV622" i="9" s="1"/>
  <c r="AV623" i="9" s="1"/>
  <c r="AV624" i="9" s="1"/>
  <c r="AV625" i="9" s="1"/>
  <c r="AV626" i="9" s="1"/>
  <c r="AV627" i="9" s="1"/>
  <c r="AV628" i="9" s="1"/>
  <c r="AV629" i="9" s="1"/>
  <c r="AV630" i="9" s="1"/>
  <c r="AV631" i="9" s="1"/>
  <c r="AV632" i="9" s="1"/>
  <c r="AV633" i="9" s="1"/>
  <c r="AV634" i="9" s="1"/>
  <c r="AV635" i="9" s="1"/>
  <c r="AV636" i="9" s="1"/>
  <c r="AV637" i="9" s="1"/>
  <c r="AV638" i="9" s="1"/>
  <c r="AV639" i="9" s="1"/>
  <c r="AV640" i="9" s="1"/>
  <c r="AV641" i="9" s="1"/>
  <c r="AV642" i="9" s="1"/>
  <c r="AV643" i="9" s="1"/>
  <c r="AV644" i="9" s="1"/>
  <c r="AV645" i="9" s="1"/>
  <c r="AV646" i="9" s="1"/>
  <c r="AV647" i="9" s="1"/>
  <c r="AV648" i="9" s="1"/>
  <c r="AV649" i="9" s="1"/>
  <c r="AV650" i="9" s="1"/>
  <c r="AV651" i="9" s="1"/>
  <c r="AV652" i="9" s="1"/>
  <c r="AV653" i="9" s="1"/>
  <c r="AV654" i="9" s="1"/>
  <c r="AV655" i="9" s="1"/>
  <c r="AV656" i="9" s="1"/>
  <c r="AV2" i="9"/>
  <c r="U3" i="9"/>
  <c r="AS625" i="9"/>
  <c r="AV4" i="9" l="1"/>
  <c r="AV3" i="9"/>
  <c r="AS626" i="9"/>
  <c r="AS627" i="9" l="1"/>
  <c r="Z514" i="9" l="1"/>
  <c r="AC514" i="9"/>
  <c r="AL514" i="9"/>
  <c r="I503" i="10" s="1"/>
  <c r="T514" i="9"/>
  <c r="J514" i="9"/>
  <c r="L514" i="9"/>
  <c r="AS628" i="9"/>
  <c r="B514" i="9" l="1"/>
  <c r="P503" i="10" s="1"/>
  <c r="J503" i="10"/>
  <c r="K503" i="10" s="1"/>
  <c r="L503" i="10" s="1"/>
  <c r="O503" i="10"/>
  <c r="AS629" i="9"/>
  <c r="Q503" i="10" l="1"/>
  <c r="S503" i="10" s="1"/>
  <c r="M503" i="10"/>
  <c r="AS630" i="9"/>
  <c r="R503" i="10" l="1"/>
  <c r="V503" i="10"/>
  <c r="AA503" i="10" s="1"/>
  <c r="AE503" i="10" s="1"/>
  <c r="S515" i="9" s="1"/>
  <c r="P504" i="10" s="1"/>
  <c r="U503" i="10"/>
  <c r="Z503" i="10" s="1"/>
  <c r="AB503" i="10" s="1"/>
  <c r="AL515" i="9" s="1"/>
  <c r="AS631" i="9"/>
  <c r="AC503" i="10" l="1"/>
  <c r="AE515" i="9" s="1"/>
  <c r="J504" i="10" s="1"/>
  <c r="AD503" i="10"/>
  <c r="L515" i="9" s="1"/>
  <c r="AC515" i="9"/>
  <c r="J515" i="9"/>
  <c r="AG503" i="10"/>
  <c r="B515" i="9"/>
  <c r="B516" i="9" s="1"/>
  <c r="B517" i="9" s="1"/>
  <c r="B518" i="9" s="1"/>
  <c r="AS632" i="9"/>
  <c r="P507" i="10" l="1"/>
  <c r="Q507" i="10" s="1"/>
  <c r="T515" i="9"/>
  <c r="T516" i="9" s="1"/>
  <c r="T517" i="9" s="1"/>
  <c r="T518" i="9" s="1"/>
  <c r="Z515" i="9"/>
  <c r="O504" i="10"/>
  <c r="Q504" i="10" s="1"/>
  <c r="R504" i="10" s="1"/>
  <c r="I504" i="10"/>
  <c r="AS633" i="9"/>
  <c r="I507" i="10" l="1"/>
  <c r="K507" i="10" s="1"/>
  <c r="U507" i="10" s="1"/>
  <c r="Z507" i="10" s="1"/>
  <c r="S507" i="10"/>
  <c r="R507" i="10"/>
  <c r="Z516" i="9"/>
  <c r="Z517" i="9" s="1"/>
  <c r="Z518" i="9" s="1"/>
  <c r="Z519" i="9" s="1"/>
  <c r="Z520" i="9" s="1"/>
  <c r="Z521" i="9" s="1"/>
  <c r="Z522" i="9" s="1"/>
  <c r="Z523" i="9" s="1"/>
  <c r="Z524" i="9" s="1"/>
  <c r="Z525" i="9" s="1"/>
  <c r="Z526" i="9" s="1"/>
  <c r="Z527" i="9" s="1"/>
  <c r="Z528" i="9" s="1"/>
  <c r="Z529" i="9" s="1"/>
  <c r="Z530" i="9" s="1"/>
  <c r="Z531" i="9" s="1"/>
  <c r="Z532" i="9" s="1"/>
  <c r="Z533" i="9" s="1"/>
  <c r="Z534" i="9" s="1"/>
  <c r="Z535" i="9" s="1"/>
  <c r="Z536" i="9" s="1"/>
  <c r="Z537" i="9" s="1"/>
  <c r="Z538" i="9" s="1"/>
  <c r="Z539" i="9" s="1"/>
  <c r="Z540" i="9" s="1"/>
  <c r="Z541" i="9" s="1"/>
  <c r="Z542" i="9" s="1"/>
  <c r="Z543" i="9" s="1"/>
  <c r="Z544" i="9" s="1"/>
  <c r="Z545" i="9" s="1"/>
  <c r="Z546" i="9" s="1"/>
  <c r="Z547" i="9" s="1"/>
  <c r="Z548" i="9" s="1"/>
  <c r="Z549" i="9" s="1"/>
  <c r="Z550" i="9" s="1"/>
  <c r="Z551" i="9" s="1"/>
  <c r="Z552" i="9" s="1"/>
  <c r="Z553" i="9" s="1"/>
  <c r="Z554" i="9" s="1"/>
  <c r="Z555" i="9" s="1"/>
  <c r="Z556" i="9" s="1"/>
  <c r="Z557" i="9" s="1"/>
  <c r="Z558" i="9" s="1"/>
  <c r="Z559" i="9" s="1"/>
  <c r="Z560" i="9" s="1"/>
  <c r="Z561" i="9" s="1"/>
  <c r="Z562" i="9" s="1"/>
  <c r="Z563" i="9" s="1"/>
  <c r="Z564" i="9" s="1"/>
  <c r="Z2" i="9" s="1"/>
  <c r="D10" i="2" s="1"/>
  <c r="S504" i="10"/>
  <c r="K504" i="10"/>
  <c r="U504" i="10" s="1"/>
  <c r="Z504" i="10" s="1"/>
  <c r="AS634" i="9"/>
  <c r="L507" i="10" l="1"/>
  <c r="AB507" i="10" s="1"/>
  <c r="V507" i="10"/>
  <c r="AA507" i="10" s="1"/>
  <c r="M507" i="10"/>
  <c r="AC507" i="10" s="1"/>
  <c r="AO519" i="9" s="1"/>
  <c r="J508" i="10" s="1"/>
  <c r="Z565" i="9"/>
  <c r="Z566" i="9" s="1"/>
  <c r="Z567" i="9" s="1"/>
  <c r="Z568" i="9" s="1"/>
  <c r="Z569" i="9" s="1"/>
  <c r="Z570" i="9" s="1"/>
  <c r="Z571" i="9" s="1"/>
  <c r="Z572" i="9" s="1"/>
  <c r="Z573" i="9" s="1"/>
  <c r="Z574" i="9" s="1"/>
  <c r="Z575" i="9" s="1"/>
  <c r="Z576" i="9" s="1"/>
  <c r="Z577" i="9" s="1"/>
  <c r="Z578" i="9" s="1"/>
  <c r="Z579" i="9" s="1"/>
  <c r="Z580" i="9" s="1"/>
  <c r="Z581" i="9" s="1"/>
  <c r="Z582" i="9" s="1"/>
  <c r="Z583" i="9" s="1"/>
  <c r="Z584" i="9" s="1"/>
  <c r="Z585" i="9" s="1"/>
  <c r="Z586" i="9" s="1"/>
  <c r="Z587" i="9" s="1"/>
  <c r="Z588" i="9" s="1"/>
  <c r="Z589" i="9" s="1"/>
  <c r="Z590" i="9" s="1"/>
  <c r="Z591" i="9" s="1"/>
  <c r="Z592" i="9" s="1"/>
  <c r="Z593" i="9" s="1"/>
  <c r="Z594" i="9" s="1"/>
  <c r="Z595" i="9" s="1"/>
  <c r="Z596" i="9" s="1"/>
  <c r="Z597" i="9" s="1"/>
  <c r="Z598" i="9" s="1"/>
  <c r="Z599" i="9" s="1"/>
  <c r="Z600" i="9" s="1"/>
  <c r="Z601" i="9" s="1"/>
  <c r="Z602" i="9" s="1"/>
  <c r="Z603" i="9" s="1"/>
  <c r="Z604" i="9" s="1"/>
  <c r="Z605" i="9" s="1"/>
  <c r="Z606" i="9" s="1"/>
  <c r="Z607" i="9" s="1"/>
  <c r="Z608" i="9" s="1"/>
  <c r="Z609" i="9" s="1"/>
  <c r="Z610" i="9" s="1"/>
  <c r="Z611" i="9" s="1"/>
  <c r="Z612" i="9" s="1"/>
  <c r="Z613" i="9" s="1"/>
  <c r="Z614" i="9" s="1"/>
  <c r="Z615" i="9" s="1"/>
  <c r="Z616" i="9" s="1"/>
  <c r="Z617" i="9" s="1"/>
  <c r="Z618" i="9" s="1"/>
  <c r="Z619" i="9" s="1"/>
  <c r="Z620" i="9" s="1"/>
  <c r="Z621" i="9" s="1"/>
  <c r="Z622" i="9" s="1"/>
  <c r="Z623" i="9" s="1"/>
  <c r="Z624" i="9" s="1"/>
  <c r="Z625" i="9" s="1"/>
  <c r="Z626" i="9" s="1"/>
  <c r="Z627" i="9" s="1"/>
  <c r="Z628" i="9" s="1"/>
  <c r="Z629" i="9" s="1"/>
  <c r="Z630" i="9" s="1"/>
  <c r="Z631" i="9" s="1"/>
  <c r="Z632" i="9" s="1"/>
  <c r="Z633" i="9" s="1"/>
  <c r="Z634" i="9" s="1"/>
  <c r="Z635" i="9" s="1"/>
  <c r="Z636" i="9" s="1"/>
  <c r="Z637" i="9" s="1"/>
  <c r="Z638" i="9" s="1"/>
  <c r="Z639" i="9" s="1"/>
  <c r="Z640" i="9" s="1"/>
  <c r="Z641" i="9" s="1"/>
  <c r="Z642" i="9" s="1"/>
  <c r="Z643" i="9" s="1"/>
  <c r="Z644" i="9" s="1"/>
  <c r="Z645" i="9" s="1"/>
  <c r="Z646" i="9" s="1"/>
  <c r="Z647" i="9" s="1"/>
  <c r="Z648" i="9" s="1"/>
  <c r="Z649" i="9" s="1"/>
  <c r="Z650" i="9" s="1"/>
  <c r="Z651" i="9" s="1"/>
  <c r="Z652" i="9" s="1"/>
  <c r="Z653" i="9" s="1"/>
  <c r="Z654" i="9" s="1"/>
  <c r="Z655" i="9" s="1"/>
  <c r="Z656" i="9" s="1"/>
  <c r="L504" i="10"/>
  <c r="AB504" i="10" s="1"/>
  <c r="V504" i="10"/>
  <c r="AA504" i="10" s="1"/>
  <c r="M504" i="10"/>
  <c r="AC504" i="10" s="1"/>
  <c r="AS635" i="9"/>
  <c r="AD507" i="10" l="1"/>
  <c r="AE507" i="10"/>
  <c r="T519" i="9"/>
  <c r="I508" i="10" s="1"/>
  <c r="Z3" i="9"/>
  <c r="E10" i="2" s="1"/>
  <c r="Z4" i="9"/>
  <c r="F10" i="2" s="1"/>
  <c r="AC516" i="9"/>
  <c r="AL516" i="9"/>
  <c r="I505" i="10" s="1"/>
  <c r="Y516" i="9"/>
  <c r="AE516" i="9"/>
  <c r="AD504" i="10"/>
  <c r="AE504" i="10"/>
  <c r="S516" i="9" s="1"/>
  <c r="AS636" i="9"/>
  <c r="K508" i="10" l="1"/>
  <c r="L508" i="10" s="1"/>
  <c r="AG507" i="10"/>
  <c r="B519" i="9"/>
  <c r="P508" i="10" s="1"/>
  <c r="V519" i="9"/>
  <c r="O508" i="10" s="1"/>
  <c r="J505" i="10"/>
  <c r="K505" i="10" s="1"/>
  <c r="L505" i="10" s="1"/>
  <c r="J516" i="9"/>
  <c r="L516" i="9"/>
  <c r="O505" i="10" s="1"/>
  <c r="AF520" i="9"/>
  <c r="O520" i="9"/>
  <c r="AG504" i="10"/>
  <c r="N516" i="9"/>
  <c r="AS637" i="9"/>
  <c r="Q508" i="10" l="1"/>
  <c r="U508" i="10" s="1"/>
  <c r="Z508" i="10" s="1"/>
  <c r="M508" i="10"/>
  <c r="I509" i="10"/>
  <c r="M505" i="10"/>
  <c r="P505" i="10"/>
  <c r="Q505" i="10" s="1"/>
  <c r="AS638" i="9"/>
  <c r="V508" i="10" l="1"/>
  <c r="AA508" i="10" s="1"/>
  <c r="S508" i="10"/>
  <c r="R508" i="10"/>
  <c r="AB508" i="10"/>
  <c r="T520" i="9" s="1"/>
  <c r="AC508" i="10"/>
  <c r="AO520" i="9" s="1"/>
  <c r="J509" i="10" s="1"/>
  <c r="S505" i="10"/>
  <c r="U505" i="10"/>
  <c r="Z505" i="10" s="1"/>
  <c r="R505" i="10"/>
  <c r="V505" i="10"/>
  <c r="AA505" i="10" s="1"/>
  <c r="AS639" i="9"/>
  <c r="K509" i="10" l="1"/>
  <c r="L509" i="10" s="1"/>
  <c r="AD508" i="10"/>
  <c r="V520" i="9" s="1"/>
  <c r="AE508" i="10"/>
  <c r="AD505" i="10"/>
  <c r="AA517" i="9" s="1"/>
  <c r="O506" i="10" s="1"/>
  <c r="AE505" i="10"/>
  <c r="AC505" i="10"/>
  <c r="Q517" i="9" s="1"/>
  <c r="J506" i="10" s="1"/>
  <c r="AB505" i="10"/>
  <c r="D517" i="9" s="1"/>
  <c r="I506" i="10" s="1"/>
  <c r="AS640" i="9"/>
  <c r="K506" i="10" l="1"/>
  <c r="L506" i="10" s="1"/>
  <c r="B520" i="9"/>
  <c r="B521" i="9" s="1"/>
  <c r="B522" i="9" s="1"/>
  <c r="B523" i="9" s="1"/>
  <c r="B524" i="9" s="1"/>
  <c r="B525" i="9" s="1"/>
  <c r="B526" i="9" s="1"/>
  <c r="B527" i="9" s="1"/>
  <c r="B528" i="9" s="1"/>
  <c r="B529" i="9" s="1"/>
  <c r="B530" i="9" s="1"/>
  <c r="B531" i="9" s="1"/>
  <c r="B532" i="9" s="1"/>
  <c r="AG508" i="10"/>
  <c r="S517" i="9"/>
  <c r="S518" i="9" s="1"/>
  <c r="S519" i="9" s="1"/>
  <c r="S520" i="9" s="1"/>
  <c r="S521" i="9" s="1"/>
  <c r="S522" i="9" s="1"/>
  <c r="S523" i="9" s="1"/>
  <c r="S524" i="9" s="1"/>
  <c r="AG517" i="9"/>
  <c r="P506" i="10" s="1"/>
  <c r="M509" i="10"/>
  <c r="AC517" i="9"/>
  <c r="AC518" i="9" s="1"/>
  <c r="AC519" i="9" s="1"/>
  <c r="AC520" i="9" s="1"/>
  <c r="AC521" i="9" s="1"/>
  <c r="AC522" i="9" s="1"/>
  <c r="AC523" i="9" s="1"/>
  <c r="AC524" i="9" s="1"/>
  <c r="AC525" i="9" s="1"/>
  <c r="AC526" i="9" s="1"/>
  <c r="AC527" i="9" s="1"/>
  <c r="AC528" i="9" s="1"/>
  <c r="AC529" i="9" s="1"/>
  <c r="AL517" i="9"/>
  <c r="AL518" i="9" s="1"/>
  <c r="AL519" i="9" s="1"/>
  <c r="AL520" i="9" s="1"/>
  <c r="AL521" i="9" s="1"/>
  <c r="AL522" i="9" s="1"/>
  <c r="AL523" i="9" s="1"/>
  <c r="AL524" i="9" s="1"/>
  <c r="AL525" i="9" s="1"/>
  <c r="Y517" i="9"/>
  <c r="Y518" i="9" s="1"/>
  <c r="Y519" i="9" s="1"/>
  <c r="Y520" i="9" s="1"/>
  <c r="Y521" i="9" s="1"/>
  <c r="AE517" i="9"/>
  <c r="AE518" i="9" s="1"/>
  <c r="AE519" i="9" s="1"/>
  <c r="AE520" i="9" s="1"/>
  <c r="V521" i="9"/>
  <c r="V522" i="9" s="1"/>
  <c r="V523" i="9" s="1"/>
  <c r="J517" i="9"/>
  <c r="J518" i="9" s="1"/>
  <c r="J519" i="9" s="1"/>
  <c r="J520" i="9" s="1"/>
  <c r="J521" i="9" s="1"/>
  <c r="L517" i="9"/>
  <c r="L518" i="9" s="1"/>
  <c r="L519" i="9" s="1"/>
  <c r="L520" i="9" s="1"/>
  <c r="AF521" i="9"/>
  <c r="AF522" i="9" s="1"/>
  <c r="AF523" i="9" s="1"/>
  <c r="AF524" i="9" s="1"/>
  <c r="AF525" i="9" s="1"/>
  <c r="AF526" i="9" s="1"/>
  <c r="AF527" i="9" s="1"/>
  <c r="AF528" i="9" s="1"/>
  <c r="AF529" i="9" s="1"/>
  <c r="AF530" i="9" s="1"/>
  <c r="AF531" i="9" s="1"/>
  <c r="AF532" i="9" s="1"/>
  <c r="AF533" i="9" s="1"/>
  <c r="AF534" i="9" s="1"/>
  <c r="AF535" i="9" s="1"/>
  <c r="AF536" i="9" s="1"/>
  <c r="AF537" i="9" s="1"/>
  <c r="AF538" i="9" s="1"/>
  <c r="AF539" i="9" s="1"/>
  <c r="AF540" i="9" s="1"/>
  <c r="AF541" i="9" s="1"/>
  <c r="AF542" i="9" s="1"/>
  <c r="AF543" i="9" s="1"/>
  <c r="AF544" i="9" s="1"/>
  <c r="AF545" i="9" s="1"/>
  <c r="AF546" i="9" s="1"/>
  <c r="AF547" i="9" s="1"/>
  <c r="AF548" i="9" s="1"/>
  <c r="AF549" i="9" s="1"/>
  <c r="AF550" i="9" s="1"/>
  <c r="AF551" i="9" s="1"/>
  <c r="AF552" i="9" s="1"/>
  <c r="AF553" i="9" s="1"/>
  <c r="AF554" i="9" s="1"/>
  <c r="AF555" i="9" s="1"/>
  <c r="AF556" i="9" s="1"/>
  <c r="AF557" i="9" s="1"/>
  <c r="AF558" i="9" s="1"/>
  <c r="AF559" i="9" s="1"/>
  <c r="AF560" i="9" s="1"/>
  <c r="AF561" i="9" s="1"/>
  <c r="AF562" i="9" s="1"/>
  <c r="AF563" i="9" s="1"/>
  <c r="AF564" i="9" s="1"/>
  <c r="O521" i="9"/>
  <c r="O522" i="9" s="1"/>
  <c r="O523" i="9" s="1"/>
  <c r="T521" i="9"/>
  <c r="AG505" i="10"/>
  <c r="N517" i="9"/>
  <c r="AS641" i="9"/>
  <c r="P509" i="10" l="1"/>
  <c r="Q506" i="10"/>
  <c r="O509" i="10"/>
  <c r="M506" i="10"/>
  <c r="T522" i="9"/>
  <c r="AF2" i="9"/>
  <c r="AF565" i="9"/>
  <c r="N518" i="9"/>
  <c r="N519" i="9" s="1"/>
  <c r="N520" i="9" s="1"/>
  <c r="N521" i="9" s="1"/>
  <c r="N522" i="9" s="1"/>
  <c r="N523" i="9" s="1"/>
  <c r="N524" i="9" s="1"/>
  <c r="N525" i="9" s="1"/>
  <c r="AS642" i="9"/>
  <c r="R506" i="10" l="1"/>
  <c r="U506" i="10"/>
  <c r="Z506" i="10" s="1"/>
  <c r="Q509" i="10"/>
  <c r="R509" i="10" s="1"/>
  <c r="V506" i="10"/>
  <c r="AA506" i="10" s="1"/>
  <c r="S506" i="10"/>
  <c r="D36" i="2"/>
  <c r="D11" i="2"/>
  <c r="AF566" i="9"/>
  <c r="AS643" i="9"/>
  <c r="S509" i="10" l="1"/>
  <c r="AE506" i="10"/>
  <c r="AD506" i="10"/>
  <c r="AA518" i="9" s="1"/>
  <c r="AA519" i="9" s="1"/>
  <c r="AA520" i="9" s="1"/>
  <c r="AA521" i="9" s="1"/>
  <c r="AA522" i="9" s="1"/>
  <c r="AA523" i="9" s="1"/>
  <c r="AA524" i="9" s="1"/>
  <c r="AA525" i="9" s="1"/>
  <c r="AA526" i="9" s="1"/>
  <c r="AA527" i="9" s="1"/>
  <c r="AA528" i="9" s="1"/>
  <c r="AA529" i="9" s="1"/>
  <c r="AA530" i="9" s="1"/>
  <c r="V509" i="10"/>
  <c r="AA509" i="10" s="1"/>
  <c r="U509" i="10"/>
  <c r="Z509" i="10" s="1"/>
  <c r="AC506" i="10"/>
  <c r="Q518" i="9" s="1"/>
  <c r="Q519" i="9" s="1"/>
  <c r="Q520" i="9" s="1"/>
  <c r="Q521" i="9" s="1"/>
  <c r="Q522" i="9" s="1"/>
  <c r="Q523" i="9" s="1"/>
  <c r="Q524" i="9" s="1"/>
  <c r="Q525" i="9" s="1"/>
  <c r="Q526" i="9" s="1"/>
  <c r="Q527" i="9" s="1"/>
  <c r="AB506" i="10"/>
  <c r="D518" i="9" s="1"/>
  <c r="D519" i="9" s="1"/>
  <c r="D520" i="9" s="1"/>
  <c r="D521" i="9" s="1"/>
  <c r="D522" i="9" s="1"/>
  <c r="D523" i="9" s="1"/>
  <c r="D524" i="9" s="1"/>
  <c r="D525" i="9" s="1"/>
  <c r="D526" i="9" s="1"/>
  <c r="D527" i="9" s="1"/>
  <c r="D528" i="9" s="1"/>
  <c r="D529" i="9" s="1"/>
  <c r="D530" i="9" s="1"/>
  <c r="AF567" i="9"/>
  <c r="AS644" i="9"/>
  <c r="AE509" i="10" l="1"/>
  <c r="AG509" i="10" s="1"/>
  <c r="AB509" i="10"/>
  <c r="I521" i="9" s="1"/>
  <c r="I510" i="10" s="1"/>
  <c r="AC509" i="10"/>
  <c r="AD509" i="10"/>
  <c r="L521" i="9" s="1"/>
  <c r="O510" i="10" s="1"/>
  <c r="AG506" i="10"/>
  <c r="AG518" i="9"/>
  <c r="AG519" i="9" s="1"/>
  <c r="AG520" i="9" s="1"/>
  <c r="AG521" i="9" s="1"/>
  <c r="AG522" i="9" s="1"/>
  <c r="AG523" i="9" s="1"/>
  <c r="AG524" i="9" s="1"/>
  <c r="AG525" i="9" s="1"/>
  <c r="AF568" i="9"/>
  <c r="AS645" i="9"/>
  <c r="AE521" i="9" l="1"/>
  <c r="P510" i="10" s="1"/>
  <c r="Q510" i="10" s="1"/>
  <c r="R510" i="10" s="1"/>
  <c r="AO521" i="9"/>
  <c r="E521" i="9"/>
  <c r="J510" i="10" s="1"/>
  <c r="K510" i="10" s="1"/>
  <c r="J522" i="9"/>
  <c r="G522" i="9"/>
  <c r="J511" i="10"/>
  <c r="Y522" i="9"/>
  <c r="AF569" i="9"/>
  <c r="AS646" i="9"/>
  <c r="S510" i="10" l="1"/>
  <c r="L510" i="10"/>
  <c r="V510" i="10"/>
  <c r="AA510" i="10" s="1"/>
  <c r="M510" i="10"/>
  <c r="AO522" i="9"/>
  <c r="AO523" i="9" s="1"/>
  <c r="AO524" i="9" s="1"/>
  <c r="AO525" i="9" s="1"/>
  <c r="AO526" i="9" s="1"/>
  <c r="AO527" i="9" s="1"/>
  <c r="AO528" i="9" s="1"/>
  <c r="AO529" i="9" s="1"/>
  <c r="AO530" i="9" s="1"/>
  <c r="AO531" i="9" s="1"/>
  <c r="AO532" i="9" s="1"/>
  <c r="AO533" i="9" s="1"/>
  <c r="AO534" i="9" s="1"/>
  <c r="AO535" i="9" s="1"/>
  <c r="AO536" i="9" s="1"/>
  <c r="AO537" i="9" s="1"/>
  <c r="AO538" i="9" s="1"/>
  <c r="AO539" i="9" s="1"/>
  <c r="AO540" i="9" s="1"/>
  <c r="AO541" i="9" s="1"/>
  <c r="AO542" i="9" s="1"/>
  <c r="AO543" i="9" s="1"/>
  <c r="AO544" i="9" s="1"/>
  <c r="AO545" i="9" s="1"/>
  <c r="AO546" i="9" s="1"/>
  <c r="AO547" i="9" s="1"/>
  <c r="AO548" i="9" s="1"/>
  <c r="AO549" i="9" s="1"/>
  <c r="AO550" i="9" s="1"/>
  <c r="AO551" i="9" s="1"/>
  <c r="AO552" i="9" s="1"/>
  <c r="AO553" i="9" s="1"/>
  <c r="AO554" i="9" s="1"/>
  <c r="AO555" i="9" s="1"/>
  <c r="AO556" i="9" s="1"/>
  <c r="AO557" i="9" s="1"/>
  <c r="AO558" i="9" s="1"/>
  <c r="AO559" i="9" s="1"/>
  <c r="AO560" i="9" s="1"/>
  <c r="AO561" i="9" s="1"/>
  <c r="AO562" i="9" s="1"/>
  <c r="AO563" i="9" s="1"/>
  <c r="AO564" i="9" s="1"/>
  <c r="U510" i="10"/>
  <c r="Z510" i="10" s="1"/>
  <c r="AL526" i="9"/>
  <c r="AM526" i="9"/>
  <c r="N526" i="9"/>
  <c r="P511" i="10"/>
  <c r="AG526" i="9"/>
  <c r="AF570" i="9"/>
  <c r="AS647" i="9"/>
  <c r="AO565" i="9" l="1"/>
  <c r="AO566" i="9" s="1"/>
  <c r="AO567" i="9" s="1"/>
  <c r="AO568" i="9" s="1"/>
  <c r="AO569" i="9" s="1"/>
  <c r="AO570" i="9" s="1"/>
  <c r="AO571" i="9" s="1"/>
  <c r="AO572" i="9" s="1"/>
  <c r="AO573" i="9" s="1"/>
  <c r="AO574" i="9" s="1"/>
  <c r="AO575" i="9" s="1"/>
  <c r="AO576" i="9" s="1"/>
  <c r="AO577" i="9" s="1"/>
  <c r="AO578" i="9" s="1"/>
  <c r="AO579" i="9" s="1"/>
  <c r="AO580" i="9" s="1"/>
  <c r="AO581" i="9" s="1"/>
  <c r="AO582" i="9" s="1"/>
  <c r="AO583" i="9" s="1"/>
  <c r="AO584" i="9" s="1"/>
  <c r="AO585" i="9" s="1"/>
  <c r="AO586" i="9" s="1"/>
  <c r="AO587" i="9" s="1"/>
  <c r="AO588" i="9" s="1"/>
  <c r="AO589" i="9" s="1"/>
  <c r="AO590" i="9" s="1"/>
  <c r="AO591" i="9" s="1"/>
  <c r="AO592" i="9" s="1"/>
  <c r="AO593" i="9" s="1"/>
  <c r="AO594" i="9" s="1"/>
  <c r="AO595" i="9" s="1"/>
  <c r="AO596" i="9" s="1"/>
  <c r="AO597" i="9" s="1"/>
  <c r="AO598" i="9" s="1"/>
  <c r="AO599" i="9" s="1"/>
  <c r="AO600" i="9" s="1"/>
  <c r="AO601" i="9" s="1"/>
  <c r="AO602" i="9" s="1"/>
  <c r="AO603" i="9" s="1"/>
  <c r="AO604" i="9" s="1"/>
  <c r="AO605" i="9" s="1"/>
  <c r="AO606" i="9" s="1"/>
  <c r="AO607" i="9" s="1"/>
  <c r="AO608" i="9" s="1"/>
  <c r="AO609" i="9" s="1"/>
  <c r="AO610" i="9" s="1"/>
  <c r="AO611" i="9" s="1"/>
  <c r="AO612" i="9" s="1"/>
  <c r="AO613" i="9" s="1"/>
  <c r="AO614" i="9" s="1"/>
  <c r="AO615" i="9" s="1"/>
  <c r="AO616" i="9" s="1"/>
  <c r="AO617" i="9" s="1"/>
  <c r="AO618" i="9" s="1"/>
  <c r="AO619" i="9" s="1"/>
  <c r="AO620" i="9" s="1"/>
  <c r="AO621" i="9" s="1"/>
  <c r="AO622" i="9" s="1"/>
  <c r="AO623" i="9" s="1"/>
  <c r="AO624" i="9" s="1"/>
  <c r="AO625" i="9" s="1"/>
  <c r="AO626" i="9" s="1"/>
  <c r="AO627" i="9" s="1"/>
  <c r="AO628" i="9" s="1"/>
  <c r="AO629" i="9" s="1"/>
  <c r="AO630" i="9" s="1"/>
  <c r="AO631" i="9" s="1"/>
  <c r="AO632" i="9" s="1"/>
  <c r="AO633" i="9" s="1"/>
  <c r="AO634" i="9" s="1"/>
  <c r="AO635" i="9" s="1"/>
  <c r="AO636" i="9" s="1"/>
  <c r="AO637" i="9" s="1"/>
  <c r="AO638" i="9" s="1"/>
  <c r="AO639" i="9" s="1"/>
  <c r="AO640" i="9" s="1"/>
  <c r="AO641" i="9" s="1"/>
  <c r="AO642" i="9" s="1"/>
  <c r="AO643" i="9" s="1"/>
  <c r="AO644" i="9" s="1"/>
  <c r="AO645" i="9" s="1"/>
  <c r="AO646" i="9" s="1"/>
  <c r="AO647" i="9" s="1"/>
  <c r="AO648" i="9" s="1"/>
  <c r="AO649" i="9" s="1"/>
  <c r="AO650" i="9" s="1"/>
  <c r="AO651" i="9" s="1"/>
  <c r="AO652" i="9" s="1"/>
  <c r="AO653" i="9" s="1"/>
  <c r="AO654" i="9" s="1"/>
  <c r="AO655" i="9" s="1"/>
  <c r="AO656" i="9" s="1"/>
  <c r="AO2" i="9"/>
  <c r="AB510" i="10"/>
  <c r="I522" i="9" s="1"/>
  <c r="I511" i="10" s="1"/>
  <c r="K511" i="10" s="1"/>
  <c r="L511" i="10" s="1"/>
  <c r="AC510" i="10"/>
  <c r="E522" i="9" s="1"/>
  <c r="AD510" i="10"/>
  <c r="L522" i="9" s="1"/>
  <c r="O511" i="10" s="1"/>
  <c r="Q511" i="10" s="1"/>
  <c r="AE510" i="10"/>
  <c r="AF571" i="9"/>
  <c r="AS648" i="9"/>
  <c r="U511" i="10" l="1"/>
  <c r="Z511" i="10" s="1"/>
  <c r="AB511" i="10" s="1"/>
  <c r="T523" i="9" s="1"/>
  <c r="I512" i="10" s="1"/>
  <c r="M511" i="10"/>
  <c r="AO4" i="9"/>
  <c r="AE522" i="9"/>
  <c r="AG510" i="10"/>
  <c r="AO3" i="9"/>
  <c r="S511" i="10"/>
  <c r="V511" i="10"/>
  <c r="AA511" i="10" s="1"/>
  <c r="R511" i="10"/>
  <c r="AF572" i="9"/>
  <c r="AS649" i="9"/>
  <c r="AC511" i="10" l="1"/>
  <c r="E523" i="9"/>
  <c r="AN523" i="9"/>
  <c r="J512" i="10" s="1"/>
  <c r="AE511" i="10"/>
  <c r="AG511" i="10" s="1"/>
  <c r="AD511" i="10"/>
  <c r="J523" i="9"/>
  <c r="L523" i="9"/>
  <c r="G523" i="9"/>
  <c r="G524" i="9" s="1"/>
  <c r="G525" i="9" s="1"/>
  <c r="G526" i="9" s="1"/>
  <c r="G527" i="9" s="1"/>
  <c r="G528" i="9" s="1"/>
  <c r="G529" i="9" s="1"/>
  <c r="I523" i="9"/>
  <c r="I524" i="9" s="1"/>
  <c r="I525" i="9" s="1"/>
  <c r="I526" i="9" s="1"/>
  <c r="I527" i="9" s="1"/>
  <c r="I528" i="9" s="1"/>
  <c r="E524" i="9"/>
  <c r="E525" i="9" s="1"/>
  <c r="E526" i="9" s="1"/>
  <c r="Y523" i="9"/>
  <c r="Y524" i="9" s="1"/>
  <c r="Y525" i="9" s="1"/>
  <c r="Y526" i="9" s="1"/>
  <c r="Y527" i="9" s="1"/>
  <c r="AF573" i="9"/>
  <c r="AS650" i="9"/>
  <c r="AE523" i="9" l="1"/>
  <c r="AB523" i="9"/>
  <c r="P512" i="10" s="1"/>
  <c r="K512" i="10"/>
  <c r="L512" i="10" s="1"/>
  <c r="O512" i="10"/>
  <c r="AL527" i="9"/>
  <c r="AL528" i="9" s="1"/>
  <c r="AM527" i="9"/>
  <c r="AM528" i="9" s="1"/>
  <c r="AM529" i="9" s="1"/>
  <c r="AM530" i="9" s="1"/>
  <c r="AM531" i="9" s="1"/>
  <c r="AM532" i="9" s="1"/>
  <c r="AM533" i="9" s="1"/>
  <c r="AM534" i="9" s="1"/>
  <c r="AM535" i="9" s="1"/>
  <c r="AM536" i="9" s="1"/>
  <c r="AM537" i="9" s="1"/>
  <c r="AM538" i="9" s="1"/>
  <c r="AM539" i="9" s="1"/>
  <c r="AM540" i="9" s="1"/>
  <c r="AM541" i="9" s="1"/>
  <c r="AM542" i="9" s="1"/>
  <c r="AM543" i="9" s="1"/>
  <c r="AM544" i="9" s="1"/>
  <c r="AM545" i="9" s="1"/>
  <c r="AM546" i="9" s="1"/>
  <c r="AM547" i="9" s="1"/>
  <c r="AM548" i="9" s="1"/>
  <c r="AM549" i="9" s="1"/>
  <c r="AM550" i="9" s="1"/>
  <c r="AM551" i="9" s="1"/>
  <c r="AM552" i="9" s="1"/>
  <c r="AM553" i="9" s="1"/>
  <c r="AM554" i="9" s="1"/>
  <c r="AM555" i="9" s="1"/>
  <c r="AM556" i="9" s="1"/>
  <c r="AM557" i="9" s="1"/>
  <c r="AM558" i="9" s="1"/>
  <c r="AM559" i="9" s="1"/>
  <c r="AM560" i="9" s="1"/>
  <c r="AM561" i="9" s="1"/>
  <c r="AM562" i="9" s="1"/>
  <c r="AM563" i="9" s="1"/>
  <c r="AM564" i="9" s="1"/>
  <c r="N527" i="9"/>
  <c r="AG527" i="9"/>
  <c r="AF574" i="9"/>
  <c r="AS651" i="9"/>
  <c r="Q512" i="10" l="1"/>
  <c r="R512" i="10" s="1"/>
  <c r="M512" i="10"/>
  <c r="AG528" i="9"/>
  <c r="AG529" i="9" s="1"/>
  <c r="AG530" i="9" s="1"/>
  <c r="AM2" i="9"/>
  <c r="AM565" i="9"/>
  <c r="AM566" i="9" s="1"/>
  <c r="AM567" i="9" s="1"/>
  <c r="AM568" i="9" s="1"/>
  <c r="AM569" i="9" s="1"/>
  <c r="AM570" i="9" s="1"/>
  <c r="AM571" i="9" s="1"/>
  <c r="AM572" i="9" s="1"/>
  <c r="AM573" i="9" s="1"/>
  <c r="AM574" i="9" s="1"/>
  <c r="AM575" i="9" s="1"/>
  <c r="AM576" i="9" s="1"/>
  <c r="AM577" i="9" s="1"/>
  <c r="AM578" i="9" s="1"/>
  <c r="AM579" i="9" s="1"/>
  <c r="AM580" i="9" s="1"/>
  <c r="AM581" i="9" s="1"/>
  <c r="AM582" i="9" s="1"/>
  <c r="AM583" i="9" s="1"/>
  <c r="AM584" i="9" s="1"/>
  <c r="AM585" i="9" s="1"/>
  <c r="AM586" i="9" s="1"/>
  <c r="AM587" i="9" s="1"/>
  <c r="AM588" i="9" s="1"/>
  <c r="AM589" i="9" s="1"/>
  <c r="AM590" i="9" s="1"/>
  <c r="AM591" i="9" s="1"/>
  <c r="AM592" i="9" s="1"/>
  <c r="AM593" i="9" s="1"/>
  <c r="AM594" i="9" s="1"/>
  <c r="AM595" i="9" s="1"/>
  <c r="AM596" i="9" s="1"/>
  <c r="AM597" i="9" s="1"/>
  <c r="AM598" i="9" s="1"/>
  <c r="AM599" i="9" s="1"/>
  <c r="AM600" i="9" s="1"/>
  <c r="AM601" i="9" s="1"/>
  <c r="AM602" i="9" s="1"/>
  <c r="AM603" i="9" s="1"/>
  <c r="AM604" i="9" s="1"/>
  <c r="AM605" i="9" s="1"/>
  <c r="AM606" i="9" s="1"/>
  <c r="AM607" i="9" s="1"/>
  <c r="AM608" i="9" s="1"/>
  <c r="AM609" i="9" s="1"/>
  <c r="AM610" i="9" s="1"/>
  <c r="AM611" i="9" s="1"/>
  <c r="AM612" i="9" s="1"/>
  <c r="AM613" i="9" s="1"/>
  <c r="AM614" i="9" s="1"/>
  <c r="AM615" i="9" s="1"/>
  <c r="AM616" i="9" s="1"/>
  <c r="AM617" i="9" s="1"/>
  <c r="AM618" i="9" s="1"/>
  <c r="AM619" i="9" s="1"/>
  <c r="AM620" i="9" s="1"/>
  <c r="AM621" i="9" s="1"/>
  <c r="AM622" i="9" s="1"/>
  <c r="AM623" i="9" s="1"/>
  <c r="AM624" i="9" s="1"/>
  <c r="AM625" i="9" s="1"/>
  <c r="AM626" i="9" s="1"/>
  <c r="AM627" i="9" s="1"/>
  <c r="AM628" i="9" s="1"/>
  <c r="AM629" i="9" s="1"/>
  <c r="AM630" i="9" s="1"/>
  <c r="AM631" i="9" s="1"/>
  <c r="AM632" i="9" s="1"/>
  <c r="AM633" i="9" s="1"/>
  <c r="AM634" i="9" s="1"/>
  <c r="AM635" i="9" s="1"/>
  <c r="AM636" i="9" s="1"/>
  <c r="AM637" i="9" s="1"/>
  <c r="AM638" i="9" s="1"/>
  <c r="AM639" i="9" s="1"/>
  <c r="AM640" i="9" s="1"/>
  <c r="AM641" i="9" s="1"/>
  <c r="AM642" i="9" s="1"/>
  <c r="AM643" i="9" s="1"/>
  <c r="AM644" i="9" s="1"/>
  <c r="AM645" i="9" s="1"/>
  <c r="AM646" i="9" s="1"/>
  <c r="AM647" i="9" s="1"/>
  <c r="AM648" i="9" s="1"/>
  <c r="AM649" i="9" s="1"/>
  <c r="AM650" i="9" s="1"/>
  <c r="AM651" i="9" s="1"/>
  <c r="AM652" i="9" s="1"/>
  <c r="AM653" i="9" s="1"/>
  <c r="AM654" i="9" s="1"/>
  <c r="AM655" i="9" s="1"/>
  <c r="AM656" i="9" s="1"/>
  <c r="AF575" i="9"/>
  <c r="AS652" i="9"/>
  <c r="V512" i="10" l="1"/>
  <c r="AA512" i="10" s="1"/>
  <c r="AD512" i="10" s="1"/>
  <c r="U512" i="10"/>
  <c r="Z512" i="10" s="1"/>
  <c r="AB512" i="10" s="1"/>
  <c r="S512" i="10"/>
  <c r="AM3" i="9"/>
  <c r="AM4" i="9"/>
  <c r="AF576" i="9"/>
  <c r="AS653" i="9"/>
  <c r="AE512" i="10" l="1"/>
  <c r="AB524" i="9" s="1"/>
  <c r="AC512" i="10"/>
  <c r="AN524" i="9" s="1"/>
  <c r="J513" i="10" s="1"/>
  <c r="F21" i="2"/>
  <c r="E21" i="2"/>
  <c r="D21" i="2"/>
  <c r="AE524" i="9"/>
  <c r="J524" i="9"/>
  <c r="L524" i="9"/>
  <c r="O524" i="9"/>
  <c r="T524" i="9"/>
  <c r="AG512" i="10"/>
  <c r="V524" i="9"/>
  <c r="AF577" i="9"/>
  <c r="AS654" i="9"/>
  <c r="I513" i="10" l="1"/>
  <c r="K513" i="10" s="1"/>
  <c r="L513" i="10" s="1"/>
  <c r="O513" i="10"/>
  <c r="N528" i="9"/>
  <c r="P513" i="10"/>
  <c r="Y528" i="9"/>
  <c r="AF578" i="9"/>
  <c r="AS655" i="9"/>
  <c r="Q513" i="10" l="1"/>
  <c r="S513" i="10" s="1"/>
  <c r="AU532" i="9"/>
  <c r="M513" i="10"/>
  <c r="AF579" i="9"/>
  <c r="AS656" i="9"/>
  <c r="R513" i="10" l="1"/>
  <c r="V513" i="10"/>
  <c r="AA513" i="10" s="1"/>
  <c r="AE513" i="10" s="1"/>
  <c r="U513" i="10"/>
  <c r="Z513" i="10" s="1"/>
  <c r="AC513" i="10" s="1"/>
  <c r="AP525" i="9" s="1"/>
  <c r="AB513" i="10"/>
  <c r="S525" i="9" s="1"/>
  <c r="I514" i="10" s="1"/>
  <c r="AF580" i="9"/>
  <c r="AS3" i="9"/>
  <c r="AS4" i="9"/>
  <c r="AD513" i="10" l="1"/>
  <c r="AJ525" i="9" s="1"/>
  <c r="O514" i="10" s="1"/>
  <c r="J514" i="10"/>
  <c r="K514" i="10" s="1"/>
  <c r="AB525" i="9"/>
  <c r="AB526" i="9" s="1"/>
  <c r="AB527" i="9" s="1"/>
  <c r="AB528" i="9" s="1"/>
  <c r="AB529" i="9" s="1"/>
  <c r="AB530" i="9" s="1"/>
  <c r="AB531" i="9" s="1"/>
  <c r="AB532" i="9" s="1"/>
  <c r="AQ525" i="9"/>
  <c r="AE525" i="9"/>
  <c r="AE526" i="9" s="1"/>
  <c r="AN525" i="9"/>
  <c r="AN526" i="9" s="1"/>
  <c r="AN527" i="9" s="1"/>
  <c r="AN528" i="9" s="1"/>
  <c r="AN529" i="9" s="1"/>
  <c r="AN530" i="9" s="1"/>
  <c r="AN531" i="9" s="1"/>
  <c r="AN532" i="9" s="1"/>
  <c r="AN533" i="9" s="1"/>
  <c r="AN534" i="9" s="1"/>
  <c r="AN535" i="9" s="1"/>
  <c r="AN536" i="9" s="1"/>
  <c r="AN537" i="9" s="1"/>
  <c r="AN538" i="9" s="1"/>
  <c r="AN539" i="9" s="1"/>
  <c r="AN540" i="9" s="1"/>
  <c r="AN541" i="9" s="1"/>
  <c r="AN542" i="9" s="1"/>
  <c r="AN543" i="9" s="1"/>
  <c r="AN544" i="9" s="1"/>
  <c r="AN545" i="9" s="1"/>
  <c r="AN546" i="9" s="1"/>
  <c r="AN547" i="9" s="1"/>
  <c r="AN548" i="9" s="1"/>
  <c r="AN549" i="9" s="1"/>
  <c r="AN550" i="9" s="1"/>
  <c r="AN551" i="9" s="1"/>
  <c r="AN552" i="9" s="1"/>
  <c r="AN553" i="9" s="1"/>
  <c r="AN554" i="9" s="1"/>
  <c r="AN555" i="9" s="1"/>
  <c r="AN556" i="9" s="1"/>
  <c r="AN557" i="9" s="1"/>
  <c r="AN558" i="9" s="1"/>
  <c r="AN559" i="9" s="1"/>
  <c r="AN560" i="9" s="1"/>
  <c r="AN561" i="9" s="1"/>
  <c r="AN562" i="9" s="1"/>
  <c r="AN563" i="9" s="1"/>
  <c r="AN564" i="9" s="1"/>
  <c r="J525" i="9"/>
  <c r="J526" i="9" s="1"/>
  <c r="J527" i="9" s="1"/>
  <c r="J528" i="9" s="1"/>
  <c r="J529" i="9" s="1"/>
  <c r="L525" i="9"/>
  <c r="O525" i="9"/>
  <c r="O526" i="9" s="1"/>
  <c r="O527" i="9" s="1"/>
  <c r="O528" i="9" s="1"/>
  <c r="O529" i="9" s="1"/>
  <c r="O530" i="9" s="1"/>
  <c r="O531" i="9" s="1"/>
  <c r="O532" i="9" s="1"/>
  <c r="O533" i="9" s="1"/>
  <c r="O534" i="9" s="1"/>
  <c r="O535" i="9" s="1"/>
  <c r="T525" i="9"/>
  <c r="AG513" i="10"/>
  <c r="V525" i="9"/>
  <c r="AF581" i="9"/>
  <c r="P515" i="10" l="1"/>
  <c r="L514" i="10"/>
  <c r="P514" i="10"/>
  <c r="J521" i="10"/>
  <c r="M514" i="10"/>
  <c r="L526" i="9"/>
  <c r="L527" i="9" s="1"/>
  <c r="L528" i="9" s="1"/>
  <c r="T526" i="9"/>
  <c r="T527" i="9" s="1"/>
  <c r="T528" i="9" s="1"/>
  <c r="T529" i="9" s="1"/>
  <c r="T530" i="9" s="1"/>
  <c r="T531" i="9" s="1"/>
  <c r="T532" i="9" s="1"/>
  <c r="T533" i="9" s="1"/>
  <c r="T534" i="9" s="1"/>
  <c r="AN2" i="9"/>
  <c r="AN565" i="9"/>
  <c r="AN566" i="9" s="1"/>
  <c r="AN567" i="9" s="1"/>
  <c r="AN568" i="9" s="1"/>
  <c r="AN569" i="9" s="1"/>
  <c r="AN570" i="9" s="1"/>
  <c r="AN571" i="9" s="1"/>
  <c r="AN572" i="9" s="1"/>
  <c r="AN573" i="9" s="1"/>
  <c r="AN574" i="9" s="1"/>
  <c r="AN575" i="9" s="1"/>
  <c r="AN576" i="9" s="1"/>
  <c r="AN577" i="9" s="1"/>
  <c r="AN578" i="9" s="1"/>
  <c r="AN579" i="9" s="1"/>
  <c r="AN580" i="9" s="1"/>
  <c r="AN581" i="9" s="1"/>
  <c r="AN582" i="9" s="1"/>
  <c r="AN583" i="9" s="1"/>
  <c r="AN584" i="9" s="1"/>
  <c r="AN585" i="9" s="1"/>
  <c r="AN586" i="9" s="1"/>
  <c r="AN587" i="9" s="1"/>
  <c r="AN588" i="9" s="1"/>
  <c r="AN589" i="9" s="1"/>
  <c r="AN590" i="9" s="1"/>
  <c r="AN591" i="9" s="1"/>
  <c r="AN592" i="9" s="1"/>
  <c r="AN593" i="9" s="1"/>
  <c r="AN594" i="9" s="1"/>
  <c r="AN595" i="9" s="1"/>
  <c r="AN596" i="9" s="1"/>
  <c r="AN597" i="9" s="1"/>
  <c r="AN598" i="9" s="1"/>
  <c r="AN599" i="9" s="1"/>
  <c r="AN600" i="9" s="1"/>
  <c r="AN601" i="9" s="1"/>
  <c r="AN602" i="9" s="1"/>
  <c r="AN603" i="9" s="1"/>
  <c r="AN604" i="9" s="1"/>
  <c r="AN605" i="9" s="1"/>
  <c r="AN606" i="9" s="1"/>
  <c r="AN607" i="9" s="1"/>
  <c r="AN608" i="9" s="1"/>
  <c r="AN609" i="9" s="1"/>
  <c r="AN610" i="9" s="1"/>
  <c r="AN611" i="9" s="1"/>
  <c r="AN612" i="9" s="1"/>
  <c r="AN613" i="9" s="1"/>
  <c r="AN614" i="9" s="1"/>
  <c r="AN615" i="9" s="1"/>
  <c r="AN616" i="9" s="1"/>
  <c r="AN617" i="9" s="1"/>
  <c r="AN618" i="9" s="1"/>
  <c r="AN619" i="9" s="1"/>
  <c r="AN620" i="9" s="1"/>
  <c r="AN621" i="9" s="1"/>
  <c r="AN622" i="9" s="1"/>
  <c r="AN623" i="9" s="1"/>
  <c r="AN624" i="9" s="1"/>
  <c r="AN625" i="9" s="1"/>
  <c r="AN626" i="9" s="1"/>
  <c r="AN627" i="9" s="1"/>
  <c r="AN628" i="9" s="1"/>
  <c r="AN629" i="9" s="1"/>
  <c r="AN630" i="9" s="1"/>
  <c r="AN631" i="9" s="1"/>
  <c r="AN632" i="9" s="1"/>
  <c r="AN633" i="9" s="1"/>
  <c r="AN634" i="9" s="1"/>
  <c r="AN635" i="9" s="1"/>
  <c r="AN636" i="9" s="1"/>
  <c r="AN637" i="9" s="1"/>
  <c r="AN638" i="9" s="1"/>
  <c r="AN639" i="9" s="1"/>
  <c r="AN640" i="9" s="1"/>
  <c r="AN641" i="9" s="1"/>
  <c r="AN642" i="9" s="1"/>
  <c r="AN643" i="9" s="1"/>
  <c r="AN644" i="9" s="1"/>
  <c r="AN645" i="9" s="1"/>
  <c r="AN646" i="9" s="1"/>
  <c r="AN647" i="9" s="1"/>
  <c r="AN648" i="9" s="1"/>
  <c r="AN649" i="9" s="1"/>
  <c r="AN650" i="9" s="1"/>
  <c r="AN651" i="9" s="1"/>
  <c r="AN652" i="9" s="1"/>
  <c r="AN653" i="9" s="1"/>
  <c r="AN654" i="9" s="1"/>
  <c r="AN655" i="9" s="1"/>
  <c r="AN656" i="9" s="1"/>
  <c r="N529" i="9"/>
  <c r="N530" i="9" s="1"/>
  <c r="N531" i="9" s="1"/>
  <c r="N532" i="9" s="1"/>
  <c r="N533" i="9" s="1"/>
  <c r="N534" i="9" s="1"/>
  <c r="N535" i="9" s="1"/>
  <c r="N536" i="9" s="1"/>
  <c r="N537" i="9" s="1"/>
  <c r="N538" i="9" s="1"/>
  <c r="N539" i="9" s="1"/>
  <c r="N540" i="9" s="1"/>
  <c r="N541" i="9" s="1"/>
  <c r="V526" i="9"/>
  <c r="Y529" i="9"/>
  <c r="Y530" i="9" s="1"/>
  <c r="Y531" i="9" s="1"/>
  <c r="Y532" i="9" s="1"/>
  <c r="Y533" i="9" s="1"/>
  <c r="Y534" i="9" s="1"/>
  <c r="Y535" i="9" s="1"/>
  <c r="Y536" i="9" s="1"/>
  <c r="Y537" i="9" s="1"/>
  <c r="Y538" i="9" s="1"/>
  <c r="Y539" i="9" s="1"/>
  <c r="AF582" i="9"/>
  <c r="Q514" i="10" l="1"/>
  <c r="S514" i="10" s="1"/>
  <c r="D14" i="2"/>
  <c r="AN4" i="9"/>
  <c r="AN3" i="9"/>
  <c r="AF583" i="9"/>
  <c r="U514" i="10" l="1"/>
  <c r="Z514" i="10" s="1"/>
  <c r="R514" i="10"/>
  <c r="V514" i="10"/>
  <c r="AA514" i="10" s="1"/>
  <c r="F14" i="2"/>
  <c r="E14" i="2"/>
  <c r="AU533" i="9"/>
  <c r="AF584" i="9"/>
  <c r="AD514" i="10" l="1"/>
  <c r="AJ526" i="9" s="1"/>
  <c r="AE514" i="10"/>
  <c r="AC514" i="10"/>
  <c r="AP526" i="9" s="1"/>
  <c r="AB514" i="10"/>
  <c r="S526" i="9" s="1"/>
  <c r="I515" i="10" s="1"/>
  <c r="AU534" i="9"/>
  <c r="AU535" i="9" s="1"/>
  <c r="AU536" i="9" s="1"/>
  <c r="AU537" i="9" s="1"/>
  <c r="AF585" i="9"/>
  <c r="J515" i="10" l="1"/>
  <c r="K515" i="10" s="1"/>
  <c r="AP527" i="9"/>
  <c r="AP528" i="9" s="1"/>
  <c r="AP529" i="9" s="1"/>
  <c r="AP530" i="9" s="1"/>
  <c r="AP531" i="9" s="1"/>
  <c r="AP532" i="9" s="1"/>
  <c r="AP533" i="9" s="1"/>
  <c r="AP534" i="9" s="1"/>
  <c r="AP535" i="9" s="1"/>
  <c r="AP536" i="9" s="1"/>
  <c r="AP537" i="9" s="1"/>
  <c r="AP538" i="9" s="1"/>
  <c r="AP539" i="9" s="1"/>
  <c r="AP540" i="9" s="1"/>
  <c r="AP541" i="9" s="1"/>
  <c r="AP542" i="9" s="1"/>
  <c r="AP543" i="9" s="1"/>
  <c r="AP544" i="9" s="1"/>
  <c r="AP545" i="9" s="1"/>
  <c r="AP546" i="9" s="1"/>
  <c r="AP547" i="9" s="1"/>
  <c r="AP548" i="9" s="1"/>
  <c r="AP549" i="9" s="1"/>
  <c r="AP550" i="9" s="1"/>
  <c r="AP551" i="9" s="1"/>
  <c r="AP552" i="9" s="1"/>
  <c r="AP553" i="9" s="1"/>
  <c r="AP554" i="9" s="1"/>
  <c r="AP555" i="9" s="1"/>
  <c r="AP556" i="9" s="1"/>
  <c r="AP557" i="9" s="1"/>
  <c r="AP558" i="9" s="1"/>
  <c r="AP559" i="9" s="1"/>
  <c r="AP560" i="9" s="1"/>
  <c r="AP561" i="9" s="1"/>
  <c r="AP562" i="9" s="1"/>
  <c r="AP563" i="9" s="1"/>
  <c r="AP564" i="9" s="1"/>
  <c r="AQ526" i="9"/>
  <c r="AG514" i="10"/>
  <c r="O515" i="10"/>
  <c r="AJ527" i="9"/>
  <c r="AJ528" i="9" s="1"/>
  <c r="AJ529" i="9" s="1"/>
  <c r="AJ530" i="9" s="1"/>
  <c r="AJ531" i="9" s="1"/>
  <c r="AJ532" i="9" s="1"/>
  <c r="AJ533" i="9" s="1"/>
  <c r="AJ534" i="9" s="1"/>
  <c r="AJ535" i="9" s="1"/>
  <c r="AJ536" i="9" s="1"/>
  <c r="AJ537" i="9" s="1"/>
  <c r="AJ538" i="9" s="1"/>
  <c r="AJ539" i="9" s="1"/>
  <c r="AJ540" i="9" s="1"/>
  <c r="AJ541" i="9" s="1"/>
  <c r="AJ542" i="9" s="1"/>
  <c r="AJ543" i="9" s="1"/>
  <c r="AJ544" i="9" s="1"/>
  <c r="AJ545" i="9" s="1"/>
  <c r="AJ546" i="9" s="1"/>
  <c r="AJ547" i="9" s="1"/>
  <c r="AJ548" i="9" s="1"/>
  <c r="AJ549" i="9" s="1"/>
  <c r="AJ550" i="9" s="1"/>
  <c r="AJ551" i="9" s="1"/>
  <c r="AJ552" i="9" s="1"/>
  <c r="AJ553" i="9" s="1"/>
  <c r="AJ554" i="9" s="1"/>
  <c r="AJ555" i="9" s="1"/>
  <c r="AJ556" i="9" s="1"/>
  <c r="AJ557" i="9" s="1"/>
  <c r="AJ558" i="9" s="1"/>
  <c r="AJ559" i="9" s="1"/>
  <c r="AJ560" i="9" s="1"/>
  <c r="AJ561" i="9" s="1"/>
  <c r="AJ562" i="9" s="1"/>
  <c r="AJ563" i="9" s="1"/>
  <c r="AJ564" i="9" s="1"/>
  <c r="Q528" i="9"/>
  <c r="J530" i="9"/>
  <c r="G530" i="9"/>
  <c r="AC530" i="9"/>
  <c r="AF586" i="9"/>
  <c r="AP2" i="9" l="1"/>
  <c r="D27" i="2" s="1"/>
  <c r="AP565" i="9"/>
  <c r="AP566" i="9" s="1"/>
  <c r="AP567" i="9" s="1"/>
  <c r="AP568" i="9" s="1"/>
  <c r="AP569" i="9" s="1"/>
  <c r="AP570" i="9" s="1"/>
  <c r="AP571" i="9" s="1"/>
  <c r="AP572" i="9" s="1"/>
  <c r="AP573" i="9" s="1"/>
  <c r="AP574" i="9" s="1"/>
  <c r="AP575" i="9" s="1"/>
  <c r="AP576" i="9" s="1"/>
  <c r="AP577" i="9" s="1"/>
  <c r="AP578" i="9" s="1"/>
  <c r="AP579" i="9" s="1"/>
  <c r="AP580" i="9" s="1"/>
  <c r="AP581" i="9" s="1"/>
  <c r="AP582" i="9" s="1"/>
  <c r="AP583" i="9" s="1"/>
  <c r="AP584" i="9" s="1"/>
  <c r="AP585" i="9" s="1"/>
  <c r="AP586" i="9" s="1"/>
  <c r="AP587" i="9" s="1"/>
  <c r="AP588" i="9" s="1"/>
  <c r="AP589" i="9" s="1"/>
  <c r="AP590" i="9" s="1"/>
  <c r="AP591" i="9" s="1"/>
  <c r="AP592" i="9" s="1"/>
  <c r="AP593" i="9" s="1"/>
  <c r="AP594" i="9" s="1"/>
  <c r="AP595" i="9" s="1"/>
  <c r="AP596" i="9" s="1"/>
  <c r="AP597" i="9" s="1"/>
  <c r="AP598" i="9" s="1"/>
  <c r="AP599" i="9" s="1"/>
  <c r="AP600" i="9" s="1"/>
  <c r="AP601" i="9" s="1"/>
  <c r="AP602" i="9" s="1"/>
  <c r="AP603" i="9" s="1"/>
  <c r="AP604" i="9" s="1"/>
  <c r="AP605" i="9" s="1"/>
  <c r="AP606" i="9" s="1"/>
  <c r="AP607" i="9" s="1"/>
  <c r="AP608" i="9" s="1"/>
  <c r="AP609" i="9" s="1"/>
  <c r="AP610" i="9" s="1"/>
  <c r="AP611" i="9" s="1"/>
  <c r="AP612" i="9" s="1"/>
  <c r="AP613" i="9" s="1"/>
  <c r="AP614" i="9" s="1"/>
  <c r="AP615" i="9" s="1"/>
  <c r="AP616" i="9" s="1"/>
  <c r="AP617" i="9" s="1"/>
  <c r="AP618" i="9" s="1"/>
  <c r="AP619" i="9" s="1"/>
  <c r="AP620" i="9" s="1"/>
  <c r="AP621" i="9" s="1"/>
  <c r="AP622" i="9" s="1"/>
  <c r="AP623" i="9" s="1"/>
  <c r="AP624" i="9" s="1"/>
  <c r="AP625" i="9" s="1"/>
  <c r="AP626" i="9" s="1"/>
  <c r="AP627" i="9" s="1"/>
  <c r="AP628" i="9" s="1"/>
  <c r="AP629" i="9" s="1"/>
  <c r="AP630" i="9" s="1"/>
  <c r="AP631" i="9" s="1"/>
  <c r="AP632" i="9" s="1"/>
  <c r="AP633" i="9" s="1"/>
  <c r="AP634" i="9" s="1"/>
  <c r="AP635" i="9" s="1"/>
  <c r="AP636" i="9" s="1"/>
  <c r="AP637" i="9" s="1"/>
  <c r="AP638" i="9" s="1"/>
  <c r="AP639" i="9" s="1"/>
  <c r="AP640" i="9" s="1"/>
  <c r="AP641" i="9" s="1"/>
  <c r="AP642" i="9" s="1"/>
  <c r="AP643" i="9" s="1"/>
  <c r="AP644" i="9" s="1"/>
  <c r="AP645" i="9" s="1"/>
  <c r="AP646" i="9" s="1"/>
  <c r="AP647" i="9" s="1"/>
  <c r="AP648" i="9" s="1"/>
  <c r="AP649" i="9" s="1"/>
  <c r="AP650" i="9" s="1"/>
  <c r="AP651" i="9" s="1"/>
  <c r="AP652" i="9" s="1"/>
  <c r="AP653" i="9" s="1"/>
  <c r="AP654" i="9" s="1"/>
  <c r="AP655" i="9" s="1"/>
  <c r="AP656" i="9" s="1"/>
  <c r="Q515" i="10"/>
  <c r="V515" i="10" s="1"/>
  <c r="AA515" i="10" s="1"/>
  <c r="L515" i="10"/>
  <c r="AJ565" i="9"/>
  <c r="AJ2" i="9"/>
  <c r="D20" i="2" s="1"/>
  <c r="M515" i="10"/>
  <c r="Q529" i="9"/>
  <c r="Q530" i="9" s="1"/>
  <c r="Q531" i="9" s="1"/>
  <c r="Q532" i="9" s="1"/>
  <c r="Q533" i="9" s="1"/>
  <c r="Q534" i="9" s="1"/>
  <c r="Q535" i="9" s="1"/>
  <c r="Q536" i="9" s="1"/>
  <c r="Q537" i="9" s="1"/>
  <c r="Q538" i="9" s="1"/>
  <c r="Q539" i="9" s="1"/>
  <c r="AF587" i="9"/>
  <c r="AJ566" i="9" l="1"/>
  <c r="U515" i="10"/>
  <c r="Z515" i="10" s="1"/>
  <c r="S515" i="10"/>
  <c r="AE515" i="10" s="1"/>
  <c r="AP3" i="9"/>
  <c r="E27" i="2" s="1"/>
  <c r="R515" i="10"/>
  <c r="AD515" i="10" s="1"/>
  <c r="E527" i="9" s="1"/>
  <c r="O516" i="10" s="1"/>
  <c r="AP4" i="9"/>
  <c r="F27" i="2" s="1"/>
  <c r="P517" i="10"/>
  <c r="AF588" i="9"/>
  <c r="AQ527" i="9" l="1"/>
  <c r="AG515" i="10"/>
  <c r="AE527" i="9"/>
  <c r="P516" i="10" s="1"/>
  <c r="Q516" i="10" s="1"/>
  <c r="R516" i="10" s="1"/>
  <c r="AB515" i="10"/>
  <c r="S527" i="9" s="1"/>
  <c r="I516" i="10" s="1"/>
  <c r="AC515" i="10"/>
  <c r="V527" i="9" s="1"/>
  <c r="J516" i="10" s="1"/>
  <c r="AJ567" i="9"/>
  <c r="AU538" i="9"/>
  <c r="AF589" i="9"/>
  <c r="AJ568" i="9" l="1"/>
  <c r="AJ569" i="9" s="1"/>
  <c r="AJ570" i="9" s="1"/>
  <c r="AJ571" i="9" s="1"/>
  <c r="AJ572" i="9" s="1"/>
  <c r="AJ573" i="9" s="1"/>
  <c r="AJ574" i="9" s="1"/>
  <c r="AJ575" i="9" s="1"/>
  <c r="AJ576" i="9" s="1"/>
  <c r="AJ577" i="9" s="1"/>
  <c r="AJ578" i="9" s="1"/>
  <c r="AJ579" i="9" s="1"/>
  <c r="AJ580" i="9" s="1"/>
  <c r="AJ581" i="9" s="1"/>
  <c r="AJ582" i="9" s="1"/>
  <c r="AJ583" i="9" s="1"/>
  <c r="AJ584" i="9" s="1"/>
  <c r="AJ585" i="9" s="1"/>
  <c r="AJ586" i="9" s="1"/>
  <c r="AJ587" i="9" s="1"/>
  <c r="AJ588" i="9" s="1"/>
  <c r="AJ589" i="9" s="1"/>
  <c r="AJ590" i="9" s="1"/>
  <c r="AJ591" i="9" s="1"/>
  <c r="AJ592" i="9" s="1"/>
  <c r="AJ593" i="9" s="1"/>
  <c r="AJ594" i="9" s="1"/>
  <c r="AJ595" i="9" s="1"/>
  <c r="AJ596" i="9" s="1"/>
  <c r="AJ597" i="9" s="1"/>
  <c r="AJ598" i="9" s="1"/>
  <c r="AJ599" i="9" s="1"/>
  <c r="AJ600" i="9" s="1"/>
  <c r="AJ601" i="9" s="1"/>
  <c r="AJ602" i="9" s="1"/>
  <c r="AJ603" i="9" s="1"/>
  <c r="AJ604" i="9" s="1"/>
  <c r="AJ605" i="9" s="1"/>
  <c r="AJ606" i="9" s="1"/>
  <c r="AJ607" i="9" s="1"/>
  <c r="AJ608" i="9" s="1"/>
  <c r="AJ609" i="9" s="1"/>
  <c r="AJ610" i="9" s="1"/>
  <c r="AJ611" i="9" s="1"/>
  <c r="AJ612" i="9" s="1"/>
  <c r="AJ613" i="9" s="1"/>
  <c r="AJ614" i="9" s="1"/>
  <c r="AJ615" i="9" s="1"/>
  <c r="AJ616" i="9" s="1"/>
  <c r="AJ617" i="9" s="1"/>
  <c r="AJ618" i="9" s="1"/>
  <c r="AJ619" i="9" s="1"/>
  <c r="AJ620" i="9" s="1"/>
  <c r="AJ621" i="9" s="1"/>
  <c r="AJ622" i="9" s="1"/>
  <c r="AJ623" i="9" s="1"/>
  <c r="AJ624" i="9" s="1"/>
  <c r="AJ625" i="9" s="1"/>
  <c r="AJ626" i="9" s="1"/>
  <c r="AJ627" i="9" s="1"/>
  <c r="AJ628" i="9" s="1"/>
  <c r="AJ629" i="9" s="1"/>
  <c r="AJ630" i="9" s="1"/>
  <c r="AJ631" i="9" s="1"/>
  <c r="AJ632" i="9" s="1"/>
  <c r="AJ633" i="9" s="1"/>
  <c r="AJ634" i="9" s="1"/>
  <c r="AJ635" i="9" s="1"/>
  <c r="AJ636" i="9" s="1"/>
  <c r="AJ637" i="9" s="1"/>
  <c r="AJ638" i="9" s="1"/>
  <c r="AJ639" i="9" s="1"/>
  <c r="AJ640" i="9" s="1"/>
  <c r="AJ641" i="9" s="1"/>
  <c r="AJ642" i="9" s="1"/>
  <c r="AJ643" i="9" s="1"/>
  <c r="AJ644" i="9" s="1"/>
  <c r="AJ645" i="9" s="1"/>
  <c r="AJ646" i="9" s="1"/>
  <c r="AJ647" i="9" s="1"/>
  <c r="AJ648" i="9" s="1"/>
  <c r="AJ649" i="9" s="1"/>
  <c r="AJ650" i="9" s="1"/>
  <c r="AJ651" i="9" s="1"/>
  <c r="AJ652" i="9" s="1"/>
  <c r="AJ653" i="9" s="1"/>
  <c r="AJ654" i="9" s="1"/>
  <c r="AJ655" i="9" s="1"/>
  <c r="AJ656" i="9" s="1"/>
  <c r="AJ3" i="9" s="1"/>
  <c r="E20" i="2" s="1"/>
  <c r="K516" i="10"/>
  <c r="L516" i="10" s="1"/>
  <c r="S516" i="10"/>
  <c r="AQ528" i="9"/>
  <c r="AQ529" i="9" s="1"/>
  <c r="AQ530" i="9" s="1"/>
  <c r="AQ531" i="9" s="1"/>
  <c r="AQ532" i="9" s="1"/>
  <c r="AQ533" i="9" s="1"/>
  <c r="AQ534" i="9" s="1"/>
  <c r="AQ535" i="9" s="1"/>
  <c r="AQ536" i="9" s="1"/>
  <c r="AQ537" i="9" s="1"/>
  <c r="AQ538" i="9" s="1"/>
  <c r="AQ539" i="9" s="1"/>
  <c r="AQ540" i="9" s="1"/>
  <c r="AQ541" i="9" s="1"/>
  <c r="AQ542" i="9" s="1"/>
  <c r="AQ543" i="9" s="1"/>
  <c r="AQ544" i="9" s="1"/>
  <c r="AQ545" i="9" s="1"/>
  <c r="AQ546" i="9" s="1"/>
  <c r="AQ547" i="9" s="1"/>
  <c r="AQ548" i="9" s="1"/>
  <c r="AQ549" i="9" s="1"/>
  <c r="AQ550" i="9" s="1"/>
  <c r="AQ551" i="9" s="1"/>
  <c r="AQ552" i="9" s="1"/>
  <c r="AQ553" i="9" s="1"/>
  <c r="AQ554" i="9" s="1"/>
  <c r="AQ555" i="9" s="1"/>
  <c r="AQ556" i="9" s="1"/>
  <c r="AQ557" i="9" s="1"/>
  <c r="AQ558" i="9" s="1"/>
  <c r="AQ559" i="9" s="1"/>
  <c r="AQ560" i="9" s="1"/>
  <c r="AQ561" i="9" s="1"/>
  <c r="AQ562" i="9" s="1"/>
  <c r="AQ563" i="9" s="1"/>
  <c r="AQ564" i="9" s="1"/>
  <c r="AC531" i="9"/>
  <c r="AC532" i="9" s="1"/>
  <c r="AC533" i="9" s="1"/>
  <c r="AF590" i="9"/>
  <c r="AJ4" i="9" l="1"/>
  <c r="F20" i="2" s="1"/>
  <c r="AQ2" i="9"/>
  <c r="D25" i="2" s="1"/>
  <c r="AQ565" i="9"/>
  <c r="U516" i="10"/>
  <c r="Z516" i="10" s="1"/>
  <c r="AB516" i="10" s="1"/>
  <c r="S528" i="9" s="1"/>
  <c r="I517" i="10" s="1"/>
  <c r="V516" i="10"/>
  <c r="AA516" i="10" s="1"/>
  <c r="M516" i="10"/>
  <c r="AC516" i="10" s="1"/>
  <c r="V528" i="9" s="1"/>
  <c r="J517" i="10" s="1"/>
  <c r="J531" i="9"/>
  <c r="J532" i="9" s="1"/>
  <c r="J533" i="9" s="1"/>
  <c r="J534" i="9" s="1"/>
  <c r="J535" i="9" s="1"/>
  <c r="J536" i="9" s="1"/>
  <c r="J537" i="9" s="1"/>
  <c r="J538" i="9" s="1"/>
  <c r="J539" i="9" s="1"/>
  <c r="J540" i="9" s="1"/>
  <c r="J541" i="9" s="1"/>
  <c r="J542" i="9" s="1"/>
  <c r="J543" i="9" s="1"/>
  <c r="J544" i="9" s="1"/>
  <c r="J545" i="9" s="1"/>
  <c r="J546" i="9" s="1"/>
  <c r="J547" i="9" s="1"/>
  <c r="J548" i="9" s="1"/>
  <c r="J549" i="9" s="1"/>
  <c r="J550" i="9" s="1"/>
  <c r="J551" i="9" s="1"/>
  <c r="J552" i="9" s="1"/>
  <c r="J553" i="9" s="1"/>
  <c r="J554" i="9" s="1"/>
  <c r="J555" i="9" s="1"/>
  <c r="J556" i="9" s="1"/>
  <c r="J557" i="9" s="1"/>
  <c r="J558" i="9" s="1"/>
  <c r="J559" i="9" s="1"/>
  <c r="J560" i="9" s="1"/>
  <c r="J561" i="9" s="1"/>
  <c r="J562" i="9" s="1"/>
  <c r="J563" i="9" s="1"/>
  <c r="J564" i="9" s="1"/>
  <c r="J2" i="9" s="1"/>
  <c r="G531" i="9"/>
  <c r="G532" i="9" s="1"/>
  <c r="G533" i="9" s="1"/>
  <c r="AF591" i="9"/>
  <c r="K517" i="10" l="1"/>
  <c r="M517" i="10" s="1"/>
  <c r="AD516" i="10"/>
  <c r="E528" i="9" s="1"/>
  <c r="O517" i="10" s="1"/>
  <c r="AE516" i="10"/>
  <c r="AQ566" i="9"/>
  <c r="AQ567" i="9" s="1"/>
  <c r="AQ568" i="9" s="1"/>
  <c r="AQ569" i="9" s="1"/>
  <c r="AQ570" i="9" s="1"/>
  <c r="AQ571" i="9" s="1"/>
  <c r="AQ572" i="9" s="1"/>
  <c r="AQ573" i="9" s="1"/>
  <c r="AQ574" i="9" s="1"/>
  <c r="AQ575" i="9" s="1"/>
  <c r="AQ576" i="9" s="1"/>
  <c r="AQ577" i="9" s="1"/>
  <c r="AQ578" i="9" s="1"/>
  <c r="AQ579" i="9" s="1"/>
  <c r="AQ580" i="9" s="1"/>
  <c r="AQ581" i="9" s="1"/>
  <c r="AQ582" i="9" s="1"/>
  <c r="AQ583" i="9" s="1"/>
  <c r="AQ584" i="9" s="1"/>
  <c r="AQ585" i="9" s="1"/>
  <c r="AQ586" i="9" s="1"/>
  <c r="AQ587" i="9" s="1"/>
  <c r="AQ588" i="9" s="1"/>
  <c r="AQ589" i="9" s="1"/>
  <c r="AQ590" i="9" s="1"/>
  <c r="AQ591" i="9" s="1"/>
  <c r="AQ592" i="9" s="1"/>
  <c r="AQ593" i="9" s="1"/>
  <c r="AQ594" i="9" s="1"/>
  <c r="AQ595" i="9" s="1"/>
  <c r="AQ596" i="9" s="1"/>
  <c r="AQ597" i="9" s="1"/>
  <c r="AQ598" i="9" s="1"/>
  <c r="AQ599" i="9" s="1"/>
  <c r="AQ600" i="9" s="1"/>
  <c r="AQ601" i="9" s="1"/>
  <c r="AQ602" i="9" s="1"/>
  <c r="AQ603" i="9" s="1"/>
  <c r="AQ604" i="9" s="1"/>
  <c r="AQ605" i="9" s="1"/>
  <c r="AQ606" i="9" s="1"/>
  <c r="AQ607" i="9" s="1"/>
  <c r="AQ608" i="9" s="1"/>
  <c r="AQ609" i="9" s="1"/>
  <c r="AQ610" i="9" s="1"/>
  <c r="AQ611" i="9" s="1"/>
  <c r="AQ612" i="9" s="1"/>
  <c r="AQ613" i="9" s="1"/>
  <c r="AQ614" i="9" s="1"/>
  <c r="AQ615" i="9" s="1"/>
  <c r="AQ616" i="9" s="1"/>
  <c r="AQ617" i="9" s="1"/>
  <c r="AQ618" i="9" s="1"/>
  <c r="AQ619" i="9" s="1"/>
  <c r="AQ620" i="9" s="1"/>
  <c r="AQ621" i="9" s="1"/>
  <c r="AQ622" i="9" s="1"/>
  <c r="AQ623" i="9" s="1"/>
  <c r="AQ624" i="9" s="1"/>
  <c r="AQ625" i="9" s="1"/>
  <c r="AQ626" i="9" s="1"/>
  <c r="AQ627" i="9" s="1"/>
  <c r="AQ628" i="9" s="1"/>
  <c r="AQ629" i="9" s="1"/>
  <c r="AQ630" i="9" s="1"/>
  <c r="AQ631" i="9" s="1"/>
  <c r="AQ632" i="9" s="1"/>
  <c r="AQ633" i="9" s="1"/>
  <c r="AQ634" i="9" s="1"/>
  <c r="AQ635" i="9" s="1"/>
  <c r="AQ636" i="9" s="1"/>
  <c r="AQ637" i="9" s="1"/>
  <c r="AQ638" i="9" s="1"/>
  <c r="AQ639" i="9" s="1"/>
  <c r="AQ640" i="9" s="1"/>
  <c r="AQ641" i="9" s="1"/>
  <c r="AQ642" i="9" s="1"/>
  <c r="AQ643" i="9" s="1"/>
  <c r="AQ644" i="9" s="1"/>
  <c r="AQ645" i="9" s="1"/>
  <c r="AQ646" i="9" s="1"/>
  <c r="AQ647" i="9" s="1"/>
  <c r="AQ648" i="9" s="1"/>
  <c r="AQ649" i="9" s="1"/>
  <c r="AQ650" i="9" s="1"/>
  <c r="AQ651" i="9" s="1"/>
  <c r="AQ652" i="9" s="1"/>
  <c r="AQ653" i="9" s="1"/>
  <c r="AQ654" i="9" s="1"/>
  <c r="AQ655" i="9" s="1"/>
  <c r="AQ656" i="9" s="1"/>
  <c r="J565" i="9"/>
  <c r="J566" i="9" s="1"/>
  <c r="J567" i="9" s="1"/>
  <c r="J568" i="9" s="1"/>
  <c r="J569" i="9" s="1"/>
  <c r="J570" i="9" s="1"/>
  <c r="J571" i="9" s="1"/>
  <c r="J572" i="9" s="1"/>
  <c r="J573" i="9" s="1"/>
  <c r="J574" i="9" s="1"/>
  <c r="J575" i="9" s="1"/>
  <c r="J576" i="9" s="1"/>
  <c r="J577" i="9" s="1"/>
  <c r="J578" i="9" s="1"/>
  <c r="J579" i="9" s="1"/>
  <c r="J580" i="9" s="1"/>
  <c r="J581" i="9" s="1"/>
  <c r="J582" i="9" s="1"/>
  <c r="J583" i="9" s="1"/>
  <c r="J584" i="9" s="1"/>
  <c r="J585" i="9" s="1"/>
  <c r="J586" i="9" s="1"/>
  <c r="J587" i="9" s="1"/>
  <c r="J588" i="9" s="1"/>
  <c r="J589" i="9" s="1"/>
  <c r="J590" i="9" s="1"/>
  <c r="J591" i="9" s="1"/>
  <c r="J592" i="9" s="1"/>
  <c r="J593" i="9" s="1"/>
  <c r="J594" i="9" s="1"/>
  <c r="J595" i="9" s="1"/>
  <c r="J596" i="9" s="1"/>
  <c r="J597" i="9" s="1"/>
  <c r="J598" i="9" s="1"/>
  <c r="J599" i="9" s="1"/>
  <c r="J600" i="9" s="1"/>
  <c r="J601" i="9" s="1"/>
  <c r="J602" i="9" s="1"/>
  <c r="J603" i="9" s="1"/>
  <c r="J604" i="9" s="1"/>
  <c r="J605" i="9" s="1"/>
  <c r="J606" i="9" s="1"/>
  <c r="J607" i="9" s="1"/>
  <c r="J608" i="9" s="1"/>
  <c r="J609" i="9" s="1"/>
  <c r="J610" i="9" s="1"/>
  <c r="J611" i="9" s="1"/>
  <c r="J612" i="9" s="1"/>
  <c r="J613" i="9" s="1"/>
  <c r="J614" i="9" s="1"/>
  <c r="J615" i="9" s="1"/>
  <c r="J616" i="9" s="1"/>
  <c r="J617" i="9" s="1"/>
  <c r="J618" i="9" s="1"/>
  <c r="J619" i="9" s="1"/>
  <c r="J620" i="9" s="1"/>
  <c r="J621" i="9" s="1"/>
  <c r="J622" i="9" s="1"/>
  <c r="J623" i="9" s="1"/>
  <c r="J624" i="9" s="1"/>
  <c r="J625" i="9" s="1"/>
  <c r="J626" i="9" s="1"/>
  <c r="J627" i="9" s="1"/>
  <c r="J628" i="9" s="1"/>
  <c r="J629" i="9" s="1"/>
  <c r="J630" i="9" s="1"/>
  <c r="J631" i="9" s="1"/>
  <c r="J632" i="9" s="1"/>
  <c r="J633" i="9" s="1"/>
  <c r="J634" i="9" s="1"/>
  <c r="J635" i="9" s="1"/>
  <c r="J636" i="9" s="1"/>
  <c r="J637" i="9" s="1"/>
  <c r="J638" i="9" s="1"/>
  <c r="J639" i="9" s="1"/>
  <c r="J640" i="9" s="1"/>
  <c r="J641" i="9" s="1"/>
  <c r="J642" i="9" s="1"/>
  <c r="J643" i="9" s="1"/>
  <c r="J644" i="9" s="1"/>
  <c r="J645" i="9" s="1"/>
  <c r="J646" i="9" s="1"/>
  <c r="J647" i="9" s="1"/>
  <c r="J648" i="9" s="1"/>
  <c r="J649" i="9" s="1"/>
  <c r="J650" i="9" s="1"/>
  <c r="J651" i="9" s="1"/>
  <c r="J652" i="9" s="1"/>
  <c r="J653" i="9" s="1"/>
  <c r="J654" i="9" s="1"/>
  <c r="J655" i="9" s="1"/>
  <c r="J656" i="9" s="1"/>
  <c r="AF592" i="9"/>
  <c r="AG516" i="10" l="1"/>
  <c r="AE528" i="9"/>
  <c r="AE529" i="9" s="1"/>
  <c r="AE530" i="9" s="1"/>
  <c r="AE531" i="9" s="1"/>
  <c r="AE532" i="9" s="1"/>
  <c r="AE533" i="9" s="1"/>
  <c r="AE534" i="9" s="1"/>
  <c r="AE535" i="9" s="1"/>
  <c r="AE536" i="9" s="1"/>
  <c r="AE537" i="9" s="1"/>
  <c r="AE538" i="9" s="1"/>
  <c r="Q517" i="10"/>
  <c r="V517" i="10" s="1"/>
  <c r="AA517" i="10" s="1"/>
  <c r="AQ4" i="9"/>
  <c r="F25" i="2" s="1"/>
  <c r="AQ3" i="9"/>
  <c r="E25" i="2" s="1"/>
  <c r="L517" i="10"/>
  <c r="AU539" i="9"/>
  <c r="AU540" i="9" s="1"/>
  <c r="AU541" i="9" s="1"/>
  <c r="AU542" i="9" s="1"/>
  <c r="AU543" i="9" s="1"/>
  <c r="AU544" i="9" s="1"/>
  <c r="AU545" i="9" s="1"/>
  <c r="AU546" i="9" s="1"/>
  <c r="AU547" i="9" s="1"/>
  <c r="AU548" i="9" s="1"/>
  <c r="AU549" i="9" s="1"/>
  <c r="AU550" i="9" s="1"/>
  <c r="AU551" i="9" s="1"/>
  <c r="AU552" i="9" s="1"/>
  <c r="AU553" i="9" s="1"/>
  <c r="AU554" i="9" s="1"/>
  <c r="AU555" i="9" s="1"/>
  <c r="AU556" i="9" s="1"/>
  <c r="AU557" i="9" s="1"/>
  <c r="AU558" i="9" s="1"/>
  <c r="AU559" i="9" s="1"/>
  <c r="AU560" i="9" s="1"/>
  <c r="AU561" i="9" s="1"/>
  <c r="AU562" i="9" s="1"/>
  <c r="AU563" i="9" s="1"/>
  <c r="AU564" i="9" s="1"/>
  <c r="J4" i="9"/>
  <c r="J3" i="9"/>
  <c r="AF593" i="9"/>
  <c r="R517" i="10" l="1"/>
  <c r="AD517" i="10" s="1"/>
  <c r="E529" i="9" s="1"/>
  <c r="O518" i="10" s="1"/>
  <c r="S517" i="10"/>
  <c r="AE517" i="10" s="1"/>
  <c r="U517" i="10"/>
  <c r="Z517" i="10" s="1"/>
  <c r="D31" i="2"/>
  <c r="J519" i="10"/>
  <c r="AU565" i="9"/>
  <c r="AU566" i="9" s="1"/>
  <c r="AU567" i="9" s="1"/>
  <c r="AU568" i="9" s="1"/>
  <c r="AU569" i="9" s="1"/>
  <c r="AU570" i="9" s="1"/>
  <c r="AU571" i="9" s="1"/>
  <c r="AU572" i="9" s="1"/>
  <c r="AU573" i="9" s="1"/>
  <c r="AU574" i="9" s="1"/>
  <c r="AU575" i="9" s="1"/>
  <c r="AU576" i="9" s="1"/>
  <c r="AU577" i="9" s="1"/>
  <c r="AU578" i="9" s="1"/>
  <c r="AU579" i="9" s="1"/>
  <c r="AU580" i="9" s="1"/>
  <c r="AU581" i="9" s="1"/>
  <c r="AU582" i="9" s="1"/>
  <c r="AU583" i="9" s="1"/>
  <c r="AU584" i="9" s="1"/>
  <c r="AU585" i="9" s="1"/>
  <c r="AU586" i="9" s="1"/>
  <c r="AU587" i="9" s="1"/>
  <c r="AU588" i="9" s="1"/>
  <c r="AU589" i="9" s="1"/>
  <c r="AU590" i="9" s="1"/>
  <c r="AU591" i="9" s="1"/>
  <c r="AU592" i="9" s="1"/>
  <c r="AU593" i="9" s="1"/>
  <c r="AU594" i="9" s="1"/>
  <c r="AU595" i="9" s="1"/>
  <c r="AU596" i="9" s="1"/>
  <c r="AU597" i="9" s="1"/>
  <c r="AU598" i="9" s="1"/>
  <c r="AU599" i="9" s="1"/>
  <c r="AU600" i="9" s="1"/>
  <c r="AU601" i="9" s="1"/>
  <c r="AU602" i="9" s="1"/>
  <c r="AU603" i="9" s="1"/>
  <c r="AU604" i="9" s="1"/>
  <c r="AU605" i="9" s="1"/>
  <c r="AU606" i="9" s="1"/>
  <c r="AU607" i="9" s="1"/>
  <c r="AU608" i="9" s="1"/>
  <c r="AU609" i="9" s="1"/>
  <c r="AU610" i="9" s="1"/>
  <c r="AU611" i="9" s="1"/>
  <c r="AU612" i="9" s="1"/>
  <c r="AU613" i="9" s="1"/>
  <c r="AU614" i="9" s="1"/>
  <c r="AU615" i="9" s="1"/>
  <c r="AU616" i="9" s="1"/>
  <c r="AU617" i="9" s="1"/>
  <c r="AU618" i="9" s="1"/>
  <c r="AU619" i="9" s="1"/>
  <c r="AU620" i="9" s="1"/>
  <c r="AU621" i="9" s="1"/>
  <c r="AU622" i="9" s="1"/>
  <c r="AU623" i="9" s="1"/>
  <c r="AU624" i="9" s="1"/>
  <c r="AU625" i="9" s="1"/>
  <c r="AU626" i="9" s="1"/>
  <c r="AU627" i="9" s="1"/>
  <c r="AU628" i="9" s="1"/>
  <c r="AU629" i="9" s="1"/>
  <c r="AU630" i="9" s="1"/>
  <c r="AU631" i="9" s="1"/>
  <c r="AU632" i="9" s="1"/>
  <c r="AU633" i="9" s="1"/>
  <c r="AU634" i="9" s="1"/>
  <c r="AU635" i="9" s="1"/>
  <c r="AU636" i="9" s="1"/>
  <c r="AU637" i="9" s="1"/>
  <c r="AU638" i="9" s="1"/>
  <c r="AU639" i="9" s="1"/>
  <c r="AU640" i="9" s="1"/>
  <c r="AU641" i="9" s="1"/>
  <c r="AU642" i="9" s="1"/>
  <c r="AU643" i="9" s="1"/>
  <c r="AU644" i="9" s="1"/>
  <c r="AU645" i="9" s="1"/>
  <c r="AU646" i="9" s="1"/>
  <c r="AU647" i="9" s="1"/>
  <c r="AU648" i="9" s="1"/>
  <c r="AU649" i="9" s="1"/>
  <c r="AU650" i="9" s="1"/>
  <c r="AU651" i="9" s="1"/>
  <c r="AU652" i="9" s="1"/>
  <c r="AU653" i="9" s="1"/>
  <c r="AU654" i="9" s="1"/>
  <c r="AU655" i="9" s="1"/>
  <c r="AU656" i="9" s="1"/>
  <c r="AU2" i="9"/>
  <c r="D16" i="2" s="1"/>
  <c r="AF594" i="9"/>
  <c r="AL529" i="9" l="1"/>
  <c r="P518" i="10" s="1"/>
  <c r="Q518" i="10" s="1"/>
  <c r="AG517" i="10"/>
  <c r="AB517" i="10"/>
  <c r="AC517" i="10"/>
  <c r="E31" i="2"/>
  <c r="F31" i="2"/>
  <c r="AC534" i="9"/>
  <c r="AU3" i="9"/>
  <c r="E16" i="2" s="1"/>
  <c r="AU4" i="9"/>
  <c r="F16" i="2" s="1"/>
  <c r="G534" i="9"/>
  <c r="AF595" i="9"/>
  <c r="V529" i="9" l="1"/>
  <c r="V530" i="9" s="1"/>
  <c r="V531" i="9" s="1"/>
  <c r="V532" i="9" s="1"/>
  <c r="V533" i="9" s="1"/>
  <c r="V534" i="9" s="1"/>
  <c r="L529" i="9"/>
  <c r="J518" i="10" s="1"/>
  <c r="S529" i="9"/>
  <c r="S530" i="9" s="1"/>
  <c r="S531" i="9" s="1"/>
  <c r="S532" i="9" s="1"/>
  <c r="S533" i="9" s="1"/>
  <c r="S534" i="9" s="1"/>
  <c r="S535" i="9" s="1"/>
  <c r="S536" i="9" s="1"/>
  <c r="S537" i="9" s="1"/>
  <c r="S538" i="9" s="1"/>
  <c r="S539" i="9" s="1"/>
  <c r="S540" i="9" s="1"/>
  <c r="I529" i="9"/>
  <c r="I518" i="10" s="1"/>
  <c r="R518" i="10"/>
  <c r="S518" i="10"/>
  <c r="AF596" i="9"/>
  <c r="K518" i="10" l="1"/>
  <c r="L518" i="10" s="1"/>
  <c r="AF597" i="9"/>
  <c r="M518" i="10" l="1"/>
  <c r="V518" i="10"/>
  <c r="AA518" i="10" s="1"/>
  <c r="U518" i="10"/>
  <c r="Z518" i="10" s="1"/>
  <c r="V535" i="9"/>
  <c r="V536" i="9" s="1"/>
  <c r="V537" i="9" s="1"/>
  <c r="V538" i="9" s="1"/>
  <c r="AF598" i="9"/>
  <c r="AB518" i="10" l="1"/>
  <c r="I530" i="9" s="1"/>
  <c r="I519" i="10" s="1"/>
  <c r="K519" i="10" s="1"/>
  <c r="AC518" i="10"/>
  <c r="L530" i="9" s="1"/>
  <c r="AD518" i="10"/>
  <c r="E530" i="9" s="1"/>
  <c r="O519" i="10" s="1"/>
  <c r="AE518" i="10"/>
  <c r="J527" i="10"/>
  <c r="AC535" i="9"/>
  <c r="AC536" i="9" s="1"/>
  <c r="AC537" i="9" s="1"/>
  <c r="AC538" i="9" s="1"/>
  <c r="AC539" i="9" s="1"/>
  <c r="G535" i="9"/>
  <c r="AF599" i="9"/>
  <c r="AG518" i="10" l="1"/>
  <c r="AL530" i="9"/>
  <c r="L519" i="10"/>
  <c r="M519" i="10"/>
  <c r="G536" i="9"/>
  <c r="G537" i="9" s="1"/>
  <c r="G538" i="9" s="1"/>
  <c r="G539" i="9" s="1"/>
  <c r="G540" i="9" s="1"/>
  <c r="G541" i="9" s="1"/>
  <c r="G542" i="9" s="1"/>
  <c r="G543" i="9" s="1"/>
  <c r="G544" i="9" s="1"/>
  <c r="G545" i="9" s="1"/>
  <c r="G546" i="9" s="1"/>
  <c r="G547" i="9" s="1"/>
  <c r="G548" i="9" s="1"/>
  <c r="G549" i="9" s="1"/>
  <c r="G550" i="9" s="1"/>
  <c r="G551" i="9" s="1"/>
  <c r="G552" i="9" s="1"/>
  <c r="G553" i="9" s="1"/>
  <c r="G554" i="9" s="1"/>
  <c r="G555" i="9" s="1"/>
  <c r="G556" i="9" s="1"/>
  <c r="G557" i="9" s="1"/>
  <c r="G558" i="9" s="1"/>
  <c r="G559" i="9" s="1"/>
  <c r="G560" i="9" s="1"/>
  <c r="G561" i="9" s="1"/>
  <c r="G562" i="9" s="1"/>
  <c r="G563" i="9" s="1"/>
  <c r="G564" i="9" s="1"/>
  <c r="AF600" i="9"/>
  <c r="P519" i="10" l="1"/>
  <c r="AL531" i="9"/>
  <c r="AL532" i="9" s="1"/>
  <c r="O536" i="9"/>
  <c r="G2" i="9"/>
  <c r="D13" i="2" s="1"/>
  <c r="G565" i="9"/>
  <c r="G566" i="9" s="1"/>
  <c r="G567" i="9" s="1"/>
  <c r="G568" i="9" s="1"/>
  <c r="G569" i="9" s="1"/>
  <c r="G570" i="9" s="1"/>
  <c r="G571" i="9" s="1"/>
  <c r="G572" i="9" s="1"/>
  <c r="G573" i="9" s="1"/>
  <c r="G574" i="9" s="1"/>
  <c r="G575" i="9" s="1"/>
  <c r="G576" i="9" s="1"/>
  <c r="G577" i="9" s="1"/>
  <c r="G578" i="9" s="1"/>
  <c r="G579" i="9" s="1"/>
  <c r="G580" i="9" s="1"/>
  <c r="G581" i="9" s="1"/>
  <c r="G582" i="9" s="1"/>
  <c r="G583" i="9" s="1"/>
  <c r="G584" i="9" s="1"/>
  <c r="G585" i="9" s="1"/>
  <c r="G586" i="9" s="1"/>
  <c r="G587" i="9" s="1"/>
  <c r="G588" i="9" s="1"/>
  <c r="G589" i="9" s="1"/>
  <c r="G590" i="9" s="1"/>
  <c r="G591" i="9" s="1"/>
  <c r="G592" i="9" s="1"/>
  <c r="G593" i="9" s="1"/>
  <c r="G594" i="9" s="1"/>
  <c r="G595" i="9" s="1"/>
  <c r="G596" i="9" s="1"/>
  <c r="G597" i="9" s="1"/>
  <c r="G598" i="9" s="1"/>
  <c r="G599" i="9" s="1"/>
  <c r="G600" i="9" s="1"/>
  <c r="G601" i="9" s="1"/>
  <c r="G602" i="9" s="1"/>
  <c r="G603" i="9" s="1"/>
  <c r="G604" i="9" s="1"/>
  <c r="G605" i="9" s="1"/>
  <c r="G606" i="9" s="1"/>
  <c r="G607" i="9" s="1"/>
  <c r="G608" i="9" s="1"/>
  <c r="G609" i="9" s="1"/>
  <c r="G610" i="9" s="1"/>
  <c r="G611" i="9" s="1"/>
  <c r="G612" i="9" s="1"/>
  <c r="G613" i="9" s="1"/>
  <c r="G614" i="9" s="1"/>
  <c r="G615" i="9" s="1"/>
  <c r="G616" i="9" s="1"/>
  <c r="G617" i="9" s="1"/>
  <c r="G618" i="9" s="1"/>
  <c r="G619" i="9" s="1"/>
  <c r="G620" i="9" s="1"/>
  <c r="G621" i="9" s="1"/>
  <c r="G622" i="9" s="1"/>
  <c r="G623" i="9" s="1"/>
  <c r="G624" i="9" s="1"/>
  <c r="G625" i="9" s="1"/>
  <c r="G626" i="9" s="1"/>
  <c r="G627" i="9" s="1"/>
  <c r="G628" i="9" s="1"/>
  <c r="G629" i="9" s="1"/>
  <c r="G630" i="9" s="1"/>
  <c r="G631" i="9" s="1"/>
  <c r="G632" i="9" s="1"/>
  <c r="G633" i="9" s="1"/>
  <c r="G634" i="9" s="1"/>
  <c r="G635" i="9" s="1"/>
  <c r="AF601" i="9"/>
  <c r="O521" i="10" l="1"/>
  <c r="Q519" i="10"/>
  <c r="S519" i="10" s="1"/>
  <c r="G636" i="9"/>
  <c r="AF602" i="9"/>
  <c r="R519" i="10" l="1"/>
  <c r="U519" i="10"/>
  <c r="Z519" i="10" s="1"/>
  <c r="V519" i="10"/>
  <c r="AA519" i="10" s="1"/>
  <c r="G637" i="9"/>
  <c r="AF603" i="9"/>
  <c r="AD519" i="10" l="1"/>
  <c r="AE519" i="10"/>
  <c r="AC519" i="10"/>
  <c r="AB519" i="10"/>
  <c r="O537" i="9"/>
  <c r="O538" i="9" s="1"/>
  <c r="O539" i="9" s="1"/>
  <c r="O540" i="9" s="1"/>
  <c r="O541" i="9" s="1"/>
  <c r="O542" i="9" s="1"/>
  <c r="O543" i="9" s="1"/>
  <c r="O544" i="9" s="1"/>
  <c r="O545" i="9" s="1"/>
  <c r="O546" i="9" s="1"/>
  <c r="O547" i="9" s="1"/>
  <c r="O548" i="9" s="1"/>
  <c r="O549" i="9" s="1"/>
  <c r="O550" i="9" s="1"/>
  <c r="O551" i="9" s="1"/>
  <c r="O552" i="9" s="1"/>
  <c r="O553" i="9" s="1"/>
  <c r="O554" i="9" s="1"/>
  <c r="O555" i="9" s="1"/>
  <c r="O556" i="9" s="1"/>
  <c r="O557" i="9" s="1"/>
  <c r="O558" i="9" s="1"/>
  <c r="O559" i="9" s="1"/>
  <c r="O560" i="9" s="1"/>
  <c r="O561" i="9" s="1"/>
  <c r="O562" i="9" s="1"/>
  <c r="O563" i="9" s="1"/>
  <c r="O564" i="9" s="1"/>
  <c r="G638" i="9"/>
  <c r="AF604" i="9"/>
  <c r="I531" i="9" l="1"/>
  <c r="I532" i="9" s="1"/>
  <c r="AA531" i="9"/>
  <c r="L531" i="9"/>
  <c r="D531" i="9"/>
  <c r="R531" i="9"/>
  <c r="AG519" i="10"/>
  <c r="E531" i="9"/>
  <c r="E532" i="9" s="1"/>
  <c r="E533" i="9" s="1"/>
  <c r="E534" i="9" s="1"/>
  <c r="AG531" i="9"/>
  <c r="O2" i="9"/>
  <c r="O565" i="9"/>
  <c r="O566" i="9" s="1"/>
  <c r="O567" i="9" s="1"/>
  <c r="O568" i="9" s="1"/>
  <c r="O569" i="9" s="1"/>
  <c r="O570" i="9" s="1"/>
  <c r="O571" i="9" s="1"/>
  <c r="O572" i="9" s="1"/>
  <c r="O573" i="9" s="1"/>
  <c r="O574" i="9" s="1"/>
  <c r="O575" i="9" s="1"/>
  <c r="O576" i="9" s="1"/>
  <c r="O577" i="9" s="1"/>
  <c r="O578" i="9" s="1"/>
  <c r="O579" i="9" s="1"/>
  <c r="O580" i="9" s="1"/>
  <c r="O581" i="9" s="1"/>
  <c r="O582" i="9" s="1"/>
  <c r="O583" i="9" s="1"/>
  <c r="O584" i="9" s="1"/>
  <c r="O585" i="9" s="1"/>
  <c r="O586" i="9" s="1"/>
  <c r="O587" i="9" s="1"/>
  <c r="O588" i="9" s="1"/>
  <c r="O589" i="9" s="1"/>
  <c r="O590" i="9" s="1"/>
  <c r="O591" i="9" s="1"/>
  <c r="O592" i="9" s="1"/>
  <c r="O593" i="9" s="1"/>
  <c r="O594" i="9" s="1"/>
  <c r="O595" i="9" s="1"/>
  <c r="O596" i="9" s="1"/>
  <c r="O597" i="9" s="1"/>
  <c r="O598" i="9" s="1"/>
  <c r="O599" i="9" s="1"/>
  <c r="O600" i="9" s="1"/>
  <c r="O601" i="9" s="1"/>
  <c r="O602" i="9" s="1"/>
  <c r="O603" i="9" s="1"/>
  <c r="O604" i="9" s="1"/>
  <c r="O605" i="9" s="1"/>
  <c r="G639" i="9"/>
  <c r="AF605" i="9"/>
  <c r="J520" i="10" l="1"/>
  <c r="L532" i="9"/>
  <c r="L533" i="9" s="1"/>
  <c r="L534" i="9" s="1"/>
  <c r="L535" i="9" s="1"/>
  <c r="L536" i="9" s="1"/>
  <c r="L537" i="9" s="1"/>
  <c r="L538" i="9" s="1"/>
  <c r="L539" i="9" s="1"/>
  <c r="L540" i="9" s="1"/>
  <c r="L541" i="9" s="1"/>
  <c r="L542" i="9" s="1"/>
  <c r="L543" i="9" s="1"/>
  <c r="L544" i="9" s="1"/>
  <c r="L545" i="9" s="1"/>
  <c r="L546" i="9" s="1"/>
  <c r="L547" i="9" s="1"/>
  <c r="L548" i="9" s="1"/>
  <c r="L549" i="9" s="1"/>
  <c r="L550" i="9" s="1"/>
  <c r="L551" i="9" s="1"/>
  <c r="L552" i="9" s="1"/>
  <c r="L553" i="9" s="1"/>
  <c r="L554" i="9" s="1"/>
  <c r="L555" i="9" s="1"/>
  <c r="L556" i="9" s="1"/>
  <c r="L557" i="9" s="1"/>
  <c r="L558" i="9" s="1"/>
  <c r="L559" i="9" s="1"/>
  <c r="L560" i="9" s="1"/>
  <c r="L561" i="9" s="1"/>
  <c r="L562" i="9" s="1"/>
  <c r="L563" i="9" s="1"/>
  <c r="L564" i="9" s="1"/>
  <c r="O520" i="10"/>
  <c r="I520" i="10"/>
  <c r="O523" i="10"/>
  <c r="P520" i="10"/>
  <c r="P521" i="10"/>
  <c r="D43" i="2"/>
  <c r="D49" i="2"/>
  <c r="G640" i="9"/>
  <c r="O606" i="9"/>
  <c r="AF606" i="9"/>
  <c r="K520" i="10" l="1"/>
  <c r="L520" i="10" s="1"/>
  <c r="L565" i="9"/>
  <c r="L2" i="9"/>
  <c r="D28" i="2" s="1"/>
  <c r="Q521" i="10"/>
  <c r="Q520" i="10"/>
  <c r="R520" i="10" s="1"/>
  <c r="D32" i="2"/>
  <c r="G641" i="9"/>
  <c r="AF607" i="9"/>
  <c r="O607" i="9"/>
  <c r="M520" i="10" l="1"/>
  <c r="U520" i="10"/>
  <c r="Z520" i="10" s="1"/>
  <c r="AB520" i="10" s="1"/>
  <c r="AA532" i="9" s="1"/>
  <c r="S520" i="10"/>
  <c r="R521" i="10"/>
  <c r="S521" i="10"/>
  <c r="V520" i="10"/>
  <c r="AA520" i="10" s="1"/>
  <c r="L566" i="9"/>
  <c r="G642" i="9"/>
  <c r="O608" i="9"/>
  <c r="AF608" i="9"/>
  <c r="AC520" i="10" l="1"/>
  <c r="D532" i="9" s="1"/>
  <c r="I521" i="10"/>
  <c r="L567" i="9"/>
  <c r="L568" i="9" s="1"/>
  <c r="L569" i="9" s="1"/>
  <c r="L570" i="9" s="1"/>
  <c r="L571" i="9" s="1"/>
  <c r="L572" i="9" s="1"/>
  <c r="L573" i="9" s="1"/>
  <c r="L574" i="9" s="1"/>
  <c r="L575" i="9" s="1"/>
  <c r="L576" i="9" s="1"/>
  <c r="L577" i="9" s="1"/>
  <c r="L578" i="9" s="1"/>
  <c r="L579" i="9" s="1"/>
  <c r="L580" i="9" s="1"/>
  <c r="L581" i="9" s="1"/>
  <c r="L582" i="9" s="1"/>
  <c r="L583" i="9" s="1"/>
  <c r="L584" i="9" s="1"/>
  <c r="L585" i="9" s="1"/>
  <c r="L586" i="9" s="1"/>
  <c r="L587" i="9" s="1"/>
  <c r="L588" i="9" s="1"/>
  <c r="L589" i="9" s="1"/>
  <c r="L590" i="9" s="1"/>
  <c r="L591" i="9" s="1"/>
  <c r="L592" i="9" s="1"/>
  <c r="L593" i="9" s="1"/>
  <c r="L594" i="9" s="1"/>
  <c r="L595" i="9" s="1"/>
  <c r="L596" i="9" s="1"/>
  <c r="L597" i="9" s="1"/>
  <c r="L598" i="9" s="1"/>
  <c r="L599" i="9" s="1"/>
  <c r="L600" i="9" s="1"/>
  <c r="L601" i="9" s="1"/>
  <c r="L602" i="9" s="1"/>
  <c r="L603" i="9" s="1"/>
  <c r="L604" i="9" s="1"/>
  <c r="L605" i="9" s="1"/>
  <c r="L606" i="9" s="1"/>
  <c r="L607" i="9" s="1"/>
  <c r="L608" i="9" s="1"/>
  <c r="L609" i="9" s="1"/>
  <c r="L610" i="9" s="1"/>
  <c r="L611" i="9" s="1"/>
  <c r="L612" i="9" s="1"/>
  <c r="L613" i="9" s="1"/>
  <c r="L614" i="9" s="1"/>
  <c r="L615" i="9" s="1"/>
  <c r="L616" i="9" s="1"/>
  <c r="L617" i="9" s="1"/>
  <c r="L618" i="9" s="1"/>
  <c r="L619" i="9" s="1"/>
  <c r="L620" i="9" s="1"/>
  <c r="L621" i="9" s="1"/>
  <c r="L622" i="9" s="1"/>
  <c r="L623" i="9" s="1"/>
  <c r="L624" i="9" s="1"/>
  <c r="L625" i="9" s="1"/>
  <c r="L626" i="9" s="1"/>
  <c r="L627" i="9" s="1"/>
  <c r="L628" i="9" s="1"/>
  <c r="L629" i="9" s="1"/>
  <c r="L630" i="9" s="1"/>
  <c r="L631" i="9" s="1"/>
  <c r="L632" i="9" s="1"/>
  <c r="L633" i="9" s="1"/>
  <c r="L634" i="9" s="1"/>
  <c r="L635" i="9" s="1"/>
  <c r="L636" i="9" s="1"/>
  <c r="L637" i="9" s="1"/>
  <c r="L638" i="9" s="1"/>
  <c r="L639" i="9" s="1"/>
  <c r="L640" i="9" s="1"/>
  <c r="L641" i="9" s="1"/>
  <c r="L642" i="9" s="1"/>
  <c r="L643" i="9" s="1"/>
  <c r="L644" i="9" s="1"/>
  <c r="L645" i="9" s="1"/>
  <c r="L646" i="9" s="1"/>
  <c r="L647" i="9" s="1"/>
  <c r="L648" i="9" s="1"/>
  <c r="L649" i="9" s="1"/>
  <c r="L650" i="9" s="1"/>
  <c r="L651" i="9" s="1"/>
  <c r="L652" i="9" s="1"/>
  <c r="L653" i="9" s="1"/>
  <c r="L654" i="9" s="1"/>
  <c r="L655" i="9" s="1"/>
  <c r="L656" i="9" s="1"/>
  <c r="AD520" i="10"/>
  <c r="AG532" i="9" s="1"/>
  <c r="AE520" i="10"/>
  <c r="G643" i="9"/>
  <c r="AF609" i="9"/>
  <c r="O609" i="9"/>
  <c r="AG533" i="9" l="1"/>
  <c r="AG534" i="9" s="1"/>
  <c r="AG535" i="9" s="1"/>
  <c r="AG536" i="9" s="1"/>
  <c r="K521" i="10"/>
  <c r="R532" i="9"/>
  <c r="AG520" i="10"/>
  <c r="L4" i="9"/>
  <c r="F28" i="2" s="1"/>
  <c r="L3" i="9"/>
  <c r="E28" i="2" s="1"/>
  <c r="AC540" i="9"/>
  <c r="Q540" i="9"/>
  <c r="O529" i="10"/>
  <c r="Y540" i="9"/>
  <c r="G644" i="9"/>
  <c r="O610" i="9"/>
  <c r="AF610" i="9"/>
  <c r="R533" i="9" l="1"/>
  <c r="R534" i="9" s="1"/>
  <c r="R535" i="9" s="1"/>
  <c r="R536" i="9" s="1"/>
  <c r="V521" i="10"/>
  <c r="AA521" i="10" s="1"/>
  <c r="M521" i="10"/>
  <c r="U521" i="10"/>
  <c r="Z521" i="10" s="1"/>
  <c r="L521" i="10"/>
  <c r="J529" i="10"/>
  <c r="G645" i="9"/>
  <c r="AF611" i="9"/>
  <c r="O611" i="9"/>
  <c r="AC521" i="10" l="1"/>
  <c r="AB521" i="10"/>
  <c r="AE521" i="10"/>
  <c r="AD521" i="10"/>
  <c r="AL533" i="9" s="1"/>
  <c r="O522" i="10" s="1"/>
  <c r="G646" i="9"/>
  <c r="O612" i="9"/>
  <c r="AF612" i="9"/>
  <c r="AG521" i="10" l="1"/>
  <c r="I533" i="9"/>
  <c r="P522" i="10" s="1"/>
  <c r="Q522" i="10" s="1"/>
  <c r="AA533" i="9"/>
  <c r="B533" i="9"/>
  <c r="I522" i="10" s="1"/>
  <c r="D533" i="9"/>
  <c r="AB533" i="9"/>
  <c r="J522" i="10" s="1"/>
  <c r="G647" i="9"/>
  <c r="AF613" i="9"/>
  <c r="O613" i="9"/>
  <c r="S522" i="10" l="1"/>
  <c r="R522" i="10"/>
  <c r="AA534" i="9"/>
  <c r="AA535" i="9" s="1"/>
  <c r="AA536" i="9" s="1"/>
  <c r="D534" i="9"/>
  <c r="D535" i="9" s="1"/>
  <c r="D536" i="9" s="1"/>
  <c r="K522" i="10"/>
  <c r="V522" i="10" s="1"/>
  <c r="AA522" i="10" s="1"/>
  <c r="AC541" i="9"/>
  <c r="Q541" i="9"/>
  <c r="Y541" i="9"/>
  <c r="G648" i="9"/>
  <c r="AF614" i="9"/>
  <c r="O614" i="9"/>
  <c r="L522" i="10" l="1"/>
  <c r="AD522" i="10"/>
  <c r="AL534" i="9" s="1"/>
  <c r="AE522" i="10"/>
  <c r="U522" i="10"/>
  <c r="Z522" i="10" s="1"/>
  <c r="M522" i="10"/>
  <c r="D46" i="2"/>
  <c r="Y542" i="9"/>
  <c r="Y543" i="9" s="1"/>
  <c r="Y544" i="9" s="1"/>
  <c r="Y545" i="9" s="1"/>
  <c r="Y546" i="9" s="1"/>
  <c r="Y547" i="9" s="1"/>
  <c r="Y548" i="9" s="1"/>
  <c r="Y549" i="9" s="1"/>
  <c r="Y550" i="9" s="1"/>
  <c r="Y551" i="9" s="1"/>
  <c r="Y552" i="9" s="1"/>
  <c r="Y553" i="9" s="1"/>
  <c r="Y554" i="9" s="1"/>
  <c r="Y555" i="9" s="1"/>
  <c r="Y556" i="9" s="1"/>
  <c r="Y557" i="9" s="1"/>
  <c r="Y558" i="9" s="1"/>
  <c r="Y559" i="9" s="1"/>
  <c r="Y560" i="9" s="1"/>
  <c r="Y561" i="9" s="1"/>
  <c r="Y562" i="9" s="1"/>
  <c r="Y563" i="9" s="1"/>
  <c r="Y564" i="9" s="1"/>
  <c r="G649" i="9"/>
  <c r="O615" i="9"/>
  <c r="AF615" i="9"/>
  <c r="AG522" i="10" l="1"/>
  <c r="I534" i="9"/>
  <c r="P523" i="10" s="1"/>
  <c r="AB522" i="10"/>
  <c r="B534" i="9" s="1"/>
  <c r="I523" i="10" s="1"/>
  <c r="AC522" i="10"/>
  <c r="AB534" i="9" s="1"/>
  <c r="J523" i="10" s="1"/>
  <c r="Y2" i="9"/>
  <c r="Y565" i="9"/>
  <c r="G650" i="9"/>
  <c r="AF616" i="9"/>
  <c r="O616" i="9"/>
  <c r="K523" i="10" l="1"/>
  <c r="Q523" i="10"/>
  <c r="S523" i="10" s="1"/>
  <c r="M523" i="10"/>
  <c r="D3" i="2"/>
  <c r="D37" i="2"/>
  <c r="Y566" i="9"/>
  <c r="G651" i="9"/>
  <c r="O617" i="9"/>
  <c r="AF617" i="9"/>
  <c r="U523" i="10" l="1"/>
  <c r="Z523" i="10" s="1"/>
  <c r="R523" i="10"/>
  <c r="L523" i="10"/>
  <c r="V523" i="10"/>
  <c r="AA523" i="10" s="1"/>
  <c r="AI542" i="9"/>
  <c r="AC542" i="9"/>
  <c r="N542" i="9"/>
  <c r="Q542" i="9"/>
  <c r="Y567" i="9"/>
  <c r="G652" i="9"/>
  <c r="AF618" i="9"/>
  <c r="O618" i="9"/>
  <c r="AE523" i="10" l="1"/>
  <c r="AD523" i="10"/>
  <c r="AB523" i="10"/>
  <c r="B535" i="9" s="1"/>
  <c r="I524" i="10" s="1"/>
  <c r="AC523" i="10"/>
  <c r="O533" i="10"/>
  <c r="J533" i="10"/>
  <c r="I533" i="10"/>
  <c r="Y568" i="9"/>
  <c r="G653" i="9"/>
  <c r="O619" i="9"/>
  <c r="AF619" i="9"/>
  <c r="AL535" i="9" l="1"/>
  <c r="AL536" i="9" s="1"/>
  <c r="AL537" i="9" s="1"/>
  <c r="AL538" i="9" s="1"/>
  <c r="E535" i="9"/>
  <c r="O524" i="10" s="1"/>
  <c r="AB535" i="9"/>
  <c r="AB536" i="9" s="1"/>
  <c r="AB537" i="9" s="1"/>
  <c r="AB538" i="9" s="1"/>
  <c r="AB539" i="9" s="1"/>
  <c r="AB540" i="9" s="1"/>
  <c r="AB541" i="9" s="1"/>
  <c r="AB542" i="9" s="1"/>
  <c r="AB543" i="9" s="1"/>
  <c r="AB544" i="9" s="1"/>
  <c r="AB545" i="9" s="1"/>
  <c r="AB546" i="9" s="1"/>
  <c r="AB547" i="9" s="1"/>
  <c r="AB548" i="9" s="1"/>
  <c r="AB549" i="9" s="1"/>
  <c r="AB550" i="9" s="1"/>
  <c r="AB551" i="9" s="1"/>
  <c r="AB552" i="9" s="1"/>
  <c r="AB553" i="9" s="1"/>
  <c r="AB554" i="9" s="1"/>
  <c r="AB555" i="9" s="1"/>
  <c r="AB556" i="9" s="1"/>
  <c r="AB557" i="9" s="1"/>
  <c r="AB558" i="9" s="1"/>
  <c r="AB559" i="9" s="1"/>
  <c r="AB560" i="9" s="1"/>
  <c r="AB561" i="9" s="1"/>
  <c r="AB562" i="9" s="1"/>
  <c r="AB563" i="9" s="1"/>
  <c r="AB564" i="9" s="1"/>
  <c r="AK535" i="9"/>
  <c r="J524" i="10" s="1"/>
  <c r="I535" i="9"/>
  <c r="I536" i="9" s="1"/>
  <c r="I537" i="9" s="1"/>
  <c r="I538" i="9" s="1"/>
  <c r="I539" i="9" s="1"/>
  <c r="I540" i="9" s="1"/>
  <c r="I541" i="9" s="1"/>
  <c r="I542" i="9" s="1"/>
  <c r="T535" i="9"/>
  <c r="AG523" i="10"/>
  <c r="P533" i="10"/>
  <c r="Q533" i="10" s="1"/>
  <c r="R533" i="10" s="1"/>
  <c r="K533" i="10"/>
  <c r="L533" i="10" s="1"/>
  <c r="Y569" i="9"/>
  <c r="G654" i="9"/>
  <c r="AF620" i="9"/>
  <c r="O620" i="9"/>
  <c r="P524" i="10" l="1"/>
  <c r="I531" i="10"/>
  <c r="Q524" i="10"/>
  <c r="AB565" i="9"/>
  <c r="AB566" i="9" s="1"/>
  <c r="AB567" i="9" s="1"/>
  <c r="AB568" i="9" s="1"/>
  <c r="AB569" i="9" s="1"/>
  <c r="AB570" i="9" s="1"/>
  <c r="AB571" i="9" s="1"/>
  <c r="AB572" i="9" s="1"/>
  <c r="AB573" i="9" s="1"/>
  <c r="AB574" i="9" s="1"/>
  <c r="AB575" i="9" s="1"/>
  <c r="AB576" i="9" s="1"/>
  <c r="AB577" i="9" s="1"/>
  <c r="AB578" i="9" s="1"/>
  <c r="AB579" i="9" s="1"/>
  <c r="AB580" i="9" s="1"/>
  <c r="AB2" i="9"/>
  <c r="D48" i="2" s="1"/>
  <c r="K524" i="10"/>
  <c r="S533" i="10"/>
  <c r="U533" i="10"/>
  <c r="Z533" i="10" s="1"/>
  <c r="V533" i="10"/>
  <c r="AA533" i="10" s="1"/>
  <c r="M533" i="10"/>
  <c r="Y570" i="9"/>
  <c r="G655" i="9"/>
  <c r="O621" i="9"/>
  <c r="AF621" i="9"/>
  <c r="U524" i="10" l="1"/>
  <c r="Z524" i="10" s="1"/>
  <c r="V524" i="10"/>
  <c r="AA524" i="10" s="1"/>
  <c r="L524" i="10"/>
  <c r="AB524" i="10" s="1"/>
  <c r="B536" i="9" s="1"/>
  <c r="I525" i="10" s="1"/>
  <c r="M524" i="10"/>
  <c r="F5" i="11"/>
  <c r="R524" i="10"/>
  <c r="S524" i="10"/>
  <c r="AE533" i="10"/>
  <c r="AD533" i="10"/>
  <c r="AB533" i="10"/>
  <c r="AC533" i="10"/>
  <c r="Y571" i="9"/>
  <c r="AB581" i="9"/>
  <c r="G656" i="9"/>
  <c r="AF622" i="9"/>
  <c r="O622" i="9"/>
  <c r="AC524" i="10" l="1"/>
  <c r="AK536" i="9" s="1"/>
  <c r="J525" i="10" s="1"/>
  <c r="K525" i="10" s="1"/>
  <c r="AD524" i="10"/>
  <c r="E536" i="9" s="1"/>
  <c r="O525" i="10" s="1"/>
  <c r="AE524" i="10"/>
  <c r="AG533" i="10"/>
  <c r="N543" i="9"/>
  <c r="N544" i="9" s="1"/>
  <c r="N545" i="9" s="1"/>
  <c r="N546" i="9" s="1"/>
  <c r="N547" i="9" s="1"/>
  <c r="N548" i="9" s="1"/>
  <c r="N549" i="9" s="1"/>
  <c r="N550" i="9" s="1"/>
  <c r="N551" i="9" s="1"/>
  <c r="N552" i="9" s="1"/>
  <c r="N553" i="9" s="1"/>
  <c r="N554" i="9" s="1"/>
  <c r="N555" i="9" s="1"/>
  <c r="N556" i="9" s="1"/>
  <c r="N557" i="9" s="1"/>
  <c r="N558" i="9" s="1"/>
  <c r="N559" i="9" s="1"/>
  <c r="N560" i="9" s="1"/>
  <c r="N561" i="9" s="1"/>
  <c r="N562" i="9" s="1"/>
  <c r="N563" i="9" s="1"/>
  <c r="N564" i="9" s="1"/>
  <c r="AC543" i="9"/>
  <c r="AC544" i="9" s="1"/>
  <c r="AC545" i="9" s="1"/>
  <c r="AC546" i="9" s="1"/>
  <c r="AC547" i="9" s="1"/>
  <c r="AC548" i="9" s="1"/>
  <c r="AC549" i="9" s="1"/>
  <c r="AC550" i="9" s="1"/>
  <c r="AC551" i="9" s="1"/>
  <c r="AC552" i="9" s="1"/>
  <c r="AC553" i="9" s="1"/>
  <c r="AC554" i="9" s="1"/>
  <c r="AC555" i="9" s="1"/>
  <c r="AC556" i="9" s="1"/>
  <c r="AC557" i="9" s="1"/>
  <c r="AC558" i="9" s="1"/>
  <c r="AC559" i="9" s="1"/>
  <c r="AC560" i="9" s="1"/>
  <c r="AC561" i="9" s="1"/>
  <c r="AC562" i="9" s="1"/>
  <c r="AC563" i="9" s="1"/>
  <c r="AC564" i="9" s="1"/>
  <c r="AI543" i="9"/>
  <c r="AI544" i="9" s="1"/>
  <c r="AI545" i="9" s="1"/>
  <c r="AI546" i="9" s="1"/>
  <c r="AI547" i="9" s="1"/>
  <c r="AI548" i="9" s="1"/>
  <c r="AI549" i="9" s="1"/>
  <c r="AI550" i="9" s="1"/>
  <c r="AI551" i="9" s="1"/>
  <c r="AI552" i="9" s="1"/>
  <c r="AI553" i="9" s="1"/>
  <c r="AI554" i="9" s="1"/>
  <c r="AI555" i="9" s="1"/>
  <c r="AI556" i="9" s="1"/>
  <c r="AI557" i="9" s="1"/>
  <c r="AI558" i="9" s="1"/>
  <c r="AI559" i="9" s="1"/>
  <c r="AI560" i="9" s="1"/>
  <c r="AI561" i="9" s="1"/>
  <c r="AI562" i="9" s="1"/>
  <c r="AI563" i="9" s="1"/>
  <c r="AI564" i="9" s="1"/>
  <c r="AI2" i="9" s="1"/>
  <c r="Q543" i="9"/>
  <c r="Q544" i="9" s="1"/>
  <c r="Q545" i="9" s="1"/>
  <c r="Q546" i="9" s="1"/>
  <c r="Q547" i="9" s="1"/>
  <c r="Q548" i="9" s="1"/>
  <c r="Q549" i="9" s="1"/>
  <c r="Q550" i="9" s="1"/>
  <c r="Q551" i="9" s="1"/>
  <c r="Q552" i="9" s="1"/>
  <c r="Q553" i="9" s="1"/>
  <c r="Q554" i="9" s="1"/>
  <c r="Q555" i="9" s="1"/>
  <c r="Q556" i="9" s="1"/>
  <c r="Q557" i="9" s="1"/>
  <c r="Q558" i="9" s="1"/>
  <c r="Q559" i="9" s="1"/>
  <c r="Q560" i="9" s="1"/>
  <c r="Q561" i="9" s="1"/>
  <c r="Q562" i="9" s="1"/>
  <c r="Q563" i="9" s="1"/>
  <c r="Q564" i="9" s="1"/>
  <c r="Y572" i="9"/>
  <c r="AB582" i="9"/>
  <c r="G3" i="9"/>
  <c r="E13" i="2" s="1"/>
  <c r="G4" i="9"/>
  <c r="F13" i="2" s="1"/>
  <c r="O623" i="9"/>
  <c r="AF623" i="9"/>
  <c r="T536" i="9" l="1"/>
  <c r="AG524" i="10"/>
  <c r="L525" i="10"/>
  <c r="M525" i="10"/>
  <c r="D39" i="2"/>
  <c r="D8" i="2"/>
  <c r="D7" i="2"/>
  <c r="AI565" i="9"/>
  <c r="AI566" i="9" s="1"/>
  <c r="AI567" i="9" s="1"/>
  <c r="AI568" i="9" s="1"/>
  <c r="AI569" i="9" s="1"/>
  <c r="AI570" i="9" s="1"/>
  <c r="AI571" i="9" s="1"/>
  <c r="AI572" i="9" s="1"/>
  <c r="AI573" i="9" s="1"/>
  <c r="AI574" i="9" s="1"/>
  <c r="AI575" i="9" s="1"/>
  <c r="AI576" i="9" s="1"/>
  <c r="AI577" i="9" s="1"/>
  <c r="AI578" i="9" s="1"/>
  <c r="AI579" i="9" s="1"/>
  <c r="AI580" i="9" s="1"/>
  <c r="AI581" i="9" s="1"/>
  <c r="AI582" i="9" s="1"/>
  <c r="AI583" i="9" s="1"/>
  <c r="AI584" i="9" s="1"/>
  <c r="AI585" i="9" s="1"/>
  <c r="AI586" i="9" s="1"/>
  <c r="AI587" i="9" s="1"/>
  <c r="AI588" i="9" s="1"/>
  <c r="AI589" i="9" s="1"/>
  <c r="AI590" i="9" s="1"/>
  <c r="AI591" i="9" s="1"/>
  <c r="AI592" i="9" s="1"/>
  <c r="AI593" i="9" s="1"/>
  <c r="AI594" i="9" s="1"/>
  <c r="AI595" i="9" s="1"/>
  <c r="AI596" i="9" s="1"/>
  <c r="AI597" i="9" s="1"/>
  <c r="AI598" i="9" s="1"/>
  <c r="AI599" i="9" s="1"/>
  <c r="AI600" i="9" s="1"/>
  <c r="AI601" i="9" s="1"/>
  <c r="AI602" i="9" s="1"/>
  <c r="AI603" i="9" s="1"/>
  <c r="AI604" i="9" s="1"/>
  <c r="AI605" i="9" s="1"/>
  <c r="AI606" i="9" s="1"/>
  <c r="AI607" i="9" s="1"/>
  <c r="AI608" i="9" s="1"/>
  <c r="AI609" i="9" s="1"/>
  <c r="AI610" i="9" s="1"/>
  <c r="AI611" i="9" s="1"/>
  <c r="AI612" i="9" s="1"/>
  <c r="AI613" i="9" s="1"/>
  <c r="AI614" i="9" s="1"/>
  <c r="AI615" i="9" s="1"/>
  <c r="AI616" i="9" s="1"/>
  <c r="AI617" i="9" s="1"/>
  <c r="AI618" i="9" s="1"/>
  <c r="AI619" i="9" s="1"/>
  <c r="AI620" i="9" s="1"/>
  <c r="AI621" i="9" s="1"/>
  <c r="AI622" i="9" s="1"/>
  <c r="AI623" i="9" s="1"/>
  <c r="AI624" i="9" s="1"/>
  <c r="AI625" i="9" s="1"/>
  <c r="AI626" i="9" s="1"/>
  <c r="AI627" i="9" s="1"/>
  <c r="AI628" i="9" s="1"/>
  <c r="AI629" i="9" s="1"/>
  <c r="AI630" i="9" s="1"/>
  <c r="AI631" i="9" s="1"/>
  <c r="AI632" i="9" s="1"/>
  <c r="AI633" i="9" s="1"/>
  <c r="AI634" i="9" s="1"/>
  <c r="AI635" i="9" s="1"/>
  <c r="AI636" i="9" s="1"/>
  <c r="AI637" i="9" s="1"/>
  <c r="AI638" i="9" s="1"/>
  <c r="AI639" i="9" s="1"/>
  <c r="AI640" i="9" s="1"/>
  <c r="AI641" i="9" s="1"/>
  <c r="AI642" i="9" s="1"/>
  <c r="AI643" i="9" s="1"/>
  <c r="AI644" i="9" s="1"/>
  <c r="AI645" i="9" s="1"/>
  <c r="Q565" i="9"/>
  <c r="Q566" i="9" s="1"/>
  <c r="Q567" i="9" s="1"/>
  <c r="Q568" i="9" s="1"/>
  <c r="Q569" i="9" s="1"/>
  <c r="Q570" i="9" s="1"/>
  <c r="Q571" i="9" s="1"/>
  <c r="Q572" i="9" s="1"/>
  <c r="Q573" i="9" s="1"/>
  <c r="Q574" i="9" s="1"/>
  <c r="Q2" i="9"/>
  <c r="AC565" i="9"/>
  <c r="AC2" i="9"/>
  <c r="N565" i="9"/>
  <c r="N2" i="9"/>
  <c r="Y573" i="9"/>
  <c r="AB583" i="9"/>
  <c r="AF624" i="9"/>
  <c r="O624" i="9"/>
  <c r="P525" i="10" l="1"/>
  <c r="Q525" i="10" s="1"/>
  <c r="T537" i="9"/>
  <c r="T538" i="9" s="1"/>
  <c r="T539" i="9" s="1"/>
  <c r="T540" i="9" s="1"/>
  <c r="T541" i="9" s="1"/>
  <c r="T542" i="9" s="1"/>
  <c r="T543" i="9" s="1"/>
  <c r="T544" i="9" s="1"/>
  <c r="T545" i="9" s="1"/>
  <c r="T546" i="9" s="1"/>
  <c r="T547" i="9" s="1"/>
  <c r="T548" i="9" s="1"/>
  <c r="T549" i="9" s="1"/>
  <c r="T550" i="9" s="1"/>
  <c r="T551" i="9" s="1"/>
  <c r="T552" i="9" s="1"/>
  <c r="T553" i="9" s="1"/>
  <c r="T554" i="9" s="1"/>
  <c r="T555" i="9" s="1"/>
  <c r="T556" i="9" s="1"/>
  <c r="T557" i="9" s="1"/>
  <c r="T558" i="9" s="1"/>
  <c r="T559" i="9" s="1"/>
  <c r="T560" i="9" s="1"/>
  <c r="T561" i="9" s="1"/>
  <c r="T562" i="9" s="1"/>
  <c r="T563" i="9" s="1"/>
  <c r="T564" i="9" s="1"/>
  <c r="D24" i="2"/>
  <c r="F7" i="2"/>
  <c r="D19" i="2"/>
  <c r="D17" i="2"/>
  <c r="D30" i="2"/>
  <c r="D22" i="2"/>
  <c r="E7" i="2"/>
  <c r="N566" i="9"/>
  <c r="N567" i="9" s="1"/>
  <c r="N568" i="9" s="1"/>
  <c r="N569" i="9" s="1"/>
  <c r="N570" i="9" s="1"/>
  <c r="N571" i="9" s="1"/>
  <c r="N572" i="9" s="1"/>
  <c r="N573" i="9" s="1"/>
  <c r="AC566" i="9"/>
  <c r="Y574" i="9"/>
  <c r="Q575" i="9"/>
  <c r="AB584" i="9"/>
  <c r="O625" i="9"/>
  <c r="AF625" i="9"/>
  <c r="AI646" i="9"/>
  <c r="T2" i="9" l="1"/>
  <c r="T565" i="9"/>
  <c r="S525" i="10"/>
  <c r="U525" i="10"/>
  <c r="Z525" i="10" s="1"/>
  <c r="V525" i="10"/>
  <c r="AA525" i="10" s="1"/>
  <c r="R525" i="10"/>
  <c r="F30" i="2"/>
  <c r="N574" i="9"/>
  <c r="AC567" i="9"/>
  <c r="Q576" i="9"/>
  <c r="Y575" i="9"/>
  <c r="AB585" i="9"/>
  <c r="AF626" i="9"/>
  <c r="O626" i="9"/>
  <c r="AI647" i="9"/>
  <c r="D34" i="2" l="1"/>
  <c r="D23" i="2"/>
  <c r="T566" i="9"/>
  <c r="T567" i="9" s="1"/>
  <c r="T568" i="9" s="1"/>
  <c r="T569" i="9" s="1"/>
  <c r="T570" i="9" s="1"/>
  <c r="T571" i="9" s="1"/>
  <c r="T572" i="9" s="1"/>
  <c r="T573" i="9" s="1"/>
  <c r="T574" i="9" s="1"/>
  <c r="T575" i="9" s="1"/>
  <c r="T576" i="9" s="1"/>
  <c r="T577" i="9" s="1"/>
  <c r="T578" i="9" s="1"/>
  <c r="T579" i="9" s="1"/>
  <c r="T580" i="9" s="1"/>
  <c r="T581" i="9" s="1"/>
  <c r="T582" i="9" s="1"/>
  <c r="T583" i="9" s="1"/>
  <c r="T584" i="9" s="1"/>
  <c r="T585" i="9" s="1"/>
  <c r="T586" i="9" s="1"/>
  <c r="T587" i="9" s="1"/>
  <c r="T588" i="9" s="1"/>
  <c r="T589" i="9" s="1"/>
  <c r="T590" i="9" s="1"/>
  <c r="T591" i="9" s="1"/>
  <c r="T592" i="9" s="1"/>
  <c r="T593" i="9" s="1"/>
  <c r="T594" i="9" s="1"/>
  <c r="T595" i="9" s="1"/>
  <c r="T596" i="9" s="1"/>
  <c r="T597" i="9" s="1"/>
  <c r="T598" i="9" s="1"/>
  <c r="T599" i="9" s="1"/>
  <c r="T600" i="9" s="1"/>
  <c r="T601" i="9" s="1"/>
  <c r="T602" i="9" s="1"/>
  <c r="T603" i="9" s="1"/>
  <c r="T604" i="9" s="1"/>
  <c r="T605" i="9" s="1"/>
  <c r="T606" i="9" s="1"/>
  <c r="T607" i="9" s="1"/>
  <c r="T608" i="9" s="1"/>
  <c r="T609" i="9" s="1"/>
  <c r="T610" i="9" s="1"/>
  <c r="T611" i="9" s="1"/>
  <c r="T612" i="9" s="1"/>
  <c r="T613" i="9" s="1"/>
  <c r="T614" i="9" s="1"/>
  <c r="T615" i="9" s="1"/>
  <c r="T616" i="9" s="1"/>
  <c r="T617" i="9" s="1"/>
  <c r="T618" i="9" s="1"/>
  <c r="T619" i="9" s="1"/>
  <c r="T620" i="9" s="1"/>
  <c r="T621" i="9" s="1"/>
  <c r="T622" i="9" s="1"/>
  <c r="T623" i="9" s="1"/>
  <c r="T624" i="9" s="1"/>
  <c r="T625" i="9" s="1"/>
  <c r="T626" i="9" s="1"/>
  <c r="T627" i="9" s="1"/>
  <c r="T628" i="9" s="1"/>
  <c r="T629" i="9" s="1"/>
  <c r="T630" i="9" s="1"/>
  <c r="T631" i="9" s="1"/>
  <c r="T632" i="9" s="1"/>
  <c r="T633" i="9" s="1"/>
  <c r="T634" i="9" s="1"/>
  <c r="T635" i="9" s="1"/>
  <c r="T636" i="9" s="1"/>
  <c r="T637" i="9" s="1"/>
  <c r="T638" i="9" s="1"/>
  <c r="T639" i="9" s="1"/>
  <c r="T640" i="9" s="1"/>
  <c r="T641" i="9" s="1"/>
  <c r="T642" i="9" s="1"/>
  <c r="T643" i="9" s="1"/>
  <c r="T644" i="9" s="1"/>
  <c r="T645" i="9" s="1"/>
  <c r="T646" i="9" s="1"/>
  <c r="T647" i="9" s="1"/>
  <c r="T648" i="9" s="1"/>
  <c r="T649" i="9" s="1"/>
  <c r="T650" i="9" s="1"/>
  <c r="T651" i="9" s="1"/>
  <c r="T652" i="9" s="1"/>
  <c r="T653" i="9" s="1"/>
  <c r="T654" i="9" s="1"/>
  <c r="T655" i="9" s="1"/>
  <c r="T656" i="9" s="1"/>
  <c r="AE525" i="10"/>
  <c r="AD525" i="10"/>
  <c r="AC525" i="10"/>
  <c r="AB525" i="10"/>
  <c r="E5" i="2"/>
  <c r="F5" i="2"/>
  <c r="E30" i="2"/>
  <c r="N575" i="9"/>
  <c r="AC568" i="9"/>
  <c r="Y576" i="9"/>
  <c r="Q577" i="9"/>
  <c r="AB586" i="9"/>
  <c r="O627" i="9"/>
  <c r="AF627" i="9"/>
  <c r="AI648" i="9"/>
  <c r="E537" i="9" l="1"/>
  <c r="AG537" i="9"/>
  <c r="T4" i="9"/>
  <c r="F34" i="2" s="1"/>
  <c r="AG525" i="10"/>
  <c r="R537" i="9"/>
  <c r="B537" i="9"/>
  <c r="B538" i="9" s="1"/>
  <c r="AA537" i="9"/>
  <c r="T3" i="9"/>
  <c r="E34" i="2" s="1"/>
  <c r="AK537" i="9"/>
  <c r="AK538" i="9" s="1"/>
  <c r="AK539" i="9" s="1"/>
  <c r="AK540" i="9" s="1"/>
  <c r="AK541" i="9" s="1"/>
  <c r="AK542" i="9" s="1"/>
  <c r="D537" i="9"/>
  <c r="AC569" i="9"/>
  <c r="N576" i="9"/>
  <c r="Q578" i="9"/>
  <c r="Y577" i="9"/>
  <c r="AB587" i="9"/>
  <c r="AF628" i="9"/>
  <c r="O628" i="9"/>
  <c r="AI649" i="9"/>
  <c r="I526" i="10" l="1"/>
  <c r="O527" i="10"/>
  <c r="P531" i="10"/>
  <c r="O526" i="10"/>
  <c r="P526" i="10"/>
  <c r="J526" i="10"/>
  <c r="E538" i="9"/>
  <c r="E539" i="9" s="1"/>
  <c r="E540" i="9" s="1"/>
  <c r="E541" i="9" s="1"/>
  <c r="E542" i="9" s="1"/>
  <c r="N577" i="9"/>
  <c r="AC570" i="9"/>
  <c r="Y578" i="9"/>
  <c r="Q579" i="9"/>
  <c r="AB588" i="9"/>
  <c r="O629" i="9"/>
  <c r="AF629" i="9"/>
  <c r="AI650" i="9"/>
  <c r="Q526" i="10" l="1"/>
  <c r="R526" i="10" s="1"/>
  <c r="L5" i="11"/>
  <c r="K526" i="10"/>
  <c r="U526" i="10" s="1"/>
  <c r="Z526" i="10" s="1"/>
  <c r="M526" i="10"/>
  <c r="S526" i="10"/>
  <c r="N578" i="9"/>
  <c r="AC571" i="9"/>
  <c r="Q580" i="9"/>
  <c r="Y579" i="9"/>
  <c r="AB589" i="9"/>
  <c r="AF630" i="9"/>
  <c r="O630" i="9"/>
  <c r="AI651" i="9"/>
  <c r="AC526" i="10" l="1"/>
  <c r="D538" i="9" s="1"/>
  <c r="L526" i="10"/>
  <c r="AB526" i="10" s="1"/>
  <c r="AA538" i="9" s="1"/>
  <c r="V526" i="10"/>
  <c r="AA526" i="10" s="1"/>
  <c r="AC572" i="9"/>
  <c r="N579" i="9"/>
  <c r="Y580" i="9"/>
  <c r="Q581" i="9"/>
  <c r="AB590" i="9"/>
  <c r="O631" i="9"/>
  <c r="AF631" i="9"/>
  <c r="AI652" i="9"/>
  <c r="AE526" i="10" l="1"/>
  <c r="AD526" i="10"/>
  <c r="AG538" i="9" s="1"/>
  <c r="I527" i="10"/>
  <c r="K527" i="10" s="1"/>
  <c r="N580" i="9"/>
  <c r="AC573" i="9"/>
  <c r="Q582" i="9"/>
  <c r="Y581" i="9"/>
  <c r="AB591" i="9"/>
  <c r="O632" i="9"/>
  <c r="AF632" i="9"/>
  <c r="AI653" i="9"/>
  <c r="L527" i="10" l="1"/>
  <c r="M527" i="10"/>
  <c r="AG539" i="9"/>
  <c r="AG540" i="9" s="1"/>
  <c r="AG541" i="9" s="1"/>
  <c r="AG542" i="9" s="1"/>
  <c r="AG543" i="9" s="1"/>
  <c r="AG544" i="9" s="1"/>
  <c r="AG545" i="9" s="1"/>
  <c r="AG546" i="9" s="1"/>
  <c r="AG547" i="9" s="1"/>
  <c r="AG548" i="9" s="1"/>
  <c r="AG549" i="9" s="1"/>
  <c r="AG550" i="9" s="1"/>
  <c r="AG551" i="9" s="1"/>
  <c r="AG552" i="9" s="1"/>
  <c r="AG553" i="9" s="1"/>
  <c r="AG554" i="9" s="1"/>
  <c r="AG555" i="9" s="1"/>
  <c r="AG556" i="9" s="1"/>
  <c r="AG557" i="9" s="1"/>
  <c r="AG558" i="9" s="1"/>
  <c r="AG559" i="9" s="1"/>
  <c r="AG560" i="9" s="1"/>
  <c r="AG561" i="9" s="1"/>
  <c r="AG562" i="9" s="1"/>
  <c r="AG563" i="9" s="1"/>
  <c r="AG564" i="9" s="1"/>
  <c r="R538" i="9"/>
  <c r="AG526" i="10"/>
  <c r="AC574" i="9"/>
  <c r="N581" i="9"/>
  <c r="Y582" i="9"/>
  <c r="Q583" i="9"/>
  <c r="AB592" i="9"/>
  <c r="AF633" i="9"/>
  <c r="O633" i="9"/>
  <c r="AI654" i="9"/>
  <c r="P527" i="10" l="1"/>
  <c r="R539" i="9"/>
  <c r="R540" i="9" s="1"/>
  <c r="R541" i="9" s="1"/>
  <c r="R542" i="9" s="1"/>
  <c r="R543" i="9" s="1"/>
  <c r="R544" i="9" s="1"/>
  <c r="R545" i="9" s="1"/>
  <c r="R546" i="9" s="1"/>
  <c r="R547" i="9" s="1"/>
  <c r="R548" i="9" s="1"/>
  <c r="R549" i="9" s="1"/>
  <c r="R550" i="9" s="1"/>
  <c r="R551" i="9" s="1"/>
  <c r="R552" i="9" s="1"/>
  <c r="R553" i="9" s="1"/>
  <c r="R554" i="9" s="1"/>
  <c r="R555" i="9" s="1"/>
  <c r="R556" i="9" s="1"/>
  <c r="R557" i="9" s="1"/>
  <c r="R558" i="9" s="1"/>
  <c r="R559" i="9" s="1"/>
  <c r="R560" i="9" s="1"/>
  <c r="R561" i="9" s="1"/>
  <c r="R562" i="9" s="1"/>
  <c r="R563" i="9" s="1"/>
  <c r="R564" i="9" s="1"/>
  <c r="AG2" i="9"/>
  <c r="AG565" i="9"/>
  <c r="AG566" i="9" s="1"/>
  <c r="AG567" i="9" s="1"/>
  <c r="AG568" i="9" s="1"/>
  <c r="AG569" i="9" s="1"/>
  <c r="AG570" i="9" s="1"/>
  <c r="AG571" i="9" s="1"/>
  <c r="AG572" i="9" s="1"/>
  <c r="AG573" i="9" s="1"/>
  <c r="AG574" i="9" s="1"/>
  <c r="AG575" i="9" s="1"/>
  <c r="AG576" i="9" s="1"/>
  <c r="AG577" i="9" s="1"/>
  <c r="AG578" i="9" s="1"/>
  <c r="AG579" i="9" s="1"/>
  <c r="AG580" i="9" s="1"/>
  <c r="AG581" i="9" s="1"/>
  <c r="AG582" i="9" s="1"/>
  <c r="AG583" i="9" s="1"/>
  <c r="AG584" i="9" s="1"/>
  <c r="AG585" i="9" s="1"/>
  <c r="AG586" i="9" s="1"/>
  <c r="AG587" i="9" s="1"/>
  <c r="AG588" i="9" s="1"/>
  <c r="AG589" i="9" s="1"/>
  <c r="AG590" i="9" s="1"/>
  <c r="AG591" i="9" s="1"/>
  <c r="AG592" i="9" s="1"/>
  <c r="AG593" i="9" s="1"/>
  <c r="AG594" i="9" s="1"/>
  <c r="AG595" i="9" s="1"/>
  <c r="AG596" i="9" s="1"/>
  <c r="AG597" i="9" s="1"/>
  <c r="AG598" i="9" s="1"/>
  <c r="AG599" i="9" s="1"/>
  <c r="AG600" i="9" s="1"/>
  <c r="AG601" i="9" s="1"/>
  <c r="AG602" i="9" s="1"/>
  <c r="AG603" i="9" s="1"/>
  <c r="AG604" i="9" s="1"/>
  <c r="AG605" i="9" s="1"/>
  <c r="AG606" i="9" s="1"/>
  <c r="AG607" i="9" s="1"/>
  <c r="AG608" i="9" s="1"/>
  <c r="AG609" i="9" s="1"/>
  <c r="AG610" i="9" s="1"/>
  <c r="AG611" i="9" s="1"/>
  <c r="AG612" i="9" s="1"/>
  <c r="AG613" i="9" s="1"/>
  <c r="AG614" i="9" s="1"/>
  <c r="AG615" i="9" s="1"/>
  <c r="AG616" i="9" s="1"/>
  <c r="AG617" i="9" s="1"/>
  <c r="AG618" i="9" s="1"/>
  <c r="AG619" i="9" s="1"/>
  <c r="AG620" i="9" s="1"/>
  <c r="AG621" i="9" s="1"/>
  <c r="AG622" i="9" s="1"/>
  <c r="AG623" i="9" s="1"/>
  <c r="AG624" i="9" s="1"/>
  <c r="AG625" i="9" s="1"/>
  <c r="AG626" i="9" s="1"/>
  <c r="AG627" i="9" s="1"/>
  <c r="AG628" i="9" s="1"/>
  <c r="AG629" i="9" s="1"/>
  <c r="AG630" i="9" s="1"/>
  <c r="AG631" i="9" s="1"/>
  <c r="AG632" i="9" s="1"/>
  <c r="AG633" i="9" s="1"/>
  <c r="AG634" i="9" s="1"/>
  <c r="AG635" i="9" s="1"/>
  <c r="AG636" i="9" s="1"/>
  <c r="AG637" i="9" s="1"/>
  <c r="AG638" i="9" s="1"/>
  <c r="AG639" i="9" s="1"/>
  <c r="AG640" i="9" s="1"/>
  <c r="AG641" i="9" s="1"/>
  <c r="AG642" i="9" s="1"/>
  <c r="AG643" i="9" s="1"/>
  <c r="AG644" i="9" s="1"/>
  <c r="AG645" i="9" s="1"/>
  <c r="AG646" i="9" s="1"/>
  <c r="AG647" i="9" s="1"/>
  <c r="AG648" i="9" s="1"/>
  <c r="AG649" i="9" s="1"/>
  <c r="AG650" i="9" s="1"/>
  <c r="AG651" i="9" s="1"/>
  <c r="AG652" i="9" s="1"/>
  <c r="AG653" i="9" s="1"/>
  <c r="AG654" i="9" s="1"/>
  <c r="AG655" i="9" s="1"/>
  <c r="AG656" i="9" s="1"/>
  <c r="AG3" i="9" s="1"/>
  <c r="E42" i="2" s="1"/>
  <c r="N582" i="9"/>
  <c r="AC575" i="9"/>
  <c r="Q584" i="9"/>
  <c r="Y583" i="9"/>
  <c r="AB593" i="9"/>
  <c r="O634" i="9"/>
  <c r="AF634" i="9"/>
  <c r="AI655" i="9"/>
  <c r="AG4" i="9" l="1"/>
  <c r="F42" i="2" s="1"/>
  <c r="D42" i="2"/>
  <c r="D38" i="2"/>
  <c r="R565" i="9"/>
  <c r="R566" i="9" s="1"/>
  <c r="R567" i="9" s="1"/>
  <c r="R568" i="9" s="1"/>
  <c r="R569" i="9" s="1"/>
  <c r="R570" i="9" s="1"/>
  <c r="R571" i="9" s="1"/>
  <c r="R572" i="9" s="1"/>
  <c r="R573" i="9" s="1"/>
  <c r="R574" i="9" s="1"/>
  <c r="R575" i="9" s="1"/>
  <c r="R576" i="9" s="1"/>
  <c r="R577" i="9" s="1"/>
  <c r="R578" i="9" s="1"/>
  <c r="R579" i="9" s="1"/>
  <c r="R580" i="9" s="1"/>
  <c r="R581" i="9" s="1"/>
  <c r="R582" i="9" s="1"/>
  <c r="R583" i="9" s="1"/>
  <c r="R584" i="9" s="1"/>
  <c r="R585" i="9" s="1"/>
  <c r="R586" i="9" s="1"/>
  <c r="R587" i="9" s="1"/>
  <c r="R588" i="9" s="1"/>
  <c r="R589" i="9" s="1"/>
  <c r="R590" i="9" s="1"/>
  <c r="R591" i="9" s="1"/>
  <c r="R592" i="9" s="1"/>
  <c r="R593" i="9" s="1"/>
  <c r="R594" i="9" s="1"/>
  <c r="R595" i="9" s="1"/>
  <c r="R596" i="9" s="1"/>
  <c r="R597" i="9" s="1"/>
  <c r="R598" i="9" s="1"/>
  <c r="R599" i="9" s="1"/>
  <c r="R600" i="9" s="1"/>
  <c r="R601" i="9" s="1"/>
  <c r="R602" i="9" s="1"/>
  <c r="R603" i="9" s="1"/>
  <c r="R604" i="9" s="1"/>
  <c r="R605" i="9" s="1"/>
  <c r="R606" i="9" s="1"/>
  <c r="R607" i="9" s="1"/>
  <c r="R608" i="9" s="1"/>
  <c r="R609" i="9" s="1"/>
  <c r="R610" i="9" s="1"/>
  <c r="R611" i="9" s="1"/>
  <c r="R612" i="9" s="1"/>
  <c r="R613" i="9" s="1"/>
  <c r="R614" i="9" s="1"/>
  <c r="R615" i="9" s="1"/>
  <c r="R616" i="9" s="1"/>
  <c r="R617" i="9" s="1"/>
  <c r="R618" i="9" s="1"/>
  <c r="R619" i="9" s="1"/>
  <c r="R620" i="9" s="1"/>
  <c r="R621" i="9" s="1"/>
  <c r="R622" i="9" s="1"/>
  <c r="R623" i="9" s="1"/>
  <c r="R624" i="9" s="1"/>
  <c r="R625" i="9" s="1"/>
  <c r="R626" i="9" s="1"/>
  <c r="R627" i="9" s="1"/>
  <c r="R628" i="9" s="1"/>
  <c r="R629" i="9" s="1"/>
  <c r="R630" i="9" s="1"/>
  <c r="R631" i="9" s="1"/>
  <c r="R632" i="9" s="1"/>
  <c r="R633" i="9" s="1"/>
  <c r="R634" i="9" s="1"/>
  <c r="R635" i="9" s="1"/>
  <c r="R636" i="9" s="1"/>
  <c r="R637" i="9" s="1"/>
  <c r="R638" i="9" s="1"/>
  <c r="R639" i="9" s="1"/>
  <c r="R640" i="9" s="1"/>
  <c r="R641" i="9" s="1"/>
  <c r="R642" i="9" s="1"/>
  <c r="R643" i="9" s="1"/>
  <c r="R644" i="9" s="1"/>
  <c r="R645" i="9" s="1"/>
  <c r="R646" i="9" s="1"/>
  <c r="R647" i="9" s="1"/>
  <c r="R648" i="9" s="1"/>
  <c r="R649" i="9" s="1"/>
  <c r="R650" i="9" s="1"/>
  <c r="R651" i="9" s="1"/>
  <c r="R652" i="9" s="1"/>
  <c r="R653" i="9" s="1"/>
  <c r="R654" i="9" s="1"/>
  <c r="R655" i="9" s="1"/>
  <c r="R656" i="9" s="1"/>
  <c r="R3" i="9" s="1"/>
  <c r="E40" i="2" s="1"/>
  <c r="R2" i="9"/>
  <c r="D40" i="2" s="1"/>
  <c r="Q527" i="10"/>
  <c r="S527" i="10" s="1"/>
  <c r="AC576" i="9"/>
  <c r="N583" i="9"/>
  <c r="Y584" i="9"/>
  <c r="Q585" i="9"/>
  <c r="AB594" i="9"/>
  <c r="AF635" i="9"/>
  <c r="O635" i="9"/>
  <c r="AI656" i="9"/>
  <c r="R4" i="9" l="1"/>
  <c r="F40" i="2" s="1"/>
  <c r="U527" i="10"/>
  <c r="Z527" i="10" s="1"/>
  <c r="R527" i="10"/>
  <c r="V527" i="10"/>
  <c r="AA527" i="10" s="1"/>
  <c r="N584" i="9"/>
  <c r="AC577" i="9"/>
  <c r="Q586" i="9"/>
  <c r="Y585" i="9"/>
  <c r="AB595" i="9"/>
  <c r="O636" i="9"/>
  <c r="AF636" i="9"/>
  <c r="AI3" i="9"/>
  <c r="AI4" i="9"/>
  <c r="AE527" i="10" l="1"/>
  <c r="AD527" i="10"/>
  <c r="B539" i="9" s="1"/>
  <c r="O528" i="10" s="1"/>
  <c r="AB527" i="10"/>
  <c r="AC527" i="10"/>
  <c r="E39" i="2"/>
  <c r="E8" i="2"/>
  <c r="F39" i="2"/>
  <c r="F8" i="2"/>
  <c r="AC578" i="9"/>
  <c r="N585" i="9"/>
  <c r="Y586" i="9"/>
  <c r="Q587" i="9"/>
  <c r="AB596" i="9"/>
  <c r="AF637" i="9"/>
  <c r="O637" i="9"/>
  <c r="D539" i="9" l="1"/>
  <c r="D540" i="9" s="1"/>
  <c r="D541" i="9" s="1"/>
  <c r="D542" i="9" s="1"/>
  <c r="D543" i="9" s="1"/>
  <c r="D544" i="9" s="1"/>
  <c r="D545" i="9" s="1"/>
  <c r="D546" i="9" s="1"/>
  <c r="D547" i="9" s="1"/>
  <c r="D548" i="9" s="1"/>
  <c r="D549" i="9" s="1"/>
  <c r="D550" i="9" s="1"/>
  <c r="D551" i="9" s="1"/>
  <c r="D552" i="9" s="1"/>
  <c r="D553" i="9" s="1"/>
  <c r="D554" i="9" s="1"/>
  <c r="D555" i="9" s="1"/>
  <c r="D556" i="9" s="1"/>
  <c r="D557" i="9" s="1"/>
  <c r="D558" i="9" s="1"/>
  <c r="D559" i="9" s="1"/>
  <c r="D560" i="9" s="1"/>
  <c r="D561" i="9" s="1"/>
  <c r="D562" i="9" s="1"/>
  <c r="D563" i="9" s="1"/>
  <c r="D564" i="9" s="1"/>
  <c r="V539" i="9"/>
  <c r="AA539" i="9"/>
  <c r="AA540" i="9" s="1"/>
  <c r="AA541" i="9" s="1"/>
  <c r="AA542" i="9" s="1"/>
  <c r="AA543" i="9" s="1"/>
  <c r="AA544" i="9" s="1"/>
  <c r="AA545" i="9" s="1"/>
  <c r="AA546" i="9" s="1"/>
  <c r="AA547" i="9" s="1"/>
  <c r="AA548" i="9" s="1"/>
  <c r="AA549" i="9" s="1"/>
  <c r="AA550" i="9" s="1"/>
  <c r="AA551" i="9" s="1"/>
  <c r="AA552" i="9" s="1"/>
  <c r="AA553" i="9" s="1"/>
  <c r="AA554" i="9" s="1"/>
  <c r="AA555" i="9" s="1"/>
  <c r="AA556" i="9" s="1"/>
  <c r="AA557" i="9" s="1"/>
  <c r="AA558" i="9" s="1"/>
  <c r="AA559" i="9" s="1"/>
  <c r="AA560" i="9" s="1"/>
  <c r="AA561" i="9" s="1"/>
  <c r="AA562" i="9" s="1"/>
  <c r="AA563" i="9" s="1"/>
  <c r="AA564" i="9" s="1"/>
  <c r="AL539" i="9"/>
  <c r="AG527" i="10"/>
  <c r="AE539" i="9"/>
  <c r="P528" i="10" s="1"/>
  <c r="N586" i="9"/>
  <c r="AC579" i="9"/>
  <c r="Q588" i="9"/>
  <c r="Y587" i="9"/>
  <c r="AB597" i="9"/>
  <c r="O638" i="9"/>
  <c r="AF638" i="9"/>
  <c r="Q528" i="10" l="1"/>
  <c r="S528" i="10" s="1"/>
  <c r="I528" i="10"/>
  <c r="J528" i="10"/>
  <c r="D2" i="9"/>
  <c r="D29" i="2" s="1"/>
  <c r="D565" i="9"/>
  <c r="D566" i="9" s="1"/>
  <c r="D567" i="9" s="1"/>
  <c r="D568" i="9" s="1"/>
  <c r="D569" i="9" s="1"/>
  <c r="D570" i="9" s="1"/>
  <c r="D571" i="9" s="1"/>
  <c r="D572" i="9" s="1"/>
  <c r="D573" i="9" s="1"/>
  <c r="D574" i="9" s="1"/>
  <c r="D575" i="9" s="1"/>
  <c r="D576" i="9" s="1"/>
  <c r="D577" i="9" s="1"/>
  <c r="D578" i="9" s="1"/>
  <c r="D579" i="9" s="1"/>
  <c r="D580" i="9" s="1"/>
  <c r="D581" i="9" s="1"/>
  <c r="D582" i="9" s="1"/>
  <c r="D583" i="9" s="1"/>
  <c r="D584" i="9" s="1"/>
  <c r="D585" i="9" s="1"/>
  <c r="D586" i="9" s="1"/>
  <c r="D587" i="9" s="1"/>
  <c r="D588" i="9" s="1"/>
  <c r="D589" i="9" s="1"/>
  <c r="D590" i="9" s="1"/>
  <c r="D591" i="9" s="1"/>
  <c r="D592" i="9" s="1"/>
  <c r="D593" i="9" s="1"/>
  <c r="D594" i="9" s="1"/>
  <c r="D595" i="9" s="1"/>
  <c r="D596" i="9" s="1"/>
  <c r="D597" i="9" s="1"/>
  <c r="D598" i="9" s="1"/>
  <c r="D599" i="9" s="1"/>
  <c r="D600" i="9" s="1"/>
  <c r="D601" i="9" s="1"/>
  <c r="D602" i="9" s="1"/>
  <c r="D603" i="9" s="1"/>
  <c r="D604" i="9" s="1"/>
  <c r="D605" i="9" s="1"/>
  <c r="D606" i="9" s="1"/>
  <c r="D607" i="9" s="1"/>
  <c r="D608" i="9" s="1"/>
  <c r="D609" i="9" s="1"/>
  <c r="D610" i="9" s="1"/>
  <c r="D611" i="9" s="1"/>
  <c r="D612" i="9" s="1"/>
  <c r="D613" i="9" s="1"/>
  <c r="D614" i="9" s="1"/>
  <c r="D615" i="9" s="1"/>
  <c r="D616" i="9" s="1"/>
  <c r="D617" i="9" s="1"/>
  <c r="D618" i="9" s="1"/>
  <c r="D619" i="9" s="1"/>
  <c r="D620" i="9" s="1"/>
  <c r="D621" i="9" s="1"/>
  <c r="D622" i="9" s="1"/>
  <c r="D623" i="9" s="1"/>
  <c r="D624" i="9" s="1"/>
  <c r="D625" i="9" s="1"/>
  <c r="D626" i="9" s="1"/>
  <c r="D627" i="9" s="1"/>
  <c r="D628" i="9" s="1"/>
  <c r="D629" i="9" s="1"/>
  <c r="D630" i="9" s="1"/>
  <c r="D631" i="9" s="1"/>
  <c r="D632" i="9" s="1"/>
  <c r="D633" i="9" s="1"/>
  <c r="D634" i="9" s="1"/>
  <c r="D635" i="9" s="1"/>
  <c r="D636" i="9" s="1"/>
  <c r="D637" i="9" s="1"/>
  <c r="D638" i="9" s="1"/>
  <c r="D639" i="9" s="1"/>
  <c r="D640" i="9" s="1"/>
  <c r="D641" i="9" s="1"/>
  <c r="D642" i="9" s="1"/>
  <c r="D643" i="9" s="1"/>
  <c r="D644" i="9" s="1"/>
  <c r="D645" i="9" s="1"/>
  <c r="D646" i="9" s="1"/>
  <c r="D647" i="9" s="1"/>
  <c r="D648" i="9" s="1"/>
  <c r="D649" i="9" s="1"/>
  <c r="D650" i="9" s="1"/>
  <c r="D651" i="9" s="1"/>
  <c r="D652" i="9" s="1"/>
  <c r="D653" i="9" s="1"/>
  <c r="D654" i="9" s="1"/>
  <c r="D655" i="9" s="1"/>
  <c r="D656" i="9" s="1"/>
  <c r="AA565" i="9"/>
  <c r="AA566" i="9" s="1"/>
  <c r="AA567" i="9" s="1"/>
  <c r="AA568" i="9" s="1"/>
  <c r="AA569" i="9" s="1"/>
  <c r="AA570" i="9" s="1"/>
  <c r="AA571" i="9" s="1"/>
  <c r="AA572" i="9" s="1"/>
  <c r="AA573" i="9" s="1"/>
  <c r="AA574" i="9" s="1"/>
  <c r="AA575" i="9" s="1"/>
  <c r="AA576" i="9" s="1"/>
  <c r="AA577" i="9" s="1"/>
  <c r="AA578" i="9" s="1"/>
  <c r="AA579" i="9" s="1"/>
  <c r="AA580" i="9" s="1"/>
  <c r="AA581" i="9" s="1"/>
  <c r="AA582" i="9" s="1"/>
  <c r="AA583" i="9" s="1"/>
  <c r="AA584" i="9" s="1"/>
  <c r="AA585" i="9" s="1"/>
  <c r="AA586" i="9" s="1"/>
  <c r="AA587" i="9" s="1"/>
  <c r="AA588" i="9" s="1"/>
  <c r="AA589" i="9" s="1"/>
  <c r="AA590" i="9" s="1"/>
  <c r="AA591" i="9" s="1"/>
  <c r="AA592" i="9" s="1"/>
  <c r="AA593" i="9" s="1"/>
  <c r="AA594" i="9" s="1"/>
  <c r="AA595" i="9" s="1"/>
  <c r="AA596" i="9" s="1"/>
  <c r="AA597" i="9" s="1"/>
  <c r="AA598" i="9" s="1"/>
  <c r="AA599" i="9" s="1"/>
  <c r="AA600" i="9" s="1"/>
  <c r="AA601" i="9" s="1"/>
  <c r="AA602" i="9" s="1"/>
  <c r="AA603" i="9" s="1"/>
  <c r="AA604" i="9" s="1"/>
  <c r="AA605" i="9" s="1"/>
  <c r="AA606" i="9" s="1"/>
  <c r="AA607" i="9" s="1"/>
  <c r="AA608" i="9" s="1"/>
  <c r="AA609" i="9" s="1"/>
  <c r="AA610" i="9" s="1"/>
  <c r="AA611" i="9" s="1"/>
  <c r="AA612" i="9" s="1"/>
  <c r="AA613" i="9" s="1"/>
  <c r="AA614" i="9" s="1"/>
  <c r="AA615" i="9" s="1"/>
  <c r="AA616" i="9" s="1"/>
  <c r="AA617" i="9" s="1"/>
  <c r="AA618" i="9" s="1"/>
  <c r="AA619" i="9" s="1"/>
  <c r="AA620" i="9" s="1"/>
  <c r="AA621" i="9" s="1"/>
  <c r="AA622" i="9" s="1"/>
  <c r="AA623" i="9" s="1"/>
  <c r="AA624" i="9" s="1"/>
  <c r="AA625" i="9" s="1"/>
  <c r="AA626" i="9" s="1"/>
  <c r="AA627" i="9" s="1"/>
  <c r="AA628" i="9" s="1"/>
  <c r="AA629" i="9" s="1"/>
  <c r="AA630" i="9" s="1"/>
  <c r="AA631" i="9" s="1"/>
  <c r="AA632" i="9" s="1"/>
  <c r="AA633" i="9" s="1"/>
  <c r="AA634" i="9" s="1"/>
  <c r="AA635" i="9" s="1"/>
  <c r="AA636" i="9" s="1"/>
  <c r="AA637" i="9" s="1"/>
  <c r="AA638" i="9" s="1"/>
  <c r="AA639" i="9" s="1"/>
  <c r="AA640" i="9" s="1"/>
  <c r="AA641" i="9" s="1"/>
  <c r="AA642" i="9" s="1"/>
  <c r="AA643" i="9" s="1"/>
  <c r="AA644" i="9" s="1"/>
  <c r="AA645" i="9" s="1"/>
  <c r="AA646" i="9" s="1"/>
  <c r="AA647" i="9" s="1"/>
  <c r="AA648" i="9" s="1"/>
  <c r="AA649" i="9" s="1"/>
  <c r="AA650" i="9" s="1"/>
  <c r="AA651" i="9" s="1"/>
  <c r="AA652" i="9" s="1"/>
  <c r="AA653" i="9" s="1"/>
  <c r="AA654" i="9" s="1"/>
  <c r="AA655" i="9" s="1"/>
  <c r="AA656" i="9" s="1"/>
  <c r="AA2" i="9"/>
  <c r="D33" i="2" s="1"/>
  <c r="AC580" i="9"/>
  <c r="N587" i="9"/>
  <c r="Y588" i="9"/>
  <c r="Q589" i="9"/>
  <c r="AB598" i="9"/>
  <c r="O639" i="9"/>
  <c r="AF639" i="9"/>
  <c r="AA4" i="9" l="1"/>
  <c r="F33" i="2" s="1"/>
  <c r="AA3" i="9"/>
  <c r="E33" i="2" s="1"/>
  <c r="D3" i="9"/>
  <c r="E29" i="2" s="1"/>
  <c r="D4" i="9"/>
  <c r="F29" i="2" s="1"/>
  <c r="R528" i="10"/>
  <c r="K528" i="10"/>
  <c r="L528" i="10" s="1"/>
  <c r="N588" i="9"/>
  <c r="AC581" i="9"/>
  <c r="Q590" i="9"/>
  <c r="Y589" i="9"/>
  <c r="AB599" i="9"/>
  <c r="AF640" i="9"/>
  <c r="O640" i="9"/>
  <c r="M528" i="10" l="1"/>
  <c r="V528" i="10"/>
  <c r="AA528" i="10" s="1"/>
  <c r="U528" i="10"/>
  <c r="Z528" i="10" s="1"/>
  <c r="AC582" i="9"/>
  <c r="N589" i="9"/>
  <c r="Y590" i="9"/>
  <c r="Q591" i="9"/>
  <c r="AB600" i="9"/>
  <c r="O641" i="9"/>
  <c r="AF641" i="9"/>
  <c r="AB528" i="10" l="1"/>
  <c r="AL540" i="9" s="1"/>
  <c r="AC528" i="10"/>
  <c r="V540" i="9" s="1"/>
  <c r="AD528" i="10"/>
  <c r="B540" i="9" s="1"/>
  <c r="AE528" i="10"/>
  <c r="N590" i="9"/>
  <c r="AC583" i="9"/>
  <c r="Q592" i="9"/>
  <c r="Y591" i="9"/>
  <c r="AB601" i="9"/>
  <c r="AF642" i="9"/>
  <c r="O642" i="9"/>
  <c r="P529" i="10" l="1"/>
  <c r="I529" i="10"/>
  <c r="AE540" i="9"/>
  <c r="AG528" i="10"/>
  <c r="AC584" i="9"/>
  <c r="N591" i="9"/>
  <c r="Y592" i="9"/>
  <c r="Q593" i="9"/>
  <c r="AB602" i="9"/>
  <c r="O643" i="9"/>
  <c r="AF643" i="9"/>
  <c r="K529" i="10" l="1"/>
  <c r="L529" i="10" s="1"/>
  <c r="Q529" i="10"/>
  <c r="R529" i="10" s="1"/>
  <c r="N592" i="9"/>
  <c r="AC585" i="9"/>
  <c r="Q594" i="9"/>
  <c r="Y593" i="9"/>
  <c r="AB603" i="9"/>
  <c r="AF644" i="9"/>
  <c r="O644" i="9"/>
  <c r="S529" i="10" l="1"/>
  <c r="U529" i="10"/>
  <c r="Z529" i="10" s="1"/>
  <c r="AB529" i="10" s="1"/>
  <c r="AL541" i="9" s="1"/>
  <c r="V529" i="10"/>
  <c r="AA529" i="10" s="1"/>
  <c r="M529" i="10"/>
  <c r="AC586" i="9"/>
  <c r="N593" i="9"/>
  <c r="Y594" i="9"/>
  <c r="Q595" i="9"/>
  <c r="AB604" i="9"/>
  <c r="O645" i="9"/>
  <c r="AF645" i="9"/>
  <c r="AC529" i="10" l="1"/>
  <c r="S541" i="9" s="1"/>
  <c r="J530" i="10" s="1"/>
  <c r="I530" i="10"/>
  <c r="AE529" i="10"/>
  <c r="AD529" i="10"/>
  <c r="N594" i="9"/>
  <c r="AC587" i="9"/>
  <c r="Q596" i="9"/>
  <c r="Y595" i="9"/>
  <c r="AB605" i="9"/>
  <c r="AF646" i="9"/>
  <c r="O646" i="9"/>
  <c r="AE541" i="9" l="1"/>
  <c r="AE542" i="9" s="1"/>
  <c r="V541" i="9"/>
  <c r="AG529" i="10"/>
  <c r="B541" i="9"/>
  <c r="B542" i="9" s="1"/>
  <c r="B543" i="9" s="1"/>
  <c r="B544" i="9" s="1"/>
  <c r="B545" i="9" s="1"/>
  <c r="B546" i="9" s="1"/>
  <c r="B547" i="9" s="1"/>
  <c r="B548" i="9" s="1"/>
  <c r="B549" i="9" s="1"/>
  <c r="B550" i="9" s="1"/>
  <c r="B551" i="9" s="1"/>
  <c r="B552" i="9" s="1"/>
  <c r="B553" i="9" s="1"/>
  <c r="B554" i="9" s="1"/>
  <c r="B555" i="9" s="1"/>
  <c r="B556" i="9" s="1"/>
  <c r="B557" i="9" s="1"/>
  <c r="B558" i="9" s="1"/>
  <c r="B559" i="9" s="1"/>
  <c r="B560" i="9" s="1"/>
  <c r="B561" i="9" s="1"/>
  <c r="B562" i="9" s="1"/>
  <c r="B563" i="9" s="1"/>
  <c r="B564" i="9" s="1"/>
  <c r="AT541" i="9"/>
  <c r="K530" i="10"/>
  <c r="AC588" i="9"/>
  <c r="N595" i="9"/>
  <c r="Y596" i="9"/>
  <c r="Q597" i="9"/>
  <c r="AB606" i="9"/>
  <c r="O647" i="9"/>
  <c r="AF647" i="9"/>
  <c r="P530" i="10" l="1"/>
  <c r="L530" i="10"/>
  <c r="O530" i="10"/>
  <c r="B565" i="9"/>
  <c r="B566" i="9" s="1"/>
  <c r="B567" i="9" s="1"/>
  <c r="B568" i="9" s="1"/>
  <c r="B569" i="9" s="1"/>
  <c r="B570" i="9" s="1"/>
  <c r="B571" i="9" s="1"/>
  <c r="B572" i="9" s="1"/>
  <c r="B573" i="9" s="1"/>
  <c r="B574" i="9" s="1"/>
  <c r="B575" i="9" s="1"/>
  <c r="B576" i="9" s="1"/>
  <c r="B577" i="9" s="1"/>
  <c r="B578" i="9" s="1"/>
  <c r="B579" i="9" s="1"/>
  <c r="B580" i="9" s="1"/>
  <c r="B581" i="9" s="1"/>
  <c r="B582" i="9" s="1"/>
  <c r="B583" i="9" s="1"/>
  <c r="B584" i="9" s="1"/>
  <c r="B585" i="9" s="1"/>
  <c r="B586" i="9" s="1"/>
  <c r="B587" i="9" s="1"/>
  <c r="B588" i="9" s="1"/>
  <c r="B589" i="9" s="1"/>
  <c r="B590" i="9" s="1"/>
  <c r="B591" i="9" s="1"/>
  <c r="B592" i="9" s="1"/>
  <c r="B593" i="9" s="1"/>
  <c r="B594" i="9" s="1"/>
  <c r="B595" i="9" s="1"/>
  <c r="B596" i="9" s="1"/>
  <c r="B597" i="9" s="1"/>
  <c r="B598" i="9" s="1"/>
  <c r="B599" i="9" s="1"/>
  <c r="B600" i="9" s="1"/>
  <c r="B601" i="9" s="1"/>
  <c r="B602" i="9" s="1"/>
  <c r="B603" i="9" s="1"/>
  <c r="B604" i="9" s="1"/>
  <c r="B605" i="9" s="1"/>
  <c r="B606" i="9" s="1"/>
  <c r="B607" i="9" s="1"/>
  <c r="B2" i="9"/>
  <c r="D18" i="2" s="1"/>
  <c r="M530" i="10"/>
  <c r="N596" i="9"/>
  <c r="AC589" i="9"/>
  <c r="Q598" i="9"/>
  <c r="Y597" i="9"/>
  <c r="AB607" i="9"/>
  <c r="AF648" i="9"/>
  <c r="O648" i="9"/>
  <c r="Q530" i="10" l="1"/>
  <c r="R530" i="10" s="1"/>
  <c r="AC590" i="9"/>
  <c r="N597" i="9"/>
  <c r="Y598" i="9"/>
  <c r="Q599" i="9"/>
  <c r="B608" i="9"/>
  <c r="AB608" i="9"/>
  <c r="O649" i="9"/>
  <c r="AF649" i="9"/>
  <c r="V530" i="10" l="1"/>
  <c r="AA530" i="10" s="1"/>
  <c r="S530" i="10"/>
  <c r="U530" i="10"/>
  <c r="Z530" i="10" s="1"/>
  <c r="AE530" i="10"/>
  <c r="AD530" i="10"/>
  <c r="AT542" i="9" s="1"/>
  <c r="AC530" i="10"/>
  <c r="S542" i="9" s="1"/>
  <c r="AB530" i="10"/>
  <c r="AL542" i="9" s="1"/>
  <c r="N598" i="9"/>
  <c r="AC591" i="9"/>
  <c r="Q600" i="9"/>
  <c r="Y599" i="9"/>
  <c r="AB609" i="9"/>
  <c r="B609" i="9"/>
  <c r="AF650" i="9"/>
  <c r="O650" i="9"/>
  <c r="J531" i="10" l="1"/>
  <c r="O531" i="10"/>
  <c r="V542" i="9"/>
  <c r="AG530" i="10"/>
  <c r="AC592" i="9"/>
  <c r="N599" i="9"/>
  <c r="Q601" i="9"/>
  <c r="Y600" i="9"/>
  <c r="B610" i="9"/>
  <c r="AB610" i="9"/>
  <c r="O651" i="9"/>
  <c r="AF651" i="9"/>
  <c r="K5" i="11" l="1"/>
  <c r="Q531" i="10"/>
  <c r="R531" i="10" s="1"/>
  <c r="V543" i="9"/>
  <c r="V544" i="9" s="1"/>
  <c r="V545" i="9" s="1"/>
  <c r="V546" i="9" s="1"/>
  <c r="V547" i="9" s="1"/>
  <c r="V548" i="9" s="1"/>
  <c r="V549" i="9" s="1"/>
  <c r="V550" i="9" s="1"/>
  <c r="V551" i="9" s="1"/>
  <c r="V552" i="9" s="1"/>
  <c r="V553" i="9" s="1"/>
  <c r="V554" i="9" s="1"/>
  <c r="V555" i="9" s="1"/>
  <c r="V556" i="9" s="1"/>
  <c r="V557" i="9" s="1"/>
  <c r="V558" i="9" s="1"/>
  <c r="V559" i="9" s="1"/>
  <c r="V560" i="9" s="1"/>
  <c r="V561" i="9" s="1"/>
  <c r="V562" i="9" s="1"/>
  <c r="V563" i="9" s="1"/>
  <c r="V564" i="9" s="1"/>
  <c r="G5" i="11"/>
  <c r="H5" i="11" s="1"/>
  <c r="Q16" i="11" s="1"/>
  <c r="K531" i="10"/>
  <c r="M531" i="10" s="1"/>
  <c r="N600" i="9"/>
  <c r="AC593" i="9"/>
  <c r="Y601" i="9"/>
  <c r="Q602" i="9"/>
  <c r="AB611" i="9"/>
  <c r="B611" i="9"/>
  <c r="AF652" i="9"/>
  <c r="O652" i="9"/>
  <c r="V565" i="9" l="1"/>
  <c r="V2" i="9"/>
  <c r="D26" i="2" s="1"/>
  <c r="U531" i="10"/>
  <c r="Z531" i="10" s="1"/>
  <c r="S531" i="10"/>
  <c r="L531" i="10"/>
  <c r="V531" i="10"/>
  <c r="AA531" i="10" s="1"/>
  <c r="M5" i="11"/>
  <c r="Q5" i="11" s="1"/>
  <c r="Q6" i="11" s="1"/>
  <c r="AC594" i="9"/>
  <c r="N601" i="9"/>
  <c r="Q603" i="9"/>
  <c r="Y602" i="9"/>
  <c r="B612" i="9"/>
  <c r="AB612" i="9"/>
  <c r="O653" i="9"/>
  <c r="AF653" i="9"/>
  <c r="R16" i="11" l="1"/>
  <c r="AD531" i="10"/>
  <c r="AE531" i="10"/>
  <c r="AB531" i="10"/>
  <c r="AC531" i="10"/>
  <c r="Q7" i="11"/>
  <c r="Q10" i="11"/>
  <c r="Q13" i="11" s="1"/>
  <c r="Q14" i="11" s="1"/>
  <c r="Q15" i="11" s="1"/>
  <c r="V566" i="9"/>
  <c r="V567" i="9" s="1"/>
  <c r="V568" i="9" s="1"/>
  <c r="V569" i="9" s="1"/>
  <c r="V570" i="9" s="1"/>
  <c r="V571" i="9" s="1"/>
  <c r="V572" i="9" s="1"/>
  <c r="V573" i="9" s="1"/>
  <c r="V574" i="9" s="1"/>
  <c r="V575" i="9" s="1"/>
  <c r="V576" i="9" s="1"/>
  <c r="V577" i="9" s="1"/>
  <c r="V578" i="9" s="1"/>
  <c r="V579" i="9" s="1"/>
  <c r="V580" i="9" s="1"/>
  <c r="V581" i="9" s="1"/>
  <c r="V582" i="9" s="1"/>
  <c r="V583" i="9" s="1"/>
  <c r="V584" i="9" s="1"/>
  <c r="V585" i="9" s="1"/>
  <c r="V586" i="9" s="1"/>
  <c r="V587" i="9" s="1"/>
  <c r="V588" i="9" s="1"/>
  <c r="V589" i="9" s="1"/>
  <c r="V590" i="9" s="1"/>
  <c r="V591" i="9" s="1"/>
  <c r="V592" i="9" s="1"/>
  <c r="V593" i="9" s="1"/>
  <c r="V594" i="9" s="1"/>
  <c r="V595" i="9" s="1"/>
  <c r="V596" i="9" s="1"/>
  <c r="V597" i="9" s="1"/>
  <c r="V598" i="9" s="1"/>
  <c r="V599" i="9" s="1"/>
  <c r="V600" i="9" s="1"/>
  <c r="V601" i="9" s="1"/>
  <c r="V602" i="9" s="1"/>
  <c r="V603" i="9" s="1"/>
  <c r="V604" i="9" s="1"/>
  <c r="V605" i="9" s="1"/>
  <c r="V606" i="9" s="1"/>
  <c r="V607" i="9" s="1"/>
  <c r="V608" i="9" s="1"/>
  <c r="V609" i="9" s="1"/>
  <c r="V610" i="9" s="1"/>
  <c r="V611" i="9" s="1"/>
  <c r="V612" i="9" s="1"/>
  <c r="V613" i="9" s="1"/>
  <c r="V614" i="9" s="1"/>
  <c r="V615" i="9" s="1"/>
  <c r="V616" i="9" s="1"/>
  <c r="V617" i="9" s="1"/>
  <c r="V618" i="9" s="1"/>
  <c r="V619" i="9" s="1"/>
  <c r="V620" i="9" s="1"/>
  <c r="V621" i="9" s="1"/>
  <c r="V622" i="9" s="1"/>
  <c r="V623" i="9" s="1"/>
  <c r="V624" i="9" s="1"/>
  <c r="V625" i="9" s="1"/>
  <c r="V626" i="9" s="1"/>
  <c r="V627" i="9" s="1"/>
  <c r="V628" i="9" s="1"/>
  <c r="V629" i="9" s="1"/>
  <c r="V630" i="9" s="1"/>
  <c r="V631" i="9" s="1"/>
  <c r="V632" i="9" s="1"/>
  <c r="V633" i="9" s="1"/>
  <c r="V634" i="9" s="1"/>
  <c r="V635" i="9" s="1"/>
  <c r="V636" i="9" s="1"/>
  <c r="V637" i="9" s="1"/>
  <c r="V638" i="9" s="1"/>
  <c r="V639" i="9" s="1"/>
  <c r="V640" i="9" s="1"/>
  <c r="V641" i="9" s="1"/>
  <c r="V642" i="9" s="1"/>
  <c r="V643" i="9" s="1"/>
  <c r="V644" i="9" s="1"/>
  <c r="V645" i="9" s="1"/>
  <c r="V646" i="9" s="1"/>
  <c r="V647" i="9" s="1"/>
  <c r="V648" i="9" s="1"/>
  <c r="V649" i="9" s="1"/>
  <c r="V650" i="9" s="1"/>
  <c r="V651" i="9" s="1"/>
  <c r="V652" i="9" s="1"/>
  <c r="V653" i="9" s="1"/>
  <c r="V654" i="9" s="1"/>
  <c r="V655" i="9" s="1"/>
  <c r="V656" i="9" s="1"/>
  <c r="V4" i="9" s="1"/>
  <c r="F26" i="2" s="1"/>
  <c r="N602" i="9"/>
  <c r="AC595" i="9"/>
  <c r="Y603" i="9"/>
  <c r="Q604" i="9"/>
  <c r="AB613" i="9"/>
  <c r="B613" i="9"/>
  <c r="AF654" i="9"/>
  <c r="O654" i="9"/>
  <c r="Q8" i="11" l="1"/>
  <c r="C28" i="11" s="1"/>
  <c r="K28" i="11"/>
  <c r="R10" i="11"/>
  <c r="S543" i="9"/>
  <c r="G6" i="11"/>
  <c r="G7" i="11" s="1"/>
  <c r="AE543" i="9"/>
  <c r="J532" i="10" s="1"/>
  <c r="AL543" i="9"/>
  <c r="I543" i="9"/>
  <c r="F6" i="11"/>
  <c r="L6" i="11"/>
  <c r="L7" i="11" s="1"/>
  <c r="AG531" i="10"/>
  <c r="AK543" i="9"/>
  <c r="P532" i="10" s="1"/>
  <c r="V3" i="9"/>
  <c r="E26" i="2" s="1"/>
  <c r="AT543" i="9"/>
  <c r="K6" i="11"/>
  <c r="E543" i="9"/>
  <c r="AC596" i="9"/>
  <c r="N603" i="9"/>
  <c r="Q605" i="9"/>
  <c r="Y604" i="9"/>
  <c r="B614" i="9"/>
  <c r="AB614" i="9"/>
  <c r="O655" i="9"/>
  <c r="AF655" i="9"/>
  <c r="M6" i="11" l="1"/>
  <c r="M7" i="11" s="1"/>
  <c r="K36" i="11" s="1"/>
  <c r="K7" i="11"/>
  <c r="AL544" i="9"/>
  <c r="AL545" i="9" s="1"/>
  <c r="AL546" i="9" s="1"/>
  <c r="AL547" i="9" s="1"/>
  <c r="AL548" i="9" s="1"/>
  <c r="AL549" i="9" s="1"/>
  <c r="AL550" i="9" s="1"/>
  <c r="AL551" i="9" s="1"/>
  <c r="AL552" i="9" s="1"/>
  <c r="AL553" i="9" s="1"/>
  <c r="AL554" i="9" s="1"/>
  <c r="AL555" i="9" s="1"/>
  <c r="AL556" i="9" s="1"/>
  <c r="AL557" i="9" s="1"/>
  <c r="AL558" i="9" s="1"/>
  <c r="AL559" i="9" s="1"/>
  <c r="AL560" i="9" s="1"/>
  <c r="AL561" i="9" s="1"/>
  <c r="AL562" i="9" s="1"/>
  <c r="AL563" i="9" s="1"/>
  <c r="AL564" i="9" s="1"/>
  <c r="AT544" i="9"/>
  <c r="AT545" i="9" s="1"/>
  <c r="AT546" i="9" s="1"/>
  <c r="AT547" i="9" s="1"/>
  <c r="AT548" i="9" s="1"/>
  <c r="AT549" i="9" s="1"/>
  <c r="AT550" i="9" s="1"/>
  <c r="AT551" i="9" s="1"/>
  <c r="AT552" i="9" s="1"/>
  <c r="AT553" i="9" s="1"/>
  <c r="AT554" i="9" s="1"/>
  <c r="AT555" i="9" s="1"/>
  <c r="AT556" i="9" s="1"/>
  <c r="AT557" i="9" s="1"/>
  <c r="AT558" i="9" s="1"/>
  <c r="AT559" i="9" s="1"/>
  <c r="AT560" i="9" s="1"/>
  <c r="AT561" i="9" s="1"/>
  <c r="AT562" i="9" s="1"/>
  <c r="AT563" i="9" s="1"/>
  <c r="AT564" i="9" s="1"/>
  <c r="S544" i="9"/>
  <c r="S545" i="9" s="1"/>
  <c r="S546" i="9" s="1"/>
  <c r="S547" i="9" s="1"/>
  <c r="S548" i="9" s="1"/>
  <c r="S549" i="9" s="1"/>
  <c r="S550" i="9" s="1"/>
  <c r="S551" i="9" s="1"/>
  <c r="S552" i="9" s="1"/>
  <c r="S553" i="9" s="1"/>
  <c r="S554" i="9" s="1"/>
  <c r="S555" i="9" s="1"/>
  <c r="S556" i="9" s="1"/>
  <c r="S557" i="9" s="1"/>
  <c r="S558" i="9" s="1"/>
  <c r="S559" i="9" s="1"/>
  <c r="S560" i="9" s="1"/>
  <c r="S561" i="9" s="1"/>
  <c r="S562" i="9" s="1"/>
  <c r="S563" i="9" s="1"/>
  <c r="S564" i="9" s="1"/>
  <c r="R33" i="11"/>
  <c r="T35" i="11"/>
  <c r="R23" i="11"/>
  <c r="R36" i="11"/>
  <c r="R21" i="11"/>
  <c r="R34" i="11"/>
  <c r="T36" i="11"/>
  <c r="R20" i="11"/>
  <c r="R25" i="11"/>
  <c r="R29" i="11"/>
  <c r="R40" i="11"/>
  <c r="T26" i="11"/>
  <c r="R28" i="11"/>
  <c r="T30" i="11"/>
  <c r="T28" i="11"/>
  <c r="T40" i="11"/>
  <c r="R37" i="11"/>
  <c r="T22" i="11"/>
  <c r="T27" i="11"/>
  <c r="T20" i="11"/>
  <c r="T25" i="11"/>
  <c r="R35" i="11"/>
  <c r="T29" i="11"/>
  <c r="R13" i="11"/>
  <c r="R14" i="11" s="1"/>
  <c r="R15" i="11" s="1"/>
  <c r="T23" i="11"/>
  <c r="R26" i="11"/>
  <c r="R31" i="11"/>
  <c r="R27" i="11"/>
  <c r="T33" i="11"/>
  <c r="T38" i="11"/>
  <c r="R30" i="11"/>
  <c r="T24" i="11"/>
  <c r="R22" i="11"/>
  <c r="R24" i="11"/>
  <c r="T39" i="11"/>
  <c r="T21" i="11"/>
  <c r="T32" i="11"/>
  <c r="R32" i="11"/>
  <c r="T31" i="11"/>
  <c r="T37" i="11"/>
  <c r="R39" i="11"/>
  <c r="R38" i="11"/>
  <c r="T34" i="11"/>
  <c r="H6" i="11"/>
  <c r="H7" i="11" s="1"/>
  <c r="C36" i="11" s="1"/>
  <c r="F7" i="11"/>
  <c r="O532" i="10"/>
  <c r="I532" i="10"/>
  <c r="N604" i="9"/>
  <c r="AC597" i="9"/>
  <c r="Y605" i="9"/>
  <c r="Q606" i="9"/>
  <c r="AB615" i="9"/>
  <c r="B615" i="9"/>
  <c r="AF656" i="9"/>
  <c r="O656" i="9"/>
  <c r="K532" i="10" l="1"/>
  <c r="L532" i="10" s="1"/>
  <c r="AL2" i="9"/>
  <c r="D9" i="2" s="1"/>
  <c r="AL565" i="9"/>
  <c r="AL566" i="9" s="1"/>
  <c r="AL567" i="9" s="1"/>
  <c r="AL568" i="9" s="1"/>
  <c r="AL569" i="9" s="1"/>
  <c r="AL570" i="9" s="1"/>
  <c r="AL571" i="9" s="1"/>
  <c r="AL572" i="9" s="1"/>
  <c r="AL573" i="9" s="1"/>
  <c r="AL574" i="9" s="1"/>
  <c r="AL575" i="9" s="1"/>
  <c r="AL576" i="9" s="1"/>
  <c r="AL577" i="9" s="1"/>
  <c r="AL578" i="9" s="1"/>
  <c r="AL579" i="9" s="1"/>
  <c r="AL580" i="9" s="1"/>
  <c r="AL581" i="9" s="1"/>
  <c r="AL582" i="9" s="1"/>
  <c r="AL583" i="9" s="1"/>
  <c r="AL584" i="9" s="1"/>
  <c r="AL585" i="9" s="1"/>
  <c r="AL586" i="9" s="1"/>
  <c r="AL587" i="9" s="1"/>
  <c r="AL588" i="9" s="1"/>
  <c r="AL589" i="9" s="1"/>
  <c r="AL590" i="9" s="1"/>
  <c r="AL591" i="9" s="1"/>
  <c r="AL592" i="9" s="1"/>
  <c r="AL593" i="9" s="1"/>
  <c r="AL594" i="9" s="1"/>
  <c r="AL595" i="9" s="1"/>
  <c r="AL596" i="9" s="1"/>
  <c r="AL597" i="9" s="1"/>
  <c r="AL598" i="9" s="1"/>
  <c r="AL599" i="9" s="1"/>
  <c r="AL600" i="9" s="1"/>
  <c r="AL601" i="9" s="1"/>
  <c r="AL602" i="9" s="1"/>
  <c r="AL603" i="9" s="1"/>
  <c r="AL604" i="9" s="1"/>
  <c r="AL605" i="9" s="1"/>
  <c r="AL606" i="9" s="1"/>
  <c r="AL607" i="9" s="1"/>
  <c r="AL608" i="9" s="1"/>
  <c r="AL609" i="9" s="1"/>
  <c r="AL610" i="9" s="1"/>
  <c r="AL611" i="9" s="1"/>
  <c r="AL612" i="9" s="1"/>
  <c r="AL613" i="9" s="1"/>
  <c r="AL614" i="9" s="1"/>
  <c r="AL615" i="9" s="1"/>
  <c r="AL616" i="9" s="1"/>
  <c r="AL617" i="9" s="1"/>
  <c r="AL618" i="9" s="1"/>
  <c r="AL619" i="9" s="1"/>
  <c r="AL620" i="9" s="1"/>
  <c r="AL621" i="9" s="1"/>
  <c r="AL622" i="9" s="1"/>
  <c r="AL623" i="9" s="1"/>
  <c r="AL624" i="9" s="1"/>
  <c r="AL625" i="9" s="1"/>
  <c r="AL626" i="9" s="1"/>
  <c r="AL627" i="9" s="1"/>
  <c r="AL628" i="9" s="1"/>
  <c r="AL629" i="9" s="1"/>
  <c r="AL630" i="9" s="1"/>
  <c r="AL631" i="9" s="1"/>
  <c r="AL632" i="9" s="1"/>
  <c r="AL633" i="9" s="1"/>
  <c r="AL634" i="9" s="1"/>
  <c r="AL635" i="9" s="1"/>
  <c r="AL636" i="9" s="1"/>
  <c r="AL637" i="9" s="1"/>
  <c r="AL638" i="9" s="1"/>
  <c r="AL639" i="9" s="1"/>
  <c r="AL640" i="9" s="1"/>
  <c r="AL641" i="9" s="1"/>
  <c r="AL642" i="9" s="1"/>
  <c r="AL643" i="9" s="1"/>
  <c r="AL644" i="9" s="1"/>
  <c r="AL645" i="9" s="1"/>
  <c r="AL646" i="9" s="1"/>
  <c r="AL647" i="9" s="1"/>
  <c r="AL648" i="9" s="1"/>
  <c r="AL649" i="9" s="1"/>
  <c r="AL650" i="9" s="1"/>
  <c r="AL651" i="9" s="1"/>
  <c r="AL652" i="9" s="1"/>
  <c r="AL653" i="9" s="1"/>
  <c r="AL654" i="9" s="1"/>
  <c r="AL655" i="9" s="1"/>
  <c r="AL656" i="9" s="1"/>
  <c r="S565" i="9"/>
  <c r="S2" i="9"/>
  <c r="D12" i="2" s="1"/>
  <c r="AT565" i="9"/>
  <c r="AT2" i="9"/>
  <c r="D6" i="2" s="1"/>
  <c r="Q532" i="10"/>
  <c r="R532" i="10" s="1"/>
  <c r="AC598" i="9"/>
  <c r="N605" i="9"/>
  <c r="Q607" i="9"/>
  <c r="Y606" i="9"/>
  <c r="B616" i="9"/>
  <c r="AB616" i="9"/>
  <c r="O4" i="9"/>
  <c r="O3" i="9"/>
  <c r="AF4" i="9"/>
  <c r="AF3" i="9"/>
  <c r="AT566" i="9" l="1"/>
  <c r="AT567" i="9" s="1"/>
  <c r="AT568" i="9" s="1"/>
  <c r="AT569" i="9" s="1"/>
  <c r="AT570" i="9" s="1"/>
  <c r="AT571" i="9" s="1"/>
  <c r="AT572" i="9" s="1"/>
  <c r="AT573" i="9" s="1"/>
  <c r="AT574" i="9" s="1"/>
  <c r="AT575" i="9" s="1"/>
  <c r="AT576" i="9" s="1"/>
  <c r="AT577" i="9" s="1"/>
  <c r="AT578" i="9" s="1"/>
  <c r="AT579" i="9" s="1"/>
  <c r="AT580" i="9" s="1"/>
  <c r="AT581" i="9" s="1"/>
  <c r="AT582" i="9" s="1"/>
  <c r="AT583" i="9" s="1"/>
  <c r="AT584" i="9" s="1"/>
  <c r="AT585" i="9" s="1"/>
  <c r="AT586" i="9" s="1"/>
  <c r="AT587" i="9" s="1"/>
  <c r="AT588" i="9" s="1"/>
  <c r="AT589" i="9" s="1"/>
  <c r="AT590" i="9" s="1"/>
  <c r="AT591" i="9" s="1"/>
  <c r="AT592" i="9" s="1"/>
  <c r="AT593" i="9" s="1"/>
  <c r="AT594" i="9" s="1"/>
  <c r="AT595" i="9" s="1"/>
  <c r="AT596" i="9" s="1"/>
  <c r="AT597" i="9" s="1"/>
  <c r="AT598" i="9" s="1"/>
  <c r="AT599" i="9" s="1"/>
  <c r="AT600" i="9" s="1"/>
  <c r="AT601" i="9" s="1"/>
  <c r="AT602" i="9" s="1"/>
  <c r="AT603" i="9" s="1"/>
  <c r="AT604" i="9" s="1"/>
  <c r="AT605" i="9" s="1"/>
  <c r="AT606" i="9" s="1"/>
  <c r="AT607" i="9" s="1"/>
  <c r="AT608" i="9" s="1"/>
  <c r="AT609" i="9" s="1"/>
  <c r="AT610" i="9" s="1"/>
  <c r="AT611" i="9" s="1"/>
  <c r="AT612" i="9" s="1"/>
  <c r="AT613" i="9" s="1"/>
  <c r="AT614" i="9" s="1"/>
  <c r="AT615" i="9" s="1"/>
  <c r="AT616" i="9" s="1"/>
  <c r="AT617" i="9" s="1"/>
  <c r="AT618" i="9" s="1"/>
  <c r="AT619" i="9" s="1"/>
  <c r="AT620" i="9" s="1"/>
  <c r="AT621" i="9" s="1"/>
  <c r="AT622" i="9" s="1"/>
  <c r="AT623" i="9" s="1"/>
  <c r="AT624" i="9" s="1"/>
  <c r="AT625" i="9" s="1"/>
  <c r="AT626" i="9" s="1"/>
  <c r="AT627" i="9" s="1"/>
  <c r="AT628" i="9" s="1"/>
  <c r="AT629" i="9" s="1"/>
  <c r="AT630" i="9" s="1"/>
  <c r="AT631" i="9" s="1"/>
  <c r="AT632" i="9" s="1"/>
  <c r="AT633" i="9" s="1"/>
  <c r="AT634" i="9" s="1"/>
  <c r="AT635" i="9" s="1"/>
  <c r="AT636" i="9" s="1"/>
  <c r="AT637" i="9" s="1"/>
  <c r="AT638" i="9" s="1"/>
  <c r="AT639" i="9" s="1"/>
  <c r="AT640" i="9" s="1"/>
  <c r="AT641" i="9" s="1"/>
  <c r="AT642" i="9" s="1"/>
  <c r="AT643" i="9" s="1"/>
  <c r="AT644" i="9" s="1"/>
  <c r="AT645" i="9" s="1"/>
  <c r="AT646" i="9" s="1"/>
  <c r="AT647" i="9" s="1"/>
  <c r="AT648" i="9" s="1"/>
  <c r="AT649" i="9" s="1"/>
  <c r="AT650" i="9" s="1"/>
  <c r="AT651" i="9" s="1"/>
  <c r="AT652" i="9" s="1"/>
  <c r="AT653" i="9" s="1"/>
  <c r="AT654" i="9" s="1"/>
  <c r="AT655" i="9" s="1"/>
  <c r="AT656" i="9" s="1"/>
  <c r="S566" i="9"/>
  <c r="S567" i="9" s="1"/>
  <c r="S568" i="9" s="1"/>
  <c r="S569" i="9" s="1"/>
  <c r="S570" i="9" s="1"/>
  <c r="S571" i="9" s="1"/>
  <c r="S572" i="9" s="1"/>
  <c r="S573" i="9" s="1"/>
  <c r="S574" i="9" s="1"/>
  <c r="S575" i="9" s="1"/>
  <c r="S576" i="9" s="1"/>
  <c r="S577" i="9" s="1"/>
  <c r="S578" i="9" s="1"/>
  <c r="S579" i="9" s="1"/>
  <c r="S580" i="9" s="1"/>
  <c r="S581" i="9" s="1"/>
  <c r="S582" i="9" s="1"/>
  <c r="S583" i="9" s="1"/>
  <c r="S584" i="9" s="1"/>
  <c r="S585" i="9" s="1"/>
  <c r="S586" i="9" s="1"/>
  <c r="S587" i="9" s="1"/>
  <c r="S588" i="9" s="1"/>
  <c r="S589" i="9" s="1"/>
  <c r="S590" i="9" s="1"/>
  <c r="S591" i="9" s="1"/>
  <c r="S592" i="9" s="1"/>
  <c r="S593" i="9" s="1"/>
  <c r="S594" i="9" s="1"/>
  <c r="S595" i="9" s="1"/>
  <c r="S596" i="9" s="1"/>
  <c r="S597" i="9" s="1"/>
  <c r="S598" i="9" s="1"/>
  <c r="S599" i="9" s="1"/>
  <c r="S600" i="9" s="1"/>
  <c r="S601" i="9" s="1"/>
  <c r="S602" i="9" s="1"/>
  <c r="S603" i="9" s="1"/>
  <c r="S604" i="9" s="1"/>
  <c r="S605" i="9" s="1"/>
  <c r="S606" i="9" s="1"/>
  <c r="S607" i="9" s="1"/>
  <c r="S608" i="9" s="1"/>
  <c r="S609" i="9" s="1"/>
  <c r="S610" i="9" s="1"/>
  <c r="S611" i="9" s="1"/>
  <c r="S612" i="9" s="1"/>
  <c r="S613" i="9" s="1"/>
  <c r="S614" i="9" s="1"/>
  <c r="S615" i="9" s="1"/>
  <c r="S616" i="9" s="1"/>
  <c r="S617" i="9" s="1"/>
  <c r="S618" i="9" s="1"/>
  <c r="S619" i="9" s="1"/>
  <c r="S620" i="9" s="1"/>
  <c r="S621" i="9" s="1"/>
  <c r="S622" i="9" s="1"/>
  <c r="S623" i="9" s="1"/>
  <c r="S624" i="9" s="1"/>
  <c r="S625" i="9" s="1"/>
  <c r="S626" i="9" s="1"/>
  <c r="S627" i="9" s="1"/>
  <c r="S628" i="9" s="1"/>
  <c r="S629" i="9" s="1"/>
  <c r="S630" i="9" s="1"/>
  <c r="S631" i="9" s="1"/>
  <c r="S632" i="9" s="1"/>
  <c r="S633" i="9" s="1"/>
  <c r="S634" i="9" s="1"/>
  <c r="S635" i="9" s="1"/>
  <c r="S636" i="9" s="1"/>
  <c r="S637" i="9" s="1"/>
  <c r="S638" i="9" s="1"/>
  <c r="S639" i="9" s="1"/>
  <c r="S640" i="9" s="1"/>
  <c r="S641" i="9" s="1"/>
  <c r="S642" i="9" s="1"/>
  <c r="S643" i="9" s="1"/>
  <c r="S644" i="9" s="1"/>
  <c r="S645" i="9" s="1"/>
  <c r="S646" i="9" s="1"/>
  <c r="S647" i="9" s="1"/>
  <c r="S648" i="9" s="1"/>
  <c r="S649" i="9" s="1"/>
  <c r="S650" i="9" s="1"/>
  <c r="S651" i="9" s="1"/>
  <c r="S652" i="9" s="1"/>
  <c r="S653" i="9" s="1"/>
  <c r="S654" i="9" s="1"/>
  <c r="S655" i="9" s="1"/>
  <c r="S656" i="9" s="1"/>
  <c r="S3" i="9" s="1"/>
  <c r="E12" i="2" s="1"/>
  <c r="U532" i="10"/>
  <c r="Z532" i="10" s="1"/>
  <c r="S532" i="10"/>
  <c r="AL4" i="9"/>
  <c r="F9" i="2" s="1"/>
  <c r="AL3" i="9"/>
  <c r="E9" i="2" s="1"/>
  <c r="M532" i="10"/>
  <c r="V532" i="10"/>
  <c r="AA532" i="10" s="1"/>
  <c r="F36" i="2"/>
  <c r="F11" i="2"/>
  <c r="E36" i="2"/>
  <c r="E11" i="2"/>
  <c r="F43" i="2"/>
  <c r="F49" i="2"/>
  <c r="E43" i="2"/>
  <c r="E49" i="2"/>
  <c r="N606" i="9"/>
  <c r="AC599" i="9"/>
  <c r="Y607" i="9"/>
  <c r="Q608" i="9"/>
  <c r="AB617" i="9"/>
  <c r="B617" i="9"/>
  <c r="AT4" i="9" l="1"/>
  <c r="F6" i="2" s="1"/>
  <c r="AC532" i="10"/>
  <c r="AE544" i="9" s="1"/>
  <c r="AE545" i="9" s="1"/>
  <c r="AE546" i="9" s="1"/>
  <c r="AE547" i="9" s="1"/>
  <c r="AE548" i="9" s="1"/>
  <c r="AE549" i="9" s="1"/>
  <c r="AE550" i="9" s="1"/>
  <c r="AE551" i="9" s="1"/>
  <c r="AE552" i="9" s="1"/>
  <c r="AE553" i="9" s="1"/>
  <c r="AE554" i="9" s="1"/>
  <c r="AE555" i="9" s="1"/>
  <c r="AE556" i="9" s="1"/>
  <c r="AE557" i="9" s="1"/>
  <c r="AE558" i="9" s="1"/>
  <c r="AE559" i="9" s="1"/>
  <c r="AE560" i="9" s="1"/>
  <c r="AE561" i="9" s="1"/>
  <c r="AE562" i="9" s="1"/>
  <c r="AE563" i="9" s="1"/>
  <c r="AE564" i="9" s="1"/>
  <c r="AB532" i="10"/>
  <c r="I544" i="9" s="1"/>
  <c r="AT3" i="9"/>
  <c r="E6" i="2" s="1"/>
  <c r="AE532" i="10"/>
  <c r="AD532" i="10"/>
  <c r="E544" i="9" s="1"/>
  <c r="S4" i="9"/>
  <c r="F12" i="2" s="1"/>
  <c r="AC600" i="9"/>
  <c r="N607" i="9"/>
  <c r="Q609" i="9"/>
  <c r="Y608" i="9"/>
  <c r="B618" i="9"/>
  <c r="AB618" i="9"/>
  <c r="I545" i="9" l="1"/>
  <c r="I546" i="9" s="1"/>
  <c r="I547" i="9" s="1"/>
  <c r="I548" i="9" s="1"/>
  <c r="I549" i="9" s="1"/>
  <c r="I550" i="9" s="1"/>
  <c r="I551" i="9" s="1"/>
  <c r="I552" i="9" s="1"/>
  <c r="I553" i="9" s="1"/>
  <c r="I554" i="9" s="1"/>
  <c r="I555" i="9" s="1"/>
  <c r="I556" i="9" s="1"/>
  <c r="I557" i="9" s="1"/>
  <c r="I558" i="9" s="1"/>
  <c r="I559" i="9" s="1"/>
  <c r="I560" i="9" s="1"/>
  <c r="I561" i="9" s="1"/>
  <c r="I562" i="9" s="1"/>
  <c r="I563" i="9" s="1"/>
  <c r="I564" i="9" s="1"/>
  <c r="E545" i="9"/>
  <c r="E546" i="9" s="1"/>
  <c r="E547" i="9" s="1"/>
  <c r="E548" i="9" s="1"/>
  <c r="E549" i="9" s="1"/>
  <c r="E550" i="9" s="1"/>
  <c r="E551" i="9" s="1"/>
  <c r="E552" i="9" s="1"/>
  <c r="E553" i="9" s="1"/>
  <c r="E554" i="9" s="1"/>
  <c r="E555" i="9" s="1"/>
  <c r="E556" i="9" s="1"/>
  <c r="E557" i="9" s="1"/>
  <c r="E558" i="9" s="1"/>
  <c r="E559" i="9" s="1"/>
  <c r="E560" i="9" s="1"/>
  <c r="E561" i="9" s="1"/>
  <c r="E562" i="9" s="1"/>
  <c r="E563" i="9" s="1"/>
  <c r="E564" i="9" s="1"/>
  <c r="AG532" i="10"/>
  <c r="AF2" i="10" s="1"/>
  <c r="J3" i="2" s="1"/>
  <c r="AK544" i="9"/>
  <c r="AK545" i="9" s="1"/>
  <c r="AK546" i="9" s="1"/>
  <c r="AK547" i="9" s="1"/>
  <c r="AK548" i="9" s="1"/>
  <c r="AK549" i="9" s="1"/>
  <c r="AK550" i="9" s="1"/>
  <c r="AK551" i="9" s="1"/>
  <c r="AK552" i="9" s="1"/>
  <c r="AK553" i="9" s="1"/>
  <c r="AK554" i="9" s="1"/>
  <c r="AK555" i="9" s="1"/>
  <c r="AK556" i="9" s="1"/>
  <c r="AK557" i="9" s="1"/>
  <c r="AK558" i="9" s="1"/>
  <c r="AK559" i="9" s="1"/>
  <c r="AK560" i="9" s="1"/>
  <c r="AK561" i="9" s="1"/>
  <c r="AK562" i="9" s="1"/>
  <c r="AK563" i="9" s="1"/>
  <c r="AK564" i="9" s="1"/>
  <c r="AE2" i="9"/>
  <c r="D35" i="2" s="1"/>
  <c r="AE565" i="9"/>
  <c r="AE566" i="9" s="1"/>
  <c r="AE567" i="9" s="1"/>
  <c r="N608" i="9"/>
  <c r="AC601" i="9"/>
  <c r="Y609" i="9"/>
  <c r="Q610" i="9"/>
  <c r="AB619" i="9"/>
  <c r="B619" i="9"/>
  <c r="C6" i="11" l="1"/>
  <c r="N3" i="2"/>
  <c r="U3" i="2"/>
  <c r="Q3" i="2"/>
  <c r="L3" i="2"/>
  <c r="R3" i="2"/>
  <c r="AJ2" i="2" s="1"/>
  <c r="W3" i="2"/>
  <c r="M3" i="2"/>
  <c r="AH2" i="2" s="1"/>
  <c r="AH555" i="2" s="1"/>
  <c r="J4" i="2"/>
  <c r="S3" i="2"/>
  <c r="P3" i="2"/>
  <c r="AI2" i="2" s="1"/>
  <c r="K3" i="2"/>
  <c r="AG2" i="2" s="1"/>
  <c r="AE568" i="9"/>
  <c r="E565" i="9"/>
  <c r="E2" i="9"/>
  <c r="D4" i="2" s="1"/>
  <c r="I2" i="9"/>
  <c r="I565" i="9"/>
  <c r="AK565" i="9"/>
  <c r="AK566" i="9" s="1"/>
  <c r="AK567" i="9" s="1"/>
  <c r="AK568" i="9" s="1"/>
  <c r="AK569" i="9" s="1"/>
  <c r="AK570" i="9" s="1"/>
  <c r="AK571" i="9" s="1"/>
  <c r="AK572" i="9" s="1"/>
  <c r="AK573" i="9" s="1"/>
  <c r="AK574" i="9" s="1"/>
  <c r="AK575" i="9" s="1"/>
  <c r="AK576" i="9" s="1"/>
  <c r="AK577" i="9" s="1"/>
  <c r="AK578" i="9" s="1"/>
  <c r="AK579" i="9" s="1"/>
  <c r="AK580" i="9" s="1"/>
  <c r="AK581" i="9" s="1"/>
  <c r="AK582" i="9" s="1"/>
  <c r="AK583" i="9" s="1"/>
  <c r="AK584" i="9" s="1"/>
  <c r="AK585" i="9" s="1"/>
  <c r="AK586" i="9" s="1"/>
  <c r="AK587" i="9" s="1"/>
  <c r="AK588" i="9" s="1"/>
  <c r="AK589" i="9" s="1"/>
  <c r="AK590" i="9" s="1"/>
  <c r="AK591" i="9" s="1"/>
  <c r="AK592" i="9" s="1"/>
  <c r="AK593" i="9" s="1"/>
  <c r="AK594" i="9" s="1"/>
  <c r="AK595" i="9" s="1"/>
  <c r="AK596" i="9" s="1"/>
  <c r="AK597" i="9" s="1"/>
  <c r="AK598" i="9" s="1"/>
  <c r="AK599" i="9" s="1"/>
  <c r="AK600" i="9" s="1"/>
  <c r="AK601" i="9" s="1"/>
  <c r="AK2" i="9"/>
  <c r="D45" i="2" s="1"/>
  <c r="AC602" i="9"/>
  <c r="N609" i="9"/>
  <c r="Q611" i="9"/>
  <c r="Y610" i="9"/>
  <c r="B620" i="9"/>
  <c r="AB620" i="9"/>
  <c r="AJ588" i="2" l="1"/>
  <c r="E566" i="9"/>
  <c r="E567" i="9" s="1"/>
  <c r="E568" i="9" s="1"/>
  <c r="E569" i="9" s="1"/>
  <c r="E570" i="9" s="1"/>
  <c r="E571" i="9" s="1"/>
  <c r="E572" i="9" s="1"/>
  <c r="E573" i="9" s="1"/>
  <c r="E574" i="9" s="1"/>
  <c r="E575" i="9" s="1"/>
  <c r="E576" i="9" s="1"/>
  <c r="E577" i="9" s="1"/>
  <c r="E578" i="9" s="1"/>
  <c r="E579" i="9" s="1"/>
  <c r="E580" i="9" s="1"/>
  <c r="E581" i="9" s="1"/>
  <c r="E582" i="9" s="1"/>
  <c r="E583" i="9" s="1"/>
  <c r="E584" i="9" s="1"/>
  <c r="E585" i="9" s="1"/>
  <c r="E586" i="9" s="1"/>
  <c r="E587" i="9" s="1"/>
  <c r="E588" i="9" s="1"/>
  <c r="E589" i="9" s="1"/>
  <c r="E590" i="9" s="1"/>
  <c r="E591" i="9" s="1"/>
  <c r="E592" i="9" s="1"/>
  <c r="E593" i="9" s="1"/>
  <c r="E594" i="9" s="1"/>
  <c r="E595" i="9" s="1"/>
  <c r="E596" i="9" s="1"/>
  <c r="E597" i="9" s="1"/>
  <c r="E598" i="9" s="1"/>
  <c r="E599" i="9" s="1"/>
  <c r="E600" i="9" s="1"/>
  <c r="E601" i="9" s="1"/>
  <c r="E602" i="9" s="1"/>
  <c r="E603" i="9" s="1"/>
  <c r="E604" i="9" s="1"/>
  <c r="E605" i="9" s="1"/>
  <c r="E606" i="9" s="1"/>
  <c r="E607" i="9" s="1"/>
  <c r="E608" i="9" s="1"/>
  <c r="AH556" i="2"/>
  <c r="AE569" i="9"/>
  <c r="AJ377" i="2"/>
  <c r="AJ440" i="2"/>
  <c r="AJ206" i="2"/>
  <c r="AJ240" i="2"/>
  <c r="AJ294" i="2"/>
  <c r="AJ514" i="2"/>
  <c r="AJ48" i="2"/>
  <c r="AJ282" i="2"/>
  <c r="AJ27" i="2"/>
  <c r="AJ86" i="2"/>
  <c r="AJ5" i="2"/>
  <c r="AJ325" i="2"/>
  <c r="AJ653" i="2"/>
  <c r="AJ444" i="2"/>
  <c r="AJ695" i="2"/>
  <c r="AJ385" i="2"/>
  <c r="AJ661" i="2"/>
  <c r="AJ396" i="2"/>
  <c r="AJ328" i="2"/>
  <c r="AJ351" i="2"/>
  <c r="AJ195" i="2"/>
  <c r="AJ442" i="2"/>
  <c r="AJ486" i="2"/>
  <c r="AJ726" i="2"/>
  <c r="AJ699" i="2"/>
  <c r="AJ217" i="2"/>
  <c r="AJ165" i="2"/>
  <c r="AJ521" i="2"/>
  <c r="AJ526" i="2"/>
  <c r="AJ79" i="2"/>
  <c r="AJ509" i="2"/>
  <c r="AJ159" i="2"/>
  <c r="AJ39" i="2"/>
  <c r="AJ296" i="2"/>
  <c r="AJ80" i="2"/>
  <c r="AJ501" i="2"/>
  <c r="AJ530" i="2"/>
  <c r="AJ547" i="2"/>
  <c r="AJ55" i="2"/>
  <c r="AJ389" i="2"/>
  <c r="AJ81" i="2"/>
  <c r="AJ157" i="2"/>
  <c r="AJ228" i="2"/>
  <c r="AJ715" i="2"/>
  <c r="AJ517" i="2"/>
  <c r="AJ189" i="2"/>
  <c r="AJ724" i="2"/>
  <c r="AJ306" i="2"/>
  <c r="AJ342" i="2"/>
  <c r="AJ515" i="2"/>
  <c r="AJ678" i="2"/>
  <c r="AJ380" i="2"/>
  <c r="AJ712" i="2"/>
  <c r="AJ659" i="2"/>
  <c r="AJ545" i="2"/>
  <c r="AJ85" i="2"/>
  <c r="AJ19" i="2"/>
  <c r="AJ95" i="2"/>
  <c r="AJ149" i="2"/>
  <c r="AJ213" i="2"/>
  <c r="AJ201" i="2"/>
  <c r="AJ73" i="2"/>
  <c r="AJ329" i="2"/>
  <c r="AJ341" i="2"/>
  <c r="AJ215" i="2"/>
  <c r="AJ681" i="2"/>
  <c r="AJ178" i="2"/>
  <c r="AJ499" i="2"/>
  <c r="AJ454" i="2"/>
  <c r="AJ544" i="2"/>
  <c r="AJ303" i="2"/>
  <c r="AJ205" i="2"/>
  <c r="AJ418" i="2"/>
  <c r="AJ164" i="2"/>
  <c r="AJ45" i="2"/>
  <c r="AJ673" i="2"/>
  <c r="AJ447" i="2"/>
  <c r="AJ488" i="2"/>
  <c r="AJ210" i="2"/>
  <c r="AJ539" i="2"/>
  <c r="AJ346" i="2"/>
  <c r="AJ660" i="2"/>
  <c r="AJ249" i="2"/>
  <c r="AJ355" i="2"/>
  <c r="AJ140" i="2"/>
  <c r="AJ360" i="2"/>
  <c r="AJ466" i="2"/>
  <c r="AJ69" i="2"/>
  <c r="AJ506" i="2"/>
  <c r="AJ412" i="2"/>
  <c r="AJ714" i="2"/>
  <c r="AJ174" i="2"/>
  <c r="AJ421" i="2"/>
  <c r="AJ494" i="2"/>
  <c r="AJ113" i="2"/>
  <c r="AJ717" i="2"/>
  <c r="AJ53" i="2"/>
  <c r="AJ451" i="2"/>
  <c r="AJ718" i="2"/>
  <c r="AJ311" i="2"/>
  <c r="AJ535" i="2"/>
  <c r="AJ536" i="2"/>
  <c r="AJ84" i="2"/>
  <c r="AJ62" i="2"/>
  <c r="AJ250" i="2"/>
  <c r="AJ110" i="2"/>
  <c r="AJ50" i="2"/>
  <c r="AJ298" i="2"/>
  <c r="AJ112" i="2"/>
  <c r="AJ316" i="2"/>
  <c r="AJ91" i="2"/>
  <c r="AJ419" i="2"/>
  <c r="AJ534" i="2"/>
  <c r="AJ713" i="2"/>
  <c r="AJ281" i="2"/>
  <c r="AJ292" i="2"/>
  <c r="AJ682" i="2"/>
  <c r="AJ513" i="2"/>
  <c r="AJ133" i="2"/>
  <c r="AJ691" i="2"/>
  <c r="AJ383" i="2"/>
  <c r="AJ542" i="2"/>
  <c r="AJ331" i="2"/>
  <c r="AJ692" i="2"/>
  <c r="AJ148" i="2"/>
  <c r="AJ61" i="2"/>
  <c r="AJ18" i="2"/>
  <c r="AJ47" i="2"/>
  <c r="AJ199" i="2"/>
  <c r="AJ516" i="2"/>
  <c r="AJ709" i="2"/>
  <c r="AJ645" i="2"/>
  <c r="AJ420" i="2"/>
  <c r="AJ405" i="2"/>
  <c r="AJ400" i="2"/>
  <c r="AJ393" i="2"/>
  <c r="AJ672" i="2"/>
  <c r="AJ35" i="2"/>
  <c r="AJ7" i="2"/>
  <c r="AJ286" i="2"/>
  <c r="AJ408" i="2"/>
  <c r="AJ10" i="2"/>
  <c r="AJ301" i="2"/>
  <c r="AJ116" i="2"/>
  <c r="AJ353" i="2"/>
  <c r="AJ422" i="2"/>
  <c r="AJ474" i="2"/>
  <c r="AJ730" i="2"/>
  <c r="AJ290" i="2"/>
  <c r="AJ21" i="2"/>
  <c r="AJ533" i="2"/>
  <c r="AJ71" i="2"/>
  <c r="AJ334" i="2"/>
  <c r="AJ459" i="2"/>
  <c r="AJ117" i="2"/>
  <c r="AJ519" i="2"/>
  <c r="AJ272" i="2"/>
  <c r="AJ43" i="2"/>
  <c r="AJ56" i="2"/>
  <c r="AJ156" i="2"/>
  <c r="AJ235" i="2"/>
  <c r="AJ417" i="2"/>
  <c r="AJ326" i="2"/>
  <c r="AJ369" i="2"/>
  <c r="AJ339" i="2"/>
  <c r="AJ92" i="2"/>
  <c r="AJ122" i="2"/>
  <c r="AJ477" i="2"/>
  <c r="AJ242" i="2"/>
  <c r="AJ49" i="2"/>
  <c r="AJ153" i="2"/>
  <c r="AJ194" i="2"/>
  <c r="AJ198" i="2"/>
  <c r="AJ263" i="2"/>
  <c r="AJ409" i="2"/>
  <c r="AJ710" i="2"/>
  <c r="AJ473" i="2"/>
  <c r="AJ321" i="2"/>
  <c r="AJ397" i="2"/>
  <c r="AJ197" i="2"/>
  <c r="AJ155" i="2"/>
  <c r="AJ531" i="2"/>
  <c r="AJ357" i="2"/>
  <c r="AJ481" i="2"/>
  <c r="AJ696" i="2"/>
  <c r="AJ323" i="2"/>
  <c r="AJ144" i="2"/>
  <c r="AJ120" i="2"/>
  <c r="AJ423" i="2"/>
  <c r="AJ406" i="2"/>
  <c r="AJ437" i="2"/>
  <c r="AJ345" i="2"/>
  <c r="AJ646" i="2"/>
  <c r="AJ151" i="2"/>
  <c r="AJ200" i="2"/>
  <c r="AJ371" i="2"/>
  <c r="AJ4" i="2"/>
  <c r="AJ29" i="2"/>
  <c r="AJ161" i="2"/>
  <c r="AJ288" i="2"/>
  <c r="AJ310" i="2"/>
  <c r="AJ173" i="2"/>
  <c r="AJ244" i="2"/>
  <c r="AJ287" i="2"/>
  <c r="AJ324" i="2"/>
  <c r="AJ668" i="2"/>
  <c r="AJ238" i="2"/>
  <c r="AJ202" i="2"/>
  <c r="AJ224" i="2"/>
  <c r="AJ688" i="2"/>
  <c r="AJ305" i="2"/>
  <c r="AJ492" i="2"/>
  <c r="AJ429" i="2"/>
  <c r="AJ52" i="2"/>
  <c r="AJ732" i="2"/>
  <c r="AJ25" i="2"/>
  <c r="AJ111" i="2"/>
  <c r="AJ163" i="2"/>
  <c r="AJ26" i="2"/>
  <c r="AJ439" i="2"/>
  <c r="AJ425" i="2"/>
  <c r="AJ160" i="2"/>
  <c r="AJ88" i="2"/>
  <c r="AJ647" i="2"/>
  <c r="AJ427" i="2"/>
  <c r="AJ266" i="2"/>
  <c r="AJ368" i="2"/>
  <c r="AJ265" i="2"/>
  <c r="AJ403" i="2"/>
  <c r="AJ335" i="2"/>
  <c r="AJ372" i="2"/>
  <c r="AJ330" i="2"/>
  <c r="AJ450" i="2"/>
  <c r="AJ129" i="2"/>
  <c r="AJ141" i="2"/>
  <c r="AJ537" i="2"/>
  <c r="AJ333" i="2"/>
  <c r="AJ225" i="2"/>
  <c r="AJ118" i="2"/>
  <c r="AJ364" i="2"/>
  <c r="AJ367" i="2"/>
  <c r="AJ483" i="2"/>
  <c r="AJ291" i="2"/>
  <c r="AJ104" i="2"/>
  <c r="AJ410" i="2"/>
  <c r="AJ314" i="2"/>
  <c r="AJ649" i="2"/>
  <c r="AJ11" i="2"/>
  <c r="AJ40" i="2"/>
  <c r="AJ32" i="2"/>
  <c r="AJ455" i="2"/>
  <c r="AJ716" i="2"/>
  <c r="AJ398" i="2"/>
  <c r="AJ456" i="2"/>
  <c r="AJ89" i="2"/>
  <c r="AJ663" i="2"/>
  <c r="AJ685" i="2"/>
  <c r="AJ358" i="2"/>
  <c r="AJ461" i="2"/>
  <c r="AJ299" i="2"/>
  <c r="AJ20" i="2"/>
  <c r="AJ185" i="2"/>
  <c r="AJ344" i="2"/>
  <c r="AJ453" i="2"/>
  <c r="AJ529" i="2"/>
  <c r="AJ680" i="2"/>
  <c r="AJ128" i="2"/>
  <c r="AJ75" i="2"/>
  <c r="AJ373" i="2"/>
  <c r="AJ386" i="2"/>
  <c r="AJ193" i="2"/>
  <c r="AJ415" i="2"/>
  <c r="AJ278" i="2"/>
  <c r="AJ59" i="2"/>
  <c r="AJ168" i="2"/>
  <c r="AJ654" i="2"/>
  <c r="AJ96" i="2"/>
  <c r="AJ479" i="2"/>
  <c r="AJ172" i="2"/>
  <c r="AJ22" i="2"/>
  <c r="AJ209" i="2"/>
  <c r="AJ655" i="2"/>
  <c r="AJ241" i="2"/>
  <c r="AJ57" i="2"/>
  <c r="AJ208" i="2"/>
  <c r="AJ697" i="2"/>
  <c r="AJ378" i="2"/>
  <c r="AJ166" i="2"/>
  <c r="AJ512" i="2"/>
  <c r="AJ432" i="2"/>
  <c r="AJ13" i="2"/>
  <c r="AJ350" i="2"/>
  <c r="AJ416" i="2"/>
  <c r="AJ313" i="2"/>
  <c r="AJ31" i="2"/>
  <c r="AJ332" i="2"/>
  <c r="AJ230" i="2"/>
  <c r="AJ245" i="2"/>
  <c r="AJ125" i="2"/>
  <c r="AJ98" i="2"/>
  <c r="AJ94" i="2"/>
  <c r="AJ248" i="2"/>
  <c r="AJ671" i="2"/>
  <c r="AJ54" i="2"/>
  <c r="AJ684" i="2"/>
  <c r="AJ528" i="2"/>
  <c r="AJ184" i="2"/>
  <c r="AJ126" i="2"/>
  <c r="AJ46" i="2"/>
  <c r="AJ493" i="2"/>
  <c r="AJ693" i="2"/>
  <c r="AJ552" i="2"/>
  <c r="AJ271" i="2"/>
  <c r="AJ497" i="2"/>
  <c r="AJ538" i="2"/>
  <c r="AJ484" i="2"/>
  <c r="AJ131" i="2"/>
  <c r="AJ669" i="2"/>
  <c r="AJ327" i="2"/>
  <c r="AJ523" i="2"/>
  <c r="AJ348" i="2"/>
  <c r="AJ469" i="2"/>
  <c r="AJ302" i="2"/>
  <c r="AJ467" i="2"/>
  <c r="AJ463" i="2"/>
  <c r="AJ510" i="2"/>
  <c r="AJ471" i="2"/>
  <c r="AJ60" i="2"/>
  <c r="AJ72" i="2"/>
  <c r="AJ312" i="2"/>
  <c r="AJ187" i="2"/>
  <c r="AJ664" i="2"/>
  <c r="AJ443" i="2"/>
  <c r="AJ191" i="2"/>
  <c r="AJ390" i="2"/>
  <c r="AJ23" i="2"/>
  <c r="AJ413" i="2"/>
  <c r="AJ431" i="2"/>
  <c r="AJ315" i="2"/>
  <c r="AJ550" i="2"/>
  <c r="AJ402" i="2"/>
  <c r="AJ701" i="2"/>
  <c r="AJ502" i="2"/>
  <c r="AJ687" i="2"/>
  <c r="AJ543" i="2"/>
  <c r="AJ87" i="2"/>
  <c r="AJ119" i="2"/>
  <c r="AJ548" i="2"/>
  <c r="AJ478" i="2"/>
  <c r="AJ214" i="2"/>
  <c r="AJ720" i="2"/>
  <c r="AJ457" i="2"/>
  <c r="AJ279" i="2"/>
  <c r="AJ725" i="2"/>
  <c r="AJ307" i="2"/>
  <c r="AJ107" i="2"/>
  <c r="AJ495" i="2"/>
  <c r="AJ150" i="2"/>
  <c r="AJ30" i="2"/>
  <c r="AJ276" i="2"/>
  <c r="AJ284" i="2"/>
  <c r="AJ275" i="2"/>
  <c r="AJ28" i="2"/>
  <c r="AJ674" i="2"/>
  <c r="AJ394" i="2"/>
  <c r="AJ154" i="2"/>
  <c r="AJ384" i="2"/>
  <c r="AJ485" i="2"/>
  <c r="AJ401" i="2"/>
  <c r="AJ67" i="2"/>
  <c r="AJ37" i="2"/>
  <c r="AJ365" i="2"/>
  <c r="AJ222" i="2"/>
  <c r="AJ204" i="2"/>
  <c r="AJ704" i="2"/>
  <c r="AJ68" i="2"/>
  <c r="AJ399" i="2"/>
  <c r="AJ132" i="2"/>
  <c r="AJ14" i="2"/>
  <c r="AJ374" i="2"/>
  <c r="AJ711" i="2"/>
  <c r="AJ522" i="2"/>
  <c r="AJ44" i="2"/>
  <c r="AJ540" i="2"/>
  <c r="AJ136" i="2"/>
  <c r="AJ109" i="2"/>
  <c r="AJ152" i="2"/>
  <c r="AJ203" i="2"/>
  <c r="AJ139" i="2"/>
  <c r="AJ503" i="2"/>
  <c r="AJ190" i="2"/>
  <c r="AJ652" i="2"/>
  <c r="AJ677" i="2"/>
  <c r="AJ114" i="2"/>
  <c r="AJ658" i="2"/>
  <c r="AJ93" i="2"/>
  <c r="AJ234" i="2"/>
  <c r="AJ256" i="2"/>
  <c r="AJ546" i="2"/>
  <c r="AJ498" i="2"/>
  <c r="AJ12" i="2"/>
  <c r="AJ283" i="2"/>
  <c r="AJ77" i="2"/>
  <c r="AJ218" i="2"/>
  <c r="AJ101" i="2"/>
  <c r="AJ452" i="2"/>
  <c r="AJ698" i="2"/>
  <c r="AJ65" i="2"/>
  <c r="AJ666" i="2"/>
  <c r="AJ186" i="2"/>
  <c r="AJ226" i="2"/>
  <c r="AJ731" i="2"/>
  <c r="AJ318" i="2"/>
  <c r="AJ297" i="2"/>
  <c r="AJ42" i="2"/>
  <c r="AJ236" i="2"/>
  <c r="AJ158" i="2"/>
  <c r="AJ182" i="2"/>
  <c r="AJ246" i="2"/>
  <c r="AJ135" i="2"/>
  <c r="AJ721" i="2"/>
  <c r="AJ441" i="2"/>
  <c r="AJ670" i="2"/>
  <c r="AJ289" i="2"/>
  <c r="AJ258" i="2"/>
  <c r="AJ414" i="2"/>
  <c r="AJ449" i="2"/>
  <c r="AJ426" i="2"/>
  <c r="AJ387" i="2"/>
  <c r="AJ269" i="2"/>
  <c r="AJ648" i="2"/>
  <c r="AJ317" i="2"/>
  <c r="AJ525" i="2"/>
  <c r="AJ356" i="2"/>
  <c r="AJ300" i="2"/>
  <c r="AJ382" i="2"/>
  <c r="AJ370" i="2"/>
  <c r="AJ211" i="2"/>
  <c r="AJ679" i="2"/>
  <c r="AJ162" i="2"/>
  <c r="AJ6" i="2"/>
  <c r="AJ650" i="2"/>
  <c r="AJ239" i="2"/>
  <c r="AJ108" i="2"/>
  <c r="AJ476" i="2"/>
  <c r="AJ177" i="2"/>
  <c r="AJ17" i="2"/>
  <c r="AJ76" i="2"/>
  <c r="AJ260" i="2"/>
  <c r="AJ308" i="2"/>
  <c r="AJ99" i="2"/>
  <c r="AJ675" i="2"/>
  <c r="AJ551" i="2"/>
  <c r="AJ553" i="2"/>
  <c r="AJ665" i="2"/>
  <c r="AJ259" i="2"/>
  <c r="AJ702" i="2"/>
  <c r="AJ145" i="2"/>
  <c r="AJ448" i="2"/>
  <c r="AJ137" i="2"/>
  <c r="AJ82" i="2"/>
  <c r="AJ295" i="2"/>
  <c r="AJ651" i="2"/>
  <c r="AJ188" i="2"/>
  <c r="AJ196" i="2"/>
  <c r="AJ462" i="2"/>
  <c r="AJ270" i="2"/>
  <c r="AJ504" i="2"/>
  <c r="AJ169" i="2"/>
  <c r="AJ171" i="2"/>
  <c r="AJ183" i="2"/>
  <c r="AJ683" i="2"/>
  <c r="AJ320" i="2"/>
  <c r="AJ676" i="2"/>
  <c r="AJ520" i="2"/>
  <c r="AJ489" i="2"/>
  <c r="AJ363" i="2"/>
  <c r="AJ261" i="2"/>
  <c r="AJ388" i="2"/>
  <c r="AJ404" i="2"/>
  <c r="AJ254" i="2"/>
  <c r="AJ407" i="2"/>
  <c r="AJ532" i="2"/>
  <c r="AJ336" i="2"/>
  <c r="AJ127" i="2"/>
  <c r="AJ491" i="2"/>
  <c r="AJ475" i="2"/>
  <c r="AJ252" i="2"/>
  <c r="AJ340" i="2"/>
  <c r="AJ142" i="2"/>
  <c r="AJ366" i="2"/>
  <c r="AJ729" i="2"/>
  <c r="AJ247" i="2"/>
  <c r="AJ237" i="2"/>
  <c r="AJ274" i="2"/>
  <c r="AJ63" i="2"/>
  <c r="AJ100" i="2"/>
  <c r="AJ115" i="2"/>
  <c r="AJ121" i="2"/>
  <c r="AJ392" i="2"/>
  <c r="AJ656" i="2"/>
  <c r="AJ130" i="2"/>
  <c r="AJ438" i="2"/>
  <c r="AJ90" i="2"/>
  <c r="AJ464" i="2"/>
  <c r="AJ487" i="2"/>
  <c r="AJ349" i="2"/>
  <c r="AJ36" i="2"/>
  <c r="AJ134" i="2"/>
  <c r="AJ458" i="2"/>
  <c r="AJ176" i="2"/>
  <c r="AJ34" i="2"/>
  <c r="AJ309" i="2"/>
  <c r="AJ232" i="2"/>
  <c r="AJ123" i="2"/>
  <c r="AJ229" i="2"/>
  <c r="AJ527" i="2"/>
  <c r="AJ524" i="2"/>
  <c r="AJ179" i="2"/>
  <c r="AJ468" i="2"/>
  <c r="AJ379" i="2"/>
  <c r="AJ707" i="2"/>
  <c r="AJ511" i="2"/>
  <c r="AJ719" i="2"/>
  <c r="AJ138" i="2"/>
  <c r="AJ97" i="2"/>
  <c r="AJ293" i="2"/>
  <c r="AJ505" i="2"/>
  <c r="AJ106" i="2"/>
  <c r="AJ51" i="2"/>
  <c r="AJ436" i="2"/>
  <c r="AJ541" i="2"/>
  <c r="AJ322" i="2"/>
  <c r="AJ708" i="2"/>
  <c r="AJ722" i="2"/>
  <c r="AJ268" i="2"/>
  <c r="AJ657" i="2"/>
  <c r="AJ175" i="2"/>
  <c r="AJ472" i="2"/>
  <c r="AJ257" i="2"/>
  <c r="AJ264" i="2"/>
  <c r="AJ705" i="2"/>
  <c r="AJ662" i="2"/>
  <c r="AJ319" i="2"/>
  <c r="AJ147" i="2"/>
  <c r="AJ33" i="2"/>
  <c r="AJ223" i="2"/>
  <c r="AJ221" i="2"/>
  <c r="AJ508" i="2"/>
  <c r="AJ411" i="2"/>
  <c r="AJ146" i="2"/>
  <c r="AJ143" i="2"/>
  <c r="AJ74" i="2"/>
  <c r="AJ102" i="2"/>
  <c r="AJ181" i="2"/>
  <c r="AJ267" i="2"/>
  <c r="AJ700" i="2"/>
  <c r="AJ496" i="2"/>
  <c r="AJ690" i="2"/>
  <c r="AJ343" i="2"/>
  <c r="AJ460" i="2"/>
  <c r="AJ435" i="2"/>
  <c r="AJ391" i="2"/>
  <c r="AJ433" i="2"/>
  <c r="AJ354" i="2"/>
  <c r="AJ16" i="2"/>
  <c r="AJ549" i="2"/>
  <c r="AJ262" i="2"/>
  <c r="AJ212" i="2"/>
  <c r="AJ723" i="2"/>
  <c r="AJ703" i="2"/>
  <c r="AJ227" i="2"/>
  <c r="AJ70" i="2"/>
  <c r="AJ500" i="2"/>
  <c r="AJ424" i="2"/>
  <c r="AJ686" i="2"/>
  <c r="AJ304" i="2"/>
  <c r="AJ518" i="2"/>
  <c r="AJ375" i="2"/>
  <c r="AJ445" i="2"/>
  <c r="AJ694" i="2"/>
  <c r="AJ728" i="2"/>
  <c r="AJ251" i="2"/>
  <c r="AJ352" i="2"/>
  <c r="AJ338" i="2"/>
  <c r="AJ689" i="2"/>
  <c r="AJ706" i="2"/>
  <c r="AJ359" i="2"/>
  <c r="AJ285" i="2"/>
  <c r="AJ83" i="2"/>
  <c r="AJ253" i="2"/>
  <c r="AJ255" i="2"/>
  <c r="AJ667" i="2"/>
  <c r="AJ507" i="2"/>
  <c r="AJ38" i="2"/>
  <c r="AJ231" i="2"/>
  <c r="AJ15" i="2"/>
  <c r="AJ170" i="2"/>
  <c r="AJ78" i="2"/>
  <c r="AJ243" i="2"/>
  <c r="AJ347" i="2"/>
  <c r="AJ490" i="2"/>
  <c r="AJ337" i="2"/>
  <c r="AJ124" i="2"/>
  <c r="AJ277" i="2"/>
  <c r="AJ482" i="2"/>
  <c r="AJ105" i="2"/>
  <c r="AJ446" i="2"/>
  <c r="AJ361" i="2"/>
  <c r="AJ180" i="2"/>
  <c r="AJ395" i="2"/>
  <c r="AJ192" i="2"/>
  <c r="AJ207" i="2"/>
  <c r="AJ727" i="2"/>
  <c r="AJ167" i="2"/>
  <c r="AJ66" i="2"/>
  <c r="AJ273" i="2"/>
  <c r="AJ216" i="2"/>
  <c r="AJ381" i="2"/>
  <c r="AJ233" i="2"/>
  <c r="AJ428" i="2"/>
  <c r="AJ24" i="2"/>
  <c r="AJ280" i="2"/>
  <c r="AJ9" i="2"/>
  <c r="AJ41" i="2"/>
  <c r="AJ8" i="2"/>
  <c r="AJ465" i="2"/>
  <c r="AJ219" i="2"/>
  <c r="AJ362" i="2"/>
  <c r="AJ376" i="2"/>
  <c r="AJ3" i="2"/>
  <c r="AJ58" i="2"/>
  <c r="AJ480" i="2"/>
  <c r="AJ220" i="2"/>
  <c r="AJ103" i="2"/>
  <c r="AJ470" i="2"/>
  <c r="AJ430" i="2"/>
  <c r="AJ64" i="2"/>
  <c r="AJ434" i="2"/>
  <c r="AJ554" i="2"/>
  <c r="AJ555" i="2"/>
  <c r="AJ556" i="2"/>
  <c r="AJ557" i="2"/>
  <c r="AJ558" i="2"/>
  <c r="AJ559" i="2"/>
  <c r="AJ560" i="2"/>
  <c r="AJ561" i="2"/>
  <c r="AJ562" i="2"/>
  <c r="AJ563" i="2"/>
  <c r="AJ564" i="2"/>
  <c r="AJ565" i="2"/>
  <c r="AJ566" i="2"/>
  <c r="AJ567" i="2"/>
  <c r="AJ568" i="2"/>
  <c r="AJ569" i="2"/>
  <c r="AJ570" i="2"/>
  <c r="AJ571" i="2"/>
  <c r="AJ572" i="2"/>
  <c r="AJ573" i="2"/>
  <c r="AJ574" i="2"/>
  <c r="AJ575" i="2"/>
  <c r="AJ576" i="2"/>
  <c r="AJ577" i="2"/>
  <c r="AJ578" i="2"/>
  <c r="AJ579" i="2"/>
  <c r="AJ580" i="2"/>
  <c r="AJ581" i="2"/>
  <c r="AJ582" i="2"/>
  <c r="AJ583" i="2"/>
  <c r="AJ584" i="2"/>
  <c r="AJ585" i="2"/>
  <c r="AJ586" i="2"/>
  <c r="AJ587" i="2"/>
  <c r="AG653" i="2"/>
  <c r="AG496" i="2"/>
  <c r="AG78" i="2"/>
  <c r="AG503" i="2"/>
  <c r="AG403" i="2"/>
  <c r="AG438" i="2"/>
  <c r="AG82" i="2"/>
  <c r="AG196" i="2"/>
  <c r="AG125" i="2"/>
  <c r="AG428" i="2"/>
  <c r="AG322" i="2"/>
  <c r="AG224" i="2"/>
  <c r="AG87" i="2"/>
  <c r="AG195" i="2"/>
  <c r="AG421" i="2"/>
  <c r="AG72" i="2"/>
  <c r="AG21" i="2"/>
  <c r="AG347" i="2"/>
  <c r="AG401" i="2"/>
  <c r="AG263" i="2"/>
  <c r="AG388" i="2"/>
  <c r="AG434" i="2"/>
  <c r="AG23" i="2"/>
  <c r="AG154" i="2"/>
  <c r="AG342" i="2"/>
  <c r="AG437" i="2"/>
  <c r="AG725" i="2"/>
  <c r="AG42" i="2"/>
  <c r="AG213" i="2"/>
  <c r="AG509" i="2"/>
  <c r="AG350" i="2"/>
  <c r="AG222" i="2"/>
  <c r="AG276" i="2"/>
  <c r="AG664" i="2"/>
  <c r="AG547" i="2"/>
  <c r="AG492" i="2"/>
  <c r="AG319" i="2"/>
  <c r="AG266" i="2"/>
  <c r="AG166" i="2"/>
  <c r="AG197" i="2"/>
  <c r="AG400" i="2"/>
  <c r="AG515" i="2"/>
  <c r="AG50" i="2"/>
  <c r="AG182" i="2"/>
  <c r="AG377" i="2"/>
  <c r="AG677" i="2"/>
  <c r="AG481" i="2"/>
  <c r="AG40" i="2"/>
  <c r="AG22" i="2"/>
  <c r="AG230" i="2"/>
  <c r="AG333" i="2"/>
  <c r="AG12" i="2"/>
  <c r="AG485" i="2"/>
  <c r="AG261" i="2"/>
  <c r="AG288" i="2"/>
  <c r="AG665" i="2"/>
  <c r="AG136" i="2"/>
  <c r="AG234" i="2"/>
  <c r="AG678" i="2"/>
  <c r="AG386" i="2"/>
  <c r="AG550" i="2"/>
  <c r="AG120" i="2"/>
  <c r="AG340" i="2"/>
  <c r="AG684" i="2"/>
  <c r="AG148" i="2"/>
  <c r="AG282" i="2"/>
  <c r="AG284" i="2"/>
  <c r="AG353" i="2"/>
  <c r="AG361" i="2"/>
  <c r="AG191" i="2"/>
  <c r="AG71" i="2"/>
  <c r="AG121" i="2"/>
  <c r="AG268" i="2"/>
  <c r="AG64" i="2"/>
  <c r="AG519" i="2"/>
  <c r="AG412" i="2"/>
  <c r="AG345" i="2"/>
  <c r="AG671" i="2"/>
  <c r="AG59" i="2"/>
  <c r="AG108" i="2"/>
  <c r="AG448" i="2"/>
  <c r="AG530" i="2"/>
  <c r="AG70" i="2"/>
  <c r="AG283" i="2"/>
  <c r="AG235" i="2"/>
  <c r="AG662" i="2"/>
  <c r="AG359" i="2"/>
  <c r="AG100" i="2"/>
  <c r="AG253" i="2"/>
  <c r="AG139" i="2"/>
  <c r="AG687" i="2"/>
  <c r="AG97" i="2"/>
  <c r="AG74" i="2"/>
  <c r="AG693" i="2"/>
  <c r="AG302" i="2"/>
  <c r="AG379" i="2"/>
  <c r="AG137" i="2"/>
  <c r="AG127" i="2"/>
  <c r="AG220" i="2"/>
  <c r="AG331" i="2"/>
  <c r="AG483" i="2"/>
  <c r="AG324" i="2"/>
  <c r="AG13" i="2"/>
  <c r="AG95" i="2"/>
  <c r="AG126" i="2"/>
  <c r="AG714" i="2"/>
  <c r="AG536" i="2"/>
  <c r="AG648" i="2"/>
  <c r="AG273" i="2"/>
  <c r="AG680" i="2"/>
  <c r="AG325" i="2"/>
  <c r="AG47" i="2"/>
  <c r="AG512" i="2"/>
  <c r="AG104" i="2"/>
  <c r="AG709" i="2"/>
  <c r="AG258" i="2"/>
  <c r="AG301" i="2"/>
  <c r="AG76" i="2"/>
  <c r="AG538" i="2"/>
  <c r="AG443" i="2"/>
  <c r="AG449" i="2"/>
  <c r="AG452" i="2"/>
  <c r="AG214" i="2"/>
  <c r="AG226" i="2"/>
  <c r="AG510" i="2"/>
  <c r="AG383" i="2"/>
  <c r="AG339" i="2"/>
  <c r="AG305" i="2"/>
  <c r="AG367" i="2"/>
  <c r="AG281" i="2"/>
  <c r="AG178" i="2"/>
  <c r="AG259" i="2"/>
  <c r="AG96" i="2"/>
  <c r="AG369" i="2"/>
  <c r="AG354" i="2"/>
  <c r="AG413" i="2"/>
  <c r="AG682" i="2"/>
  <c r="AG249" i="2"/>
  <c r="AG461" i="2"/>
  <c r="AG300" i="2"/>
  <c r="AG731" i="2"/>
  <c r="AG683" i="2"/>
  <c r="AG670" i="2"/>
  <c r="AG518" i="2"/>
  <c r="AG450" i="2"/>
  <c r="AG123" i="2"/>
  <c r="AG667" i="2"/>
  <c r="AG94" i="2"/>
  <c r="AG161" i="2"/>
  <c r="AG646" i="2"/>
  <c r="AG669" i="2"/>
  <c r="AG654" i="2"/>
  <c r="AG373" i="2"/>
  <c r="AG328" i="2"/>
  <c r="AG124" i="2"/>
  <c r="AG211" i="2"/>
  <c r="AG270" i="2"/>
  <c r="AG724" i="2"/>
  <c r="AG307" i="2"/>
  <c r="AG107" i="2"/>
  <c r="AG309" i="2"/>
  <c r="AG243" i="2"/>
  <c r="AG98" i="2"/>
  <c r="AG425" i="2"/>
  <c r="AG482" i="2"/>
  <c r="AG701" i="2"/>
  <c r="AG132" i="2"/>
  <c r="AG290" i="2"/>
  <c r="AG285" i="2"/>
  <c r="AG223" i="2"/>
  <c r="AG9" i="2"/>
  <c r="AG18" i="2"/>
  <c r="AG546" i="2"/>
  <c r="AG726" i="2"/>
  <c r="AG408" i="2"/>
  <c r="AG31" i="2"/>
  <c r="AG491" i="2"/>
  <c r="AG439" i="2"/>
  <c r="AG469" i="2"/>
  <c r="AG539" i="2"/>
  <c r="AG666" i="2"/>
  <c r="AG187" i="2"/>
  <c r="AG129" i="2"/>
  <c r="AG652" i="2"/>
  <c r="AG341" i="2"/>
  <c r="AG317" i="2"/>
  <c r="AG267" i="2"/>
  <c r="AG198" i="2"/>
  <c r="AG460" i="2"/>
  <c r="AG33" i="2"/>
  <c r="AG146" i="2"/>
  <c r="AG162" i="2"/>
  <c r="AG81" i="2"/>
  <c r="AG542" i="2"/>
  <c r="AG313" i="2"/>
  <c r="AG404" i="2"/>
  <c r="AG183" i="2"/>
  <c r="AG551" i="2"/>
  <c r="AG28" i="2"/>
  <c r="AG286" i="2"/>
  <c r="AG473" i="2"/>
  <c r="AG103" i="2"/>
  <c r="AG174" i="2"/>
  <c r="AG11" i="2"/>
  <c r="AG114" i="2"/>
  <c r="AG48" i="2"/>
  <c r="AG172" i="2"/>
  <c r="AG352" i="2"/>
  <c r="AG248" i="2"/>
  <c r="AG29" i="2"/>
  <c r="AG117" i="2"/>
  <c r="AG316" i="2"/>
  <c r="AG727" i="2"/>
  <c r="AG190" i="2"/>
  <c r="AG158" i="2"/>
  <c r="AG210" i="2"/>
  <c r="AG657" i="2"/>
  <c r="AG219" i="2"/>
  <c r="AG537" i="2"/>
  <c r="AG15" i="2"/>
  <c r="AG407" i="2"/>
  <c r="AG688" i="2"/>
  <c r="AG713" i="2"/>
  <c r="AG232" i="2"/>
  <c r="AG86" i="2"/>
  <c r="AG349" i="2"/>
  <c r="AG397" i="2"/>
  <c r="AG251" i="2"/>
  <c r="AG552" i="2"/>
  <c r="AG119" i="2"/>
  <c r="AG167" i="2"/>
  <c r="AG30" i="2"/>
  <c r="AG201" i="2"/>
  <c r="AG35" i="2"/>
  <c r="AG480" i="2"/>
  <c r="AG112" i="2"/>
  <c r="AG394" i="2"/>
  <c r="AG297" i="2"/>
  <c r="AG194" i="2"/>
  <c r="AG708" i="2"/>
  <c r="AG508" i="2"/>
  <c r="AG499" i="2"/>
  <c r="AG252" i="2"/>
  <c r="AG363" i="2"/>
  <c r="AG454" i="2"/>
  <c r="AG260" i="2"/>
  <c r="AG430" i="2"/>
  <c r="AG356" i="2"/>
  <c r="AG433" i="2"/>
  <c r="AG360" i="2"/>
  <c r="AG277" i="2"/>
  <c r="AG318" i="2"/>
  <c r="AG456" i="2"/>
  <c r="AG370" i="2"/>
  <c r="AG105" i="2"/>
  <c r="AG143" i="2"/>
  <c r="AG188" i="2"/>
  <c r="AG216" i="2"/>
  <c r="AG314" i="2"/>
  <c r="AG311" i="2"/>
  <c r="AG661" i="2"/>
  <c r="AG326" i="2"/>
  <c r="AG19" i="2"/>
  <c r="AG269" i="2"/>
  <c r="AG291" i="2"/>
  <c r="AG702" i="2"/>
  <c r="AG721" i="2"/>
  <c r="AG468" i="2"/>
  <c r="AG453" i="2"/>
  <c r="AG351" i="2"/>
  <c r="AG32" i="2"/>
  <c r="AG85" i="2"/>
  <c r="AG500" i="2"/>
  <c r="AG26" i="2"/>
  <c r="AG659" i="2"/>
  <c r="AG676" i="2"/>
  <c r="AG299" i="2"/>
  <c r="AG257" i="2"/>
  <c r="AG170" i="2"/>
  <c r="AG61" i="2"/>
  <c r="AG25" i="2"/>
  <c r="AG429" i="2"/>
  <c r="AG486" i="2"/>
  <c r="AG3" i="2"/>
  <c r="AG134" i="2"/>
  <c r="AG523" i="2"/>
  <c r="AG57" i="2"/>
  <c r="AG371" i="2"/>
  <c r="AG92" i="2"/>
  <c r="AG462" i="2"/>
  <c r="AG171" i="2"/>
  <c r="AG229" i="2"/>
  <c r="AG181" i="2"/>
  <c r="AG694" i="2"/>
  <c r="AG36" i="2"/>
  <c r="AG250" i="2"/>
  <c r="AG186" i="2"/>
  <c r="AG111" i="2"/>
  <c r="AG504" i="2"/>
  <c r="AG293" i="2"/>
  <c r="AG88" i="2"/>
  <c r="AG315" i="2"/>
  <c r="AG700" i="2"/>
  <c r="AG93" i="2"/>
  <c r="AG517" i="2"/>
  <c r="AG396" i="2"/>
  <c r="AG244" i="2"/>
  <c r="AG494" i="2"/>
  <c r="AG337" i="2"/>
  <c r="AG440" i="2"/>
  <c r="AG689" i="2"/>
  <c r="AG165" i="2"/>
  <c r="AG292" i="2"/>
  <c r="AG524" i="2"/>
  <c r="AG502" i="2"/>
  <c r="AG68" i="2"/>
  <c r="AG416" i="2"/>
  <c r="AG366" i="2"/>
  <c r="AG705" i="2"/>
  <c r="AG16" i="2"/>
  <c r="AG405" i="2"/>
  <c r="AG472" i="2"/>
  <c r="AG490" i="2"/>
  <c r="AG39" i="2"/>
  <c r="AG122" i="2"/>
  <c r="AG447" i="2"/>
  <c r="AG442" i="2"/>
  <c r="AG75" i="2"/>
  <c r="AG264" i="2"/>
  <c r="AG84" i="2"/>
  <c r="AG77" i="2"/>
  <c r="AG176" i="2"/>
  <c r="AG501" i="2"/>
  <c r="AG656" i="2"/>
  <c r="AG710" i="2"/>
  <c r="AG110" i="2"/>
  <c r="AG446" i="2"/>
  <c r="AG60" i="2"/>
  <c r="AG180" i="2"/>
  <c r="AG695" i="2"/>
  <c r="AG478" i="2"/>
  <c r="AG527" i="2"/>
  <c r="AG173" i="2"/>
  <c r="AG414" i="2"/>
  <c r="AG387" i="2"/>
  <c r="AG116" i="2"/>
  <c r="AG308" i="2"/>
  <c r="AG716" i="2"/>
  <c r="AG507" i="2"/>
  <c r="AG479" i="2"/>
  <c r="AG651" i="2"/>
  <c r="AG133" i="2"/>
  <c r="AG728" i="2"/>
  <c r="AG38" i="2"/>
  <c r="AG55" i="2"/>
  <c r="AG691" i="2"/>
  <c r="AG457" i="2"/>
  <c r="AG471" i="2"/>
  <c r="AG528" i="2"/>
  <c r="AG704" i="2"/>
  <c r="AG417" i="2"/>
  <c r="AG10" i="2"/>
  <c r="AG685" i="2"/>
  <c r="AG147" i="2"/>
  <c r="AG332" i="2"/>
  <c r="AG470" i="2"/>
  <c r="AG320" i="2"/>
  <c r="AG415" i="2"/>
  <c r="AG20" i="2"/>
  <c r="AG203" i="2"/>
  <c r="AG375" i="2"/>
  <c r="AG432" i="2"/>
  <c r="AG697" i="2"/>
  <c r="AG221" i="2"/>
  <c r="AG241" i="2"/>
  <c r="AG312" i="2"/>
  <c r="AG43" i="2"/>
  <c r="AG296" i="2"/>
  <c r="AG549" i="2"/>
  <c r="AG152" i="2"/>
  <c r="AG418" i="2"/>
  <c r="AG513" i="2"/>
  <c r="AG330" i="2"/>
  <c r="AG80" i="2"/>
  <c r="AG217" i="2"/>
  <c r="AG384" i="2"/>
  <c r="AG719" i="2"/>
  <c r="AG467" i="2"/>
  <c r="AG8" i="2"/>
  <c r="AG431" i="2"/>
  <c r="AG228" i="2"/>
  <c r="AG424" i="2"/>
  <c r="AG372" i="2"/>
  <c r="AG489" i="2"/>
  <c r="AG298" i="2"/>
  <c r="AG427" i="2"/>
  <c r="AG99" i="2"/>
  <c r="AG206" i="2"/>
  <c r="AG53" i="2"/>
  <c r="AG381" i="2"/>
  <c r="AG690" i="2"/>
  <c r="AG67" i="2"/>
  <c r="AG686" i="2"/>
  <c r="AG45" i="2"/>
  <c r="AG156" i="2"/>
  <c r="AG69" i="2"/>
  <c r="AG402" i="2"/>
  <c r="AG655" i="2"/>
  <c r="AG304" i="2"/>
  <c r="AG41" i="2"/>
  <c r="AG4" i="2"/>
  <c r="AG707" i="2"/>
  <c r="AG202" i="2"/>
  <c r="AG673" i="2"/>
  <c r="AG426" i="2"/>
  <c r="AG703" i="2"/>
  <c r="AG484" i="2"/>
  <c r="AG79" i="2"/>
  <c r="AG475" i="2"/>
  <c r="AG723" i="2"/>
  <c r="AG436" i="2"/>
  <c r="AG720" i="2"/>
  <c r="AG204" i="2"/>
  <c r="AG189" i="2"/>
  <c r="AG184" i="2"/>
  <c r="AG506" i="2"/>
  <c r="AG463" i="2"/>
  <c r="AG488" i="2"/>
  <c r="AG17" i="2"/>
  <c r="AG272" i="2"/>
  <c r="AG289" i="2"/>
  <c r="AG477" i="2"/>
  <c r="AG451" i="2"/>
  <c r="AG474" i="2"/>
  <c r="AG368" i="2"/>
  <c r="AG185" i="2"/>
  <c r="AG409" i="2"/>
  <c r="AG51" i="2"/>
  <c r="AG459" i="2"/>
  <c r="AG441" i="2"/>
  <c r="AG209" i="2"/>
  <c r="AG718" i="2"/>
  <c r="AG699" i="2"/>
  <c r="AG498" i="2"/>
  <c r="AG323" i="2"/>
  <c r="AG516" i="2"/>
  <c r="AG310" i="2"/>
  <c r="AG144" i="2"/>
  <c r="AG674" i="2"/>
  <c r="AG140" i="2"/>
  <c r="AG240" i="2"/>
  <c r="AG141" i="2"/>
  <c r="AG215" i="2"/>
  <c r="AG164" i="2"/>
  <c r="AG225" i="2"/>
  <c r="AG274" i="2"/>
  <c r="AG376" i="2"/>
  <c r="AG535" i="2"/>
  <c r="AG647" i="2"/>
  <c r="AG256" i="2"/>
  <c r="AG464" i="2"/>
  <c r="AG679" i="2"/>
  <c r="AG534" i="2"/>
  <c r="AG52" i="2"/>
  <c r="AG49" i="2"/>
  <c r="AG138" i="2"/>
  <c r="AG24" i="2"/>
  <c r="AG548" i="2"/>
  <c r="AG532" i="2"/>
  <c r="AG711" i="2"/>
  <c r="AG231" i="2"/>
  <c r="AG208" i="2"/>
  <c r="AG145" i="2"/>
  <c r="AG6" i="2"/>
  <c r="AG522" i="2"/>
  <c r="AG681" i="2"/>
  <c r="AG533" i="2"/>
  <c r="AG242" i="2"/>
  <c r="AG163" i="2"/>
  <c r="AG476" i="2"/>
  <c r="AG660" i="2"/>
  <c r="AG227" i="2"/>
  <c r="AG287" i="2"/>
  <c r="AG7" i="2"/>
  <c r="AG540" i="2"/>
  <c r="AG520" i="2"/>
  <c r="AG54" i="2"/>
  <c r="AG722" i="2"/>
  <c r="AG199" i="2"/>
  <c r="AG142" i="2"/>
  <c r="AG91" i="2"/>
  <c r="AG109" i="2"/>
  <c r="AG658" i="2"/>
  <c r="AG465" i="2"/>
  <c r="AG236" i="2"/>
  <c r="AG46" i="2"/>
  <c r="AG732" i="2"/>
  <c r="AG160" i="2"/>
  <c r="AG58" i="2"/>
  <c r="AG395" i="2"/>
  <c r="AG149" i="2"/>
  <c r="AG212" i="2"/>
  <c r="AG497" i="2"/>
  <c r="AG168" i="2"/>
  <c r="AG254" i="2"/>
  <c r="AG544" i="2"/>
  <c r="AG113" i="2"/>
  <c r="AG262" i="2"/>
  <c r="AG151" i="2"/>
  <c r="AG706" i="2"/>
  <c r="AG650" i="2"/>
  <c r="AG37" i="2"/>
  <c r="AG487" i="2"/>
  <c r="AG247" i="2"/>
  <c r="AG410" i="2"/>
  <c r="AG521" i="2"/>
  <c r="AG668" i="2"/>
  <c r="AG729" i="2"/>
  <c r="AG239" i="2"/>
  <c r="AG90" i="2"/>
  <c r="AG692" i="2"/>
  <c r="AG62" i="2"/>
  <c r="AG335" i="2"/>
  <c r="AG411" i="2"/>
  <c r="AG348" i="2"/>
  <c r="AG362" i="2"/>
  <c r="AG34" i="2"/>
  <c r="AG294" i="2"/>
  <c r="AG336" i="2"/>
  <c r="AG275" i="2"/>
  <c r="AG131" i="2"/>
  <c r="AG675" i="2"/>
  <c r="AG493" i="2"/>
  <c r="AG271" i="2"/>
  <c r="AG444" i="2"/>
  <c r="AG505" i="2"/>
  <c r="AG385" i="2"/>
  <c r="AG445" i="2"/>
  <c r="AG531" i="2"/>
  <c r="AG374" i="2"/>
  <c r="AG712" i="2"/>
  <c r="AG135" i="2"/>
  <c r="AG663" i="2"/>
  <c r="AG89" i="2"/>
  <c r="AG344" i="2"/>
  <c r="AG334" i="2"/>
  <c r="AG455" i="2"/>
  <c r="AG303" i="2"/>
  <c r="AG63" i="2"/>
  <c r="AG495" i="2"/>
  <c r="AG382" i="2"/>
  <c r="AG393" i="2"/>
  <c r="AG329" i="2"/>
  <c r="AG157" i="2"/>
  <c r="AG715" i="2"/>
  <c r="AG514" i="2"/>
  <c r="AG338" i="2"/>
  <c r="AG717" i="2"/>
  <c r="AG295" i="2"/>
  <c r="AG255" i="2"/>
  <c r="AG511" i="2"/>
  <c r="AG529" i="2"/>
  <c r="AG390" i="2"/>
  <c r="AG378" i="2"/>
  <c r="AG389" i="2"/>
  <c r="AG422" i="2"/>
  <c r="AG56" i="2"/>
  <c r="AG265" i="2"/>
  <c r="AG698" i="2"/>
  <c r="AG5" i="2"/>
  <c r="AG730" i="2"/>
  <c r="AG159" i="2"/>
  <c r="AG245" i="2"/>
  <c r="AG177" i="2"/>
  <c r="AG150" i="2"/>
  <c r="AG306" i="2"/>
  <c r="AG553" i="2"/>
  <c r="AG696" i="2"/>
  <c r="AG365" i="2"/>
  <c r="AG278" i="2"/>
  <c r="AG321" i="2"/>
  <c r="AG130" i="2"/>
  <c r="AG545" i="2"/>
  <c r="AG364" i="2"/>
  <c r="AG66" i="2"/>
  <c r="AG398" i="2"/>
  <c r="AG65" i="2"/>
  <c r="AG246" i="2"/>
  <c r="AG406" i="2"/>
  <c r="AG420" i="2"/>
  <c r="AG346" i="2"/>
  <c r="AG115" i="2"/>
  <c r="AG357" i="2"/>
  <c r="AG200" i="2"/>
  <c r="AG238" i="2"/>
  <c r="AG44" i="2"/>
  <c r="AG541" i="2"/>
  <c r="AG466" i="2"/>
  <c r="AG526" i="2"/>
  <c r="AG327" i="2"/>
  <c r="AG73" i="2"/>
  <c r="AG392" i="2"/>
  <c r="AG233" i="2"/>
  <c r="AG399" i="2"/>
  <c r="AG205" i="2"/>
  <c r="AG543" i="2"/>
  <c r="AG435" i="2"/>
  <c r="AG391" i="2"/>
  <c r="AG193" i="2"/>
  <c r="AG237" i="2"/>
  <c r="AG155" i="2"/>
  <c r="AG192" i="2"/>
  <c r="AG280" i="2"/>
  <c r="AG175" i="2"/>
  <c r="AG83" i="2"/>
  <c r="AG101" i="2"/>
  <c r="AG355" i="2"/>
  <c r="AG207" i="2"/>
  <c r="AG649" i="2"/>
  <c r="AG179" i="2"/>
  <c r="AG358" i="2"/>
  <c r="AG128" i="2"/>
  <c r="AG153" i="2"/>
  <c r="AG102" i="2"/>
  <c r="AG343" i="2"/>
  <c r="AG118" i="2"/>
  <c r="AG672" i="2"/>
  <c r="AG169" i="2"/>
  <c r="AG525" i="2"/>
  <c r="AG645" i="2"/>
  <c r="AG279" i="2"/>
  <c r="AG218" i="2"/>
  <c r="AG27" i="2"/>
  <c r="AG423" i="2"/>
  <c r="AG458" i="2"/>
  <c r="AG419" i="2"/>
  <c r="AG106" i="2"/>
  <c r="AG380" i="2"/>
  <c r="AG14" i="2"/>
  <c r="AG570" i="2"/>
  <c r="AI286" i="2"/>
  <c r="AI297" i="2"/>
  <c r="AI369" i="2"/>
  <c r="AI689" i="2"/>
  <c r="AI64" i="2"/>
  <c r="AI101" i="2"/>
  <c r="AI727" i="2"/>
  <c r="AI185" i="2"/>
  <c r="AI397" i="2"/>
  <c r="AI162" i="2"/>
  <c r="AI141" i="2"/>
  <c r="AI316" i="2"/>
  <c r="AI705" i="2"/>
  <c r="AI360" i="2"/>
  <c r="AI144" i="2"/>
  <c r="AI112" i="2"/>
  <c r="AI493" i="2"/>
  <c r="AI38" i="2"/>
  <c r="AI323" i="2"/>
  <c r="AI656" i="2"/>
  <c r="AI274" i="2"/>
  <c r="AI295" i="2"/>
  <c r="AI186" i="2"/>
  <c r="AI280" i="2"/>
  <c r="AI725" i="2"/>
  <c r="AI434" i="2"/>
  <c r="AI477" i="2"/>
  <c r="AI138" i="2"/>
  <c r="AI375" i="2"/>
  <c r="AI275" i="2"/>
  <c r="AI653" i="2"/>
  <c r="AI678" i="2"/>
  <c r="AI229" i="2"/>
  <c r="AI123" i="2"/>
  <c r="AI409" i="2"/>
  <c r="AI524" i="2"/>
  <c r="AI114" i="2"/>
  <c r="AI292" i="2"/>
  <c r="AI699" i="2"/>
  <c r="AI670" i="2"/>
  <c r="AI80" i="2"/>
  <c r="AI171" i="2"/>
  <c r="AI255" i="2"/>
  <c r="AI311" i="2"/>
  <c r="AI367" i="2"/>
  <c r="AI240" i="2"/>
  <c r="AI133" i="2"/>
  <c r="AI387" i="2"/>
  <c r="AI557" i="2"/>
  <c r="AI708" i="2"/>
  <c r="AI416" i="2"/>
  <c r="AI131" i="2"/>
  <c r="AI27" i="2"/>
  <c r="AI455" i="2"/>
  <c r="AI265" i="2"/>
  <c r="AI193" i="2"/>
  <c r="AI419" i="2"/>
  <c r="AI696" i="2"/>
  <c r="AI471" i="2"/>
  <c r="AI435" i="2"/>
  <c r="AI94" i="2"/>
  <c r="AI368" i="2"/>
  <c r="AI247" i="2"/>
  <c r="AI356" i="2"/>
  <c r="AI472" i="2"/>
  <c r="AI496" i="2"/>
  <c r="AI327" i="2"/>
  <c r="AI503" i="2"/>
  <c r="AI136" i="2"/>
  <c r="AI305" i="2"/>
  <c r="AI530" i="2"/>
  <c r="AI75" i="2"/>
  <c r="AI342" i="2"/>
  <c r="AI296" i="2"/>
  <c r="AI238" i="2"/>
  <c r="AI113" i="2"/>
  <c r="AI66" i="2"/>
  <c r="AI497" i="2"/>
  <c r="AI14" i="2"/>
  <c r="AI351" i="2"/>
  <c r="AI724" i="2"/>
  <c r="AI706" i="2"/>
  <c r="AI344" i="2"/>
  <c r="AI658" i="2"/>
  <c r="AI646" i="2"/>
  <c r="AI277" i="2"/>
  <c r="AI271" i="2"/>
  <c r="AI317" i="2"/>
  <c r="AI173" i="2"/>
  <c r="AI731" i="2"/>
  <c r="AI489" i="2"/>
  <c r="AI460" i="2"/>
  <c r="AI343" i="2"/>
  <c r="AI682" i="2"/>
  <c r="AI182" i="2"/>
  <c r="AI336" i="2"/>
  <c r="AI659" i="2"/>
  <c r="AI8" i="2"/>
  <c r="AI396" i="2"/>
  <c r="AI484" i="2"/>
  <c r="AI411" i="2"/>
  <c r="AI266" i="2"/>
  <c r="AI697" i="2"/>
  <c r="AI59" i="2"/>
  <c r="AI3" i="2"/>
  <c r="AI414" i="2"/>
  <c r="AI199" i="2"/>
  <c r="AI148" i="2"/>
  <c r="AI30" i="2"/>
  <c r="AI688" i="2"/>
  <c r="AI501" i="2"/>
  <c r="AI246" i="2"/>
  <c r="AI418" i="2"/>
  <c r="AI348" i="2"/>
  <c r="AI675" i="2"/>
  <c r="AI363" i="2"/>
  <c r="AI483" i="2"/>
  <c r="AI338" i="2"/>
  <c r="AI25" i="2"/>
  <c r="AI95" i="2"/>
  <c r="AI288" i="2"/>
  <c r="AI140" i="2"/>
  <c r="AI485" i="2"/>
  <c r="AI264" i="2"/>
  <c r="AI110" i="2"/>
  <c r="AI51" i="2"/>
  <c r="AI722" i="2"/>
  <c r="AI666" i="2"/>
  <c r="AI239" i="2"/>
  <c r="AI57" i="2"/>
  <c r="AI227" i="2"/>
  <c r="AI703" i="2"/>
  <c r="AI505" i="2"/>
  <c r="AI67" i="2"/>
  <c r="AI63" i="2"/>
  <c r="AI402" i="2"/>
  <c r="AI157" i="2"/>
  <c r="AI664" i="2"/>
  <c r="AI100" i="2"/>
  <c r="AI732" i="2"/>
  <c r="AI654" i="2"/>
  <c r="AI710" i="2"/>
  <c r="AI683" i="2"/>
  <c r="AI415" i="2"/>
  <c r="AI660" i="2"/>
  <c r="AI121" i="2"/>
  <c r="AI68" i="2"/>
  <c r="AI302" i="2"/>
  <c r="AI684" i="2"/>
  <c r="AI518" i="2"/>
  <c r="AI448" i="2"/>
  <c r="AI13" i="2"/>
  <c r="AI379" i="2"/>
  <c r="AI32" i="2"/>
  <c r="AI234" i="2"/>
  <c r="AI424" i="2"/>
  <c r="AI399" i="2"/>
  <c r="AI463" i="2"/>
  <c r="AI332" i="2"/>
  <c r="AI319" i="2"/>
  <c r="AI674" i="2"/>
  <c r="AI341" i="2"/>
  <c r="AI125" i="2"/>
  <c r="AI293" i="2"/>
  <c r="AI252" i="2"/>
  <c r="AI686" i="2"/>
  <c r="AI521" i="2"/>
  <c r="AI200" i="2"/>
  <c r="AI301" i="2"/>
  <c r="AI546" i="2"/>
  <c r="AI428" i="2"/>
  <c r="AI698" i="2"/>
  <c r="AI331" i="2"/>
  <c r="AI371" i="2"/>
  <c r="AI509" i="2"/>
  <c r="AI71" i="2"/>
  <c r="AI244" i="2"/>
  <c r="AI392" i="2"/>
  <c r="AI663" i="2"/>
  <c r="AI376" i="2"/>
  <c r="AI284" i="2"/>
  <c r="AI183" i="2"/>
  <c r="AI143" i="2"/>
  <c r="AI261" i="2"/>
  <c r="AI156" i="2"/>
  <c r="AI145" i="2"/>
  <c r="AI345" i="2"/>
  <c r="AI446" i="2"/>
  <c r="AI401" i="2"/>
  <c r="AI482" i="2"/>
  <c r="AI400" i="2"/>
  <c r="AI233" i="2"/>
  <c r="AI76" i="2"/>
  <c r="AI267" i="2"/>
  <c r="AI421" i="2"/>
  <c r="AI52" i="2"/>
  <c r="AI671" i="2"/>
  <c r="AI307" i="2"/>
  <c r="AI73" i="2"/>
  <c r="AI326" i="2"/>
  <c r="AI273" i="2"/>
  <c r="AI514" i="2"/>
  <c r="AI287" i="2"/>
  <c r="AI235" i="2"/>
  <c r="AI198" i="2"/>
  <c r="AI364" i="2"/>
  <c r="AI53" i="2"/>
  <c r="AI269" i="2"/>
  <c r="AI37" i="2"/>
  <c r="AI457" i="2"/>
  <c r="AI464" i="2"/>
  <c r="AI203" i="2"/>
  <c r="AI262" i="2"/>
  <c r="AI237" i="2"/>
  <c r="AI408" i="2"/>
  <c r="AI704" i="2"/>
  <c r="AI665" i="2"/>
  <c r="AI19" i="2"/>
  <c r="AI150" i="2"/>
  <c r="AI403" i="2"/>
  <c r="AI256" i="2"/>
  <c r="AI5" i="2"/>
  <c r="AI211" i="2"/>
  <c r="AI500" i="2"/>
  <c r="AI45" i="2"/>
  <c r="AI87" i="2"/>
  <c r="AI384" i="2"/>
  <c r="AI318" i="2"/>
  <c r="AI204" i="2"/>
  <c r="AI222" i="2"/>
  <c r="AI370" i="2"/>
  <c r="AI26" i="2"/>
  <c r="AI81" i="2"/>
  <c r="AI410" i="2"/>
  <c r="AI382" i="2"/>
  <c r="AI669" i="2"/>
  <c r="AI511" i="2"/>
  <c r="AI325" i="2"/>
  <c r="AI335" i="2"/>
  <c r="AI9" i="2"/>
  <c r="AI474" i="2"/>
  <c r="AI243" i="2"/>
  <c r="AI548" i="2"/>
  <c r="AI119" i="2"/>
  <c r="AI380" i="2"/>
  <c r="AI673" i="2"/>
  <c r="AI224" i="2"/>
  <c r="AI535" i="2"/>
  <c r="AI449" i="2"/>
  <c r="AI681" i="2"/>
  <c r="AI84" i="2"/>
  <c r="AI447" i="2"/>
  <c r="AI714" i="2"/>
  <c r="AI29" i="2"/>
  <c r="AI196" i="2"/>
  <c r="AI164" i="2"/>
  <c r="AI359" i="2"/>
  <c r="AI547" i="2"/>
  <c r="AI647" i="2"/>
  <c r="AI60" i="2"/>
  <c r="AI651" i="2"/>
  <c r="AI41" i="2"/>
  <c r="AI42" i="2"/>
  <c r="AI458" i="2"/>
  <c r="AI730" i="2"/>
  <c r="AI470" i="2"/>
  <c r="AI232" i="2"/>
  <c r="AI506" i="2"/>
  <c r="AI679" i="2"/>
  <c r="AI522" i="2"/>
  <c r="AI168" i="2"/>
  <c r="AI529" i="2"/>
  <c r="AI77" i="2"/>
  <c r="AI132" i="2"/>
  <c r="AI260" i="2"/>
  <c r="AI443" i="2"/>
  <c r="AI709" i="2"/>
  <c r="AI473" i="2"/>
  <c r="AI61" i="2"/>
  <c r="AI189" i="2"/>
  <c r="AI374" i="2"/>
  <c r="AI429" i="2"/>
  <c r="AI285" i="2"/>
  <c r="AI39" i="2"/>
  <c r="AI62" i="2"/>
  <c r="AI490" i="2"/>
  <c r="AI487" i="2"/>
  <c r="AI109" i="2"/>
  <c r="AI18" i="2"/>
  <c r="AI22" i="2"/>
  <c r="AI357" i="2"/>
  <c r="AI526" i="2"/>
  <c r="AI149" i="2"/>
  <c r="AI219" i="2"/>
  <c r="AI130" i="2"/>
  <c r="AI218" i="2"/>
  <c r="AI105" i="2"/>
  <c r="AI475" i="2"/>
  <c r="AI225" i="2"/>
  <c r="AI278" i="2"/>
  <c r="AI422" i="2"/>
  <c r="AI508" i="2"/>
  <c r="AI349" i="2"/>
  <c r="AI115" i="2"/>
  <c r="AI465" i="2"/>
  <c r="AI426" i="2"/>
  <c r="AI4" i="2"/>
  <c r="AI135" i="2"/>
  <c r="AI137" i="2"/>
  <c r="AI306" i="2"/>
  <c r="AI215" i="2"/>
  <c r="AI89" i="2"/>
  <c r="AI201" i="2"/>
  <c r="AI103" i="2"/>
  <c r="AI270" i="2"/>
  <c r="AI339" i="2"/>
  <c r="AI126" i="2"/>
  <c r="AI116" i="2"/>
  <c r="AI152" i="2"/>
  <c r="AI381" i="2"/>
  <c r="AI494" i="2"/>
  <c r="AI504" i="2"/>
  <c r="AI340" i="2"/>
  <c r="AI729" i="2"/>
  <c r="AI214" i="2"/>
  <c r="AI304" i="2"/>
  <c r="AI377" i="2"/>
  <c r="AI167" i="2"/>
  <c r="AI291" i="2"/>
  <c r="AI303" i="2"/>
  <c r="AI34" i="2"/>
  <c r="AI499" i="2"/>
  <c r="AI693" i="2"/>
  <c r="AI276" i="2"/>
  <c r="AI394" i="2"/>
  <c r="AI711" i="2"/>
  <c r="AI321" i="2"/>
  <c r="AI432" i="2"/>
  <c r="AI717" i="2"/>
  <c r="AI209" i="2"/>
  <c r="AI406" i="2"/>
  <c r="AI649" i="2"/>
  <c r="AI314" i="2"/>
  <c r="AI545" i="2"/>
  <c r="AI517" i="2"/>
  <c r="AI538" i="2"/>
  <c r="AI718" i="2"/>
  <c r="AI169" i="2"/>
  <c r="AI333" i="2"/>
  <c r="AI139" i="2"/>
  <c r="AI713" i="2"/>
  <c r="AI721" i="2"/>
  <c r="AI98" i="2"/>
  <c r="AI685" i="2"/>
  <c r="AI552" i="2"/>
  <c r="AI347" i="2"/>
  <c r="AI122" i="2"/>
  <c r="AI97" i="2"/>
  <c r="AI128" i="2"/>
  <c r="AI190" i="2"/>
  <c r="AI49" i="2"/>
  <c r="AI124" i="2"/>
  <c r="AI290" i="2"/>
  <c r="AI216" i="2"/>
  <c r="AI417" i="2"/>
  <c r="AI254" i="2"/>
  <c r="AI542" i="2"/>
  <c r="AI645" i="2"/>
  <c r="AI544" i="2"/>
  <c r="AI540" i="2"/>
  <c r="AI184" i="2"/>
  <c r="AI438" i="2"/>
  <c r="AI282" i="2"/>
  <c r="AI398" i="2"/>
  <c r="AI328" i="2"/>
  <c r="AI221" i="2"/>
  <c r="AI491" i="2"/>
  <c r="AI312" i="2"/>
  <c r="AI23" i="2"/>
  <c r="AI245" i="2"/>
  <c r="AI99" i="2"/>
  <c r="AI70" i="2"/>
  <c r="AI498" i="2"/>
  <c r="AI373" i="2"/>
  <c r="AI129" i="2"/>
  <c r="AI55" i="2"/>
  <c r="AI178" i="2"/>
  <c r="AI687" i="2"/>
  <c r="AI520" i="2"/>
  <c r="AI452" i="2"/>
  <c r="AI172" i="2"/>
  <c r="AI502" i="2"/>
  <c r="AI106" i="2"/>
  <c r="AI716" i="2"/>
  <c r="AI309" i="2"/>
  <c r="AI692" i="2"/>
  <c r="AI54" i="2"/>
  <c r="AI228" i="2"/>
  <c r="AI648" i="2"/>
  <c r="AI146" i="2"/>
  <c r="AI390" i="2"/>
  <c r="AI69" i="2"/>
  <c r="AI512" i="2"/>
  <c r="AI334" i="2"/>
  <c r="AI40" i="2"/>
  <c r="AI24" i="2"/>
  <c r="AI272" i="2"/>
  <c r="AI536" i="2"/>
  <c r="AI478" i="2"/>
  <c r="AI90" i="2"/>
  <c r="AI362" i="2"/>
  <c r="AI461" i="2"/>
  <c r="AI407" i="2"/>
  <c r="AI242" i="2"/>
  <c r="AI523" i="2"/>
  <c r="AI257" i="2"/>
  <c r="AI79" i="2"/>
  <c r="AI453" i="2"/>
  <c r="AI134" i="2"/>
  <c r="AI48" i="2"/>
  <c r="AI444" i="2"/>
  <c r="AI676" i="2"/>
  <c r="AI220" i="2"/>
  <c r="AI85" i="2"/>
  <c r="AI354" i="2"/>
  <c r="AI365" i="2"/>
  <c r="AI155" i="2"/>
  <c r="AI691" i="2"/>
  <c r="AI322" i="2"/>
  <c r="AI170" i="2"/>
  <c r="AI537" i="2"/>
  <c r="AI108" i="2"/>
  <c r="AI320" i="2"/>
  <c r="AI74" i="2"/>
  <c r="AI86" i="2"/>
  <c r="AI250" i="2"/>
  <c r="AI454" i="2"/>
  <c r="AI176" i="2"/>
  <c r="AI283" i="2"/>
  <c r="AI10" i="2"/>
  <c r="AI352" i="2"/>
  <c r="AI513" i="2"/>
  <c r="AI430" i="2"/>
  <c r="AI492" i="2"/>
  <c r="AI393" i="2"/>
  <c r="AI107" i="2"/>
  <c r="AI194" i="2"/>
  <c r="AI179" i="2"/>
  <c r="AI701" i="2"/>
  <c r="AI181" i="2"/>
  <c r="AI197" i="2"/>
  <c r="AI15" i="2"/>
  <c r="AI294" i="2"/>
  <c r="AI476" i="2"/>
  <c r="AI175" i="2"/>
  <c r="AI210" i="2"/>
  <c r="AI667" i="2"/>
  <c r="AI82" i="2"/>
  <c r="AI413" i="2"/>
  <c r="AI180" i="2"/>
  <c r="AI391" i="2"/>
  <c r="AI160" i="2"/>
  <c r="AI208" i="2"/>
  <c r="AI11" i="2"/>
  <c r="AI541" i="2"/>
  <c r="AI531" i="2"/>
  <c r="AI20" i="2"/>
  <c r="AI451" i="2"/>
  <c r="AI33" i="2"/>
  <c r="AI694" i="2"/>
  <c r="AI21" i="2"/>
  <c r="AI299" i="2"/>
  <c r="AI17" i="2"/>
  <c r="AI158" i="2"/>
  <c r="AI486" i="2"/>
  <c r="AI355" i="2"/>
  <c r="AI525" i="2"/>
  <c r="AI7" i="2"/>
  <c r="AI117" i="2"/>
  <c r="AI120" i="2"/>
  <c r="AI88" i="2"/>
  <c r="AI405" i="2"/>
  <c r="AI353" i="2"/>
  <c r="AI31" i="2"/>
  <c r="AI440" i="2"/>
  <c r="AI163" i="2"/>
  <c r="AI481" i="2"/>
  <c r="AI551" i="2"/>
  <c r="AI386" i="2"/>
  <c r="AI56" i="2"/>
  <c r="AI298" i="2"/>
  <c r="AI723" i="2"/>
  <c r="AI437" i="2"/>
  <c r="AI358" i="2"/>
  <c r="AI50" i="2"/>
  <c r="AI680" i="2"/>
  <c r="AI226" i="2"/>
  <c r="AI515" i="2"/>
  <c r="AI223" i="2"/>
  <c r="AI728" i="2"/>
  <c r="AI372" i="2"/>
  <c r="AI519" i="2"/>
  <c r="AI83" i="2"/>
  <c r="AI281" i="2"/>
  <c r="AI230" i="2"/>
  <c r="AI650" i="2"/>
  <c r="AI702" i="2"/>
  <c r="AI324" i="2"/>
  <c r="AI346" i="2"/>
  <c r="AI510" i="2"/>
  <c r="AI462" i="2"/>
  <c r="AI231" i="2"/>
  <c r="AI507" i="2"/>
  <c r="AI467" i="2"/>
  <c r="AI534" i="2"/>
  <c r="AI207" i="2"/>
  <c r="AI677" i="2"/>
  <c r="AI6" i="2"/>
  <c r="AI202" i="2"/>
  <c r="AI652" i="2"/>
  <c r="AI479" i="2"/>
  <c r="AI695" i="2"/>
  <c r="AI445" i="2"/>
  <c r="AI154" i="2"/>
  <c r="AI253" i="2"/>
  <c r="AI516" i="2"/>
  <c r="AI28" i="2"/>
  <c r="AI495" i="2"/>
  <c r="AI528" i="2"/>
  <c r="AI65" i="2"/>
  <c r="AI91" i="2"/>
  <c r="AI466" i="2"/>
  <c r="AI159" i="2"/>
  <c r="AI532" i="2"/>
  <c r="AI668" i="2"/>
  <c r="AI217" i="2"/>
  <c r="AI329" i="2"/>
  <c r="AI533" i="2"/>
  <c r="AI395" i="2"/>
  <c r="AI147" i="2"/>
  <c r="AI662" i="2"/>
  <c r="AI436" i="2"/>
  <c r="AI313" i="2"/>
  <c r="AI35" i="2"/>
  <c r="AI118" i="2"/>
  <c r="AI36" i="2"/>
  <c r="AI300" i="2"/>
  <c r="AI672" i="2"/>
  <c r="AI361" i="2"/>
  <c r="AI389" i="2"/>
  <c r="AI195" i="2"/>
  <c r="AI241" i="2"/>
  <c r="AI657" i="2"/>
  <c r="AI459" i="2"/>
  <c r="AI441" i="2"/>
  <c r="AI712" i="2"/>
  <c r="AI249" i="2"/>
  <c r="AI191" i="2"/>
  <c r="AI47" i="2"/>
  <c r="AI248" i="2"/>
  <c r="AI111" i="2"/>
  <c r="AI43" i="2"/>
  <c r="AI104" i="2"/>
  <c r="AI527" i="2"/>
  <c r="AI427" i="2"/>
  <c r="AI174" i="2"/>
  <c r="AI378" i="2"/>
  <c r="AI488" i="2"/>
  <c r="AI661" i="2"/>
  <c r="AI420" i="2"/>
  <c r="AI263" i="2"/>
  <c r="AI719" i="2"/>
  <c r="AI177" i="2"/>
  <c r="AI553" i="2"/>
  <c r="AI456" i="2"/>
  <c r="AI330" i="2"/>
  <c r="AI480" i="2"/>
  <c r="AI700" i="2"/>
  <c r="AI142" i="2"/>
  <c r="AI93" i="2"/>
  <c r="AI468" i="2"/>
  <c r="AI12" i="2"/>
  <c r="AI550" i="2"/>
  <c r="AI236" i="2"/>
  <c r="AI96" i="2"/>
  <c r="AI549" i="2"/>
  <c r="AI259" i="2"/>
  <c r="AI44" i="2"/>
  <c r="AI308" i="2"/>
  <c r="AI431" i="2"/>
  <c r="AI433" i="2"/>
  <c r="AI78" i="2"/>
  <c r="AI258" i="2"/>
  <c r="AI720" i="2"/>
  <c r="AI726" i="2"/>
  <c r="AI212" i="2"/>
  <c r="AI127" i="2"/>
  <c r="AI707" i="2"/>
  <c r="AI337" i="2"/>
  <c r="AI442" i="2"/>
  <c r="AI251" i="2"/>
  <c r="AI188" i="2"/>
  <c r="AI385" i="2"/>
  <c r="AI366" i="2"/>
  <c r="AI289" i="2"/>
  <c r="AI690" i="2"/>
  <c r="AI151" i="2"/>
  <c r="AI187" i="2"/>
  <c r="AI153" i="2"/>
  <c r="AI72" i="2"/>
  <c r="AI310" i="2"/>
  <c r="AI388" i="2"/>
  <c r="AI404" i="2"/>
  <c r="AI350" i="2"/>
  <c r="AI166" i="2"/>
  <c r="AI539" i="2"/>
  <c r="AI423" i="2"/>
  <c r="AI192" i="2"/>
  <c r="AI439" i="2"/>
  <c r="AI715" i="2"/>
  <c r="AI16" i="2"/>
  <c r="AI165" i="2"/>
  <c r="AI425" i="2"/>
  <c r="AI206" i="2"/>
  <c r="AI469" i="2"/>
  <c r="AI655" i="2"/>
  <c r="AI46" i="2"/>
  <c r="AI205" i="2"/>
  <c r="AI92" i="2"/>
  <c r="AI161" i="2"/>
  <c r="AI102" i="2"/>
  <c r="AI279" i="2"/>
  <c r="AI213" i="2"/>
  <c r="AI543" i="2"/>
  <c r="AI450" i="2"/>
  <c r="AI58" i="2"/>
  <c r="AI268" i="2"/>
  <c r="AI383" i="2"/>
  <c r="AI412" i="2"/>
  <c r="AI315" i="2"/>
  <c r="AI561" i="2"/>
  <c r="AI560" i="2"/>
  <c r="AI554" i="2"/>
  <c r="AI558" i="2"/>
  <c r="AI556" i="2"/>
  <c r="AI559" i="2"/>
  <c r="AI555" i="2"/>
  <c r="AI562" i="2"/>
  <c r="AI563" i="2"/>
  <c r="AI564" i="2"/>
  <c r="AI565" i="2"/>
  <c r="AI566" i="2"/>
  <c r="AI567" i="2"/>
  <c r="AI568" i="2"/>
  <c r="AI569" i="2"/>
  <c r="AI570" i="2"/>
  <c r="AI571" i="2"/>
  <c r="AI572" i="2"/>
  <c r="AI573" i="2"/>
  <c r="AI574" i="2"/>
  <c r="AI575" i="2"/>
  <c r="AI576" i="2"/>
  <c r="AI577" i="2"/>
  <c r="AI578" i="2"/>
  <c r="AI579" i="2"/>
  <c r="AI580" i="2"/>
  <c r="AI581" i="2"/>
  <c r="AI582" i="2"/>
  <c r="AI583" i="2"/>
  <c r="AI584" i="2"/>
  <c r="AI585" i="2"/>
  <c r="AI586" i="2"/>
  <c r="AI587" i="2"/>
  <c r="AI588" i="2"/>
  <c r="AI589" i="2"/>
  <c r="AI590" i="2"/>
  <c r="AI591" i="2"/>
  <c r="AI592" i="2"/>
  <c r="AI593" i="2"/>
  <c r="AI594" i="2"/>
  <c r="AI595" i="2"/>
  <c r="X3" i="2"/>
  <c r="D5" i="2"/>
  <c r="D50" i="2" s="1"/>
  <c r="D44" i="2"/>
  <c r="AH106" i="2"/>
  <c r="AH513" i="2"/>
  <c r="AH518" i="2"/>
  <c r="AH98" i="2"/>
  <c r="AH176" i="2"/>
  <c r="AH729" i="2"/>
  <c r="AH166" i="2"/>
  <c r="AH435" i="2"/>
  <c r="AH85" i="2"/>
  <c r="AH438" i="2"/>
  <c r="AH113" i="2"/>
  <c r="AH86" i="2"/>
  <c r="AH337" i="2"/>
  <c r="AH51" i="2"/>
  <c r="AH673" i="2"/>
  <c r="AH396" i="2"/>
  <c r="AH469" i="2"/>
  <c r="AH689" i="2"/>
  <c r="AH122" i="2"/>
  <c r="AH427" i="2"/>
  <c r="AH649" i="2"/>
  <c r="AH269" i="2"/>
  <c r="AH652" i="2"/>
  <c r="AH56" i="2"/>
  <c r="AH543" i="2"/>
  <c r="AH198" i="2"/>
  <c r="AH223" i="2"/>
  <c r="AH524" i="2"/>
  <c r="AH462" i="2"/>
  <c r="AH410" i="2"/>
  <c r="AH424" i="2"/>
  <c r="AH332" i="2"/>
  <c r="AH268" i="2"/>
  <c r="AH91" i="2"/>
  <c r="AH327" i="2"/>
  <c r="AH716" i="2"/>
  <c r="AH717" i="2"/>
  <c r="AH418" i="2"/>
  <c r="AH90" i="2"/>
  <c r="AH706" i="2"/>
  <c r="AH302" i="2"/>
  <c r="AH79" i="2"/>
  <c r="AH44" i="2"/>
  <c r="AH274" i="2"/>
  <c r="AH445" i="2"/>
  <c r="AH53" i="2"/>
  <c r="AH721" i="2"/>
  <c r="AH80" i="2"/>
  <c r="AH443" i="2"/>
  <c r="AH58" i="2"/>
  <c r="AH415" i="2"/>
  <c r="AH115" i="2"/>
  <c r="AH470" i="2"/>
  <c r="AH321" i="2"/>
  <c r="AH31" i="2"/>
  <c r="AH682" i="2"/>
  <c r="AH517" i="2"/>
  <c r="AH718" i="2"/>
  <c r="AH553" i="2"/>
  <c r="AH726" i="2"/>
  <c r="AH700" i="2"/>
  <c r="AH480" i="2"/>
  <c r="AH697" i="2"/>
  <c r="AH76" i="2"/>
  <c r="AH500" i="2"/>
  <c r="AH157" i="2"/>
  <c r="AH409" i="2"/>
  <c r="AH60" i="2"/>
  <c r="AH463" i="2"/>
  <c r="AH537" i="2"/>
  <c r="AH224" i="2"/>
  <c r="AH307" i="2"/>
  <c r="AH159" i="2"/>
  <c r="AH177" i="2"/>
  <c r="AH404" i="2"/>
  <c r="AH651" i="2"/>
  <c r="AH251" i="2"/>
  <c r="AH677" i="2"/>
  <c r="AH336" i="2"/>
  <c r="AH256" i="2"/>
  <c r="AH75" i="2"/>
  <c r="AH110" i="2"/>
  <c r="AH89" i="2"/>
  <c r="AH197" i="2"/>
  <c r="AH482" i="2"/>
  <c r="AH311" i="2"/>
  <c r="AH149" i="2"/>
  <c r="AH481" i="2"/>
  <c r="AH236" i="2"/>
  <c r="AH330" i="2"/>
  <c r="AH645" i="2"/>
  <c r="AH730" i="2"/>
  <c r="AH5" i="2"/>
  <c r="AH8" i="2"/>
  <c r="AH503" i="2"/>
  <c r="AH487" i="2"/>
  <c r="AH283" i="2"/>
  <c r="AH123" i="2"/>
  <c r="AH521" i="2"/>
  <c r="AH511" i="2"/>
  <c r="AH265" i="2"/>
  <c r="AH515" i="2"/>
  <c r="AH240" i="2"/>
  <c r="AH660" i="2"/>
  <c r="AH529" i="2"/>
  <c r="AH724" i="2"/>
  <c r="AH416" i="2"/>
  <c r="AH141" i="2"/>
  <c r="AH675" i="2"/>
  <c r="AH62" i="2"/>
  <c r="AH340" i="2"/>
  <c r="AH287" i="2"/>
  <c r="AH551" i="2"/>
  <c r="AH174" i="2"/>
  <c r="AH676" i="2"/>
  <c r="AH326" i="2"/>
  <c r="AH238" i="2"/>
  <c r="AH522" i="2"/>
  <c r="AH131" i="2"/>
  <c r="AH297" i="2"/>
  <c r="AH73" i="2"/>
  <c r="AH528" i="2"/>
  <c r="AH200" i="2"/>
  <c r="AH262" i="2"/>
  <c r="AH126" i="2"/>
  <c r="AH250" i="2"/>
  <c r="AH406" i="2"/>
  <c r="AH18" i="2"/>
  <c r="AH419" i="2"/>
  <c r="AH663" i="2"/>
  <c r="AH397" i="2"/>
  <c r="AH300" i="2"/>
  <c r="AH527" i="2"/>
  <c r="AH512" i="2"/>
  <c r="AH94" i="2"/>
  <c r="AH179" i="2"/>
  <c r="AH437" i="2"/>
  <c r="AH534" i="2"/>
  <c r="AH42" i="2"/>
  <c r="AH382" i="2"/>
  <c r="AH315" i="2"/>
  <c r="AH219" i="2"/>
  <c r="AH665" i="2"/>
  <c r="AH421" i="2"/>
  <c r="AH505" i="2"/>
  <c r="AH145" i="2"/>
  <c r="AH17" i="2"/>
  <c r="AH180" i="2"/>
  <c r="AH467" i="2"/>
  <c r="AH538" i="2"/>
  <c r="AH52" i="2"/>
  <c r="AH685" i="2"/>
  <c r="AH148" i="2"/>
  <c r="AH368" i="2"/>
  <c r="AH703" i="2"/>
  <c r="AH488" i="2"/>
  <c r="AH118" i="2"/>
  <c r="AH348" i="2"/>
  <c r="AH541" i="2"/>
  <c r="AH187" i="2"/>
  <c r="AH659" i="2"/>
  <c r="AH335" i="2"/>
  <c r="AH352" i="2"/>
  <c r="AH398" i="2"/>
  <c r="AH57" i="2"/>
  <c r="AH493" i="2"/>
  <c r="AH354" i="2"/>
  <c r="AH216" i="2"/>
  <c r="AH549" i="2"/>
  <c r="AH492" i="2"/>
  <c r="AH658" i="2"/>
  <c r="AH232" i="2"/>
  <c r="AH684" i="2"/>
  <c r="AH226" i="2"/>
  <c r="AH26" i="2"/>
  <c r="AH679" i="2"/>
  <c r="AH347" i="2"/>
  <c r="AH50" i="2"/>
  <c r="AH731" i="2"/>
  <c r="AH401" i="2"/>
  <c r="AH426" i="2"/>
  <c r="AH376" i="2"/>
  <c r="AH27" i="2"/>
  <c r="AH533" i="2"/>
  <c r="AH189" i="2"/>
  <c r="AH436" i="2"/>
  <c r="AH92" i="2"/>
  <c r="AH103" i="2"/>
  <c r="AH476" i="2"/>
  <c r="AH323" i="2"/>
  <c r="AH107" i="2"/>
  <c r="AH486" i="2"/>
  <c r="AH485" i="2"/>
  <c r="AH270" i="2"/>
  <c r="AH363" i="2"/>
  <c r="AH247" i="2"/>
  <c r="AH260" i="2"/>
  <c r="AH10" i="2"/>
  <c r="AH294" i="2"/>
  <c r="AH254" i="2"/>
  <c r="AH420" i="2"/>
  <c r="AH255" i="2"/>
  <c r="AH367" i="2"/>
  <c r="AH681" i="2"/>
  <c r="AH289" i="2"/>
  <c r="AH165" i="2"/>
  <c r="AH183" i="2"/>
  <c r="AH271" i="2"/>
  <c r="AH369" i="2"/>
  <c r="AH698" i="2"/>
  <c r="AH403" i="2"/>
  <c r="AH191" i="2"/>
  <c r="AH313" i="2"/>
  <c r="AH402" i="2"/>
  <c r="AH319" i="2"/>
  <c r="AH32" i="2"/>
  <c r="AH258" i="2"/>
  <c r="AH111" i="2"/>
  <c r="AH345" i="2"/>
  <c r="AH715" i="2"/>
  <c r="AH501" i="2"/>
  <c r="AH351" i="2"/>
  <c r="AH172" i="2"/>
  <c r="AH125" i="2"/>
  <c r="AH84" i="2"/>
  <c r="AH536" i="2"/>
  <c r="AH87" i="2"/>
  <c r="AH539" i="2"/>
  <c r="AH324" i="2"/>
  <c r="AH49" i="2"/>
  <c r="AH364" i="2"/>
  <c r="AH9" i="2"/>
  <c r="AH429" i="2"/>
  <c r="AH516" i="2"/>
  <c r="AH423" i="2"/>
  <c r="AH545" i="2"/>
  <c r="AH100" i="2"/>
  <c r="AH212" i="2"/>
  <c r="AH490" i="2"/>
  <c r="AH158" i="2"/>
  <c r="AH222" i="2"/>
  <c r="AH292" i="2"/>
  <c r="AH318" i="2"/>
  <c r="AH361" i="2"/>
  <c r="AH430" i="2"/>
  <c r="AH694" i="2"/>
  <c r="AH133" i="2"/>
  <c r="AH136" i="2"/>
  <c r="AH349" i="2"/>
  <c r="AH531" i="2"/>
  <c r="AH366" i="2"/>
  <c r="AH20" i="2"/>
  <c r="AH55" i="2"/>
  <c r="AH156" i="2"/>
  <c r="AH468" i="2"/>
  <c r="AH474" i="2"/>
  <c r="AH261" i="2"/>
  <c r="AH370" i="2"/>
  <c r="AH147" i="2"/>
  <c r="AH252" i="2"/>
  <c r="AH312" i="2"/>
  <c r="AH656" i="2"/>
  <c r="AH680" i="2"/>
  <c r="AH457" i="2"/>
  <c r="AH220" i="2"/>
  <c r="AH82" i="2"/>
  <c r="AH276" i="2"/>
  <c r="AH389" i="2"/>
  <c r="AH502" i="2"/>
  <c r="AH407" i="2"/>
  <c r="AH193" i="2"/>
  <c r="AH40" i="2"/>
  <c r="AH296" i="2"/>
  <c r="AH334" i="2"/>
  <c r="AH277" i="2"/>
  <c r="AH229" i="2"/>
  <c r="AH704" i="2"/>
  <c r="AH15" i="2"/>
  <c r="AH722" i="2"/>
  <c r="AH339" i="2"/>
  <c r="AH46" i="2"/>
  <c r="AH333" i="2"/>
  <c r="AH295" i="2"/>
  <c r="AH61" i="2"/>
  <c r="AH275" i="2"/>
  <c r="AH723" i="2"/>
  <c r="AH124" i="2"/>
  <c r="AH320" i="2"/>
  <c r="AH213" i="2"/>
  <c r="AH654" i="2"/>
  <c r="AH449" i="2"/>
  <c r="AH305" i="2"/>
  <c r="AH119" i="2"/>
  <c r="AH184" i="2"/>
  <c r="AH523" i="2"/>
  <c r="AH41" i="2"/>
  <c r="AH117" i="2"/>
  <c r="AH273" i="2"/>
  <c r="AH182" i="2"/>
  <c r="AH39" i="2"/>
  <c r="AH281" i="2"/>
  <c r="AH130" i="2"/>
  <c r="AH266" i="2"/>
  <c r="AH338" i="2"/>
  <c r="AH343" i="2"/>
  <c r="AH461" i="2"/>
  <c r="AH483" i="2"/>
  <c r="AH11" i="2"/>
  <c r="AH64" i="2"/>
  <c r="AH667" i="2"/>
  <c r="AH422" i="2"/>
  <c r="AH209" i="2"/>
  <c r="AH710" i="2"/>
  <c r="AH257" i="2"/>
  <c r="AH264" i="2"/>
  <c r="AH160" i="2"/>
  <c r="AH664" i="2"/>
  <c r="AH532" i="2"/>
  <c r="AH509" i="2"/>
  <c r="AH442" i="2"/>
  <c r="AH38" i="2"/>
  <c r="AH146" i="2"/>
  <c r="AH286" i="2"/>
  <c r="AH359" i="2"/>
  <c r="AH383" i="2"/>
  <c r="AH355" i="2"/>
  <c r="AH70" i="2"/>
  <c r="AH358" i="2"/>
  <c r="AH459" i="2"/>
  <c r="AH35" i="2"/>
  <c r="AH36" i="2"/>
  <c r="AH439" i="2"/>
  <c r="AH3" i="2"/>
  <c r="AH151" i="2"/>
  <c r="AH12" i="2"/>
  <c r="AH375" i="2"/>
  <c r="AH298" i="2"/>
  <c r="AH525" i="2"/>
  <c r="AH451" i="2"/>
  <c r="AH88" i="2"/>
  <c r="AH135" i="2"/>
  <c r="AH205" i="2"/>
  <c r="AH173" i="2"/>
  <c r="AH81" i="2"/>
  <c r="AH714" i="2"/>
  <c r="AH33" i="2"/>
  <c r="AH661" i="2"/>
  <c r="AH96" i="2"/>
  <c r="AH132" i="2"/>
  <c r="AH243" i="2"/>
  <c r="AH204" i="2"/>
  <c r="AH507" i="2"/>
  <c r="AH678" i="2"/>
  <c r="AH425" i="2"/>
  <c r="AH450" i="2"/>
  <c r="AH206" i="2"/>
  <c r="AH290" i="2"/>
  <c r="AH702" i="2"/>
  <c r="AH93" i="2"/>
  <c r="AH464" i="2"/>
  <c r="AH495" i="2"/>
  <c r="AH646" i="2"/>
  <c r="AH203" i="2"/>
  <c r="AH548" i="2"/>
  <c r="AH381" i="2"/>
  <c r="AH150" i="2"/>
  <c r="AH196" i="2"/>
  <c r="AH544" i="2"/>
  <c r="AH432" i="2"/>
  <c r="AH230" i="2"/>
  <c r="AH69" i="2"/>
  <c r="AH379" i="2"/>
  <c r="AH4" i="2"/>
  <c r="AH161" i="2"/>
  <c r="AH301" i="2"/>
  <c r="AH162" i="2"/>
  <c r="AH473" i="2"/>
  <c r="AH405" i="2"/>
  <c r="AH711" i="2"/>
  <c r="AH510" i="2"/>
  <c r="AH285" i="2"/>
  <c r="AH102" i="2"/>
  <c r="AH28" i="2"/>
  <c r="AH116" i="2"/>
  <c r="AH71" i="2"/>
  <c r="AH104" i="2"/>
  <c r="AH63" i="2"/>
  <c r="AH484" i="2"/>
  <c r="AH479" i="2"/>
  <c r="AH719" i="2"/>
  <c r="AH411" i="2"/>
  <c r="AH494" i="2"/>
  <c r="AH705" i="2"/>
  <c r="AH78" i="2"/>
  <c r="AH547" i="2"/>
  <c r="AH109" i="2"/>
  <c r="AH308" i="2"/>
  <c r="AH278" i="2"/>
  <c r="AH299" i="2"/>
  <c r="AH395" i="2"/>
  <c r="AH45" i="2"/>
  <c r="AH691" i="2"/>
  <c r="AH458" i="2"/>
  <c r="AH504" i="2"/>
  <c r="AH727" i="2"/>
  <c r="AH112" i="2"/>
  <c r="AH720" i="2"/>
  <c r="AH440" i="2"/>
  <c r="AH657" i="2"/>
  <c r="AH372" i="2"/>
  <c r="AH434" i="2"/>
  <c r="AH350" i="2"/>
  <c r="AH472" i="2"/>
  <c r="AH23" i="2"/>
  <c r="AH139" i="2"/>
  <c r="AH508" i="2"/>
  <c r="AH471" i="2"/>
  <c r="AH692" i="2"/>
  <c r="AH707" i="2"/>
  <c r="AH237" i="2"/>
  <c r="AH181" i="2"/>
  <c r="AH540" i="2"/>
  <c r="AH175" i="2"/>
  <c r="AH169" i="2"/>
  <c r="AH67" i="2"/>
  <c r="AH709" i="2"/>
  <c r="AH155" i="2"/>
  <c r="AH695" i="2"/>
  <c r="AH314" i="2"/>
  <c r="AH371" i="2"/>
  <c r="AH244" i="2"/>
  <c r="AH708" i="2"/>
  <c r="AH225" i="2"/>
  <c r="AH686" i="2"/>
  <c r="AH466" i="2"/>
  <c r="AH400" i="2"/>
  <c r="AH447" i="2"/>
  <c r="AH386" i="2"/>
  <c r="AH388" i="2"/>
  <c r="AH188" i="2"/>
  <c r="AH497" i="2"/>
  <c r="AH394" i="2"/>
  <c r="AH228" i="2"/>
  <c r="AH309" i="2"/>
  <c r="AH535" i="2"/>
  <c r="AH170" i="2"/>
  <c r="AH342" i="2"/>
  <c r="AH465" i="2"/>
  <c r="AH328" i="2"/>
  <c r="AH374" i="2"/>
  <c r="AH648" i="2"/>
  <c r="AH74" i="2"/>
  <c r="AH329" i="2"/>
  <c r="AH391" i="2"/>
  <c r="AH259" i="2"/>
  <c r="AH221" i="2"/>
  <c r="AH208" i="2"/>
  <c r="AH668" i="2"/>
  <c r="AH444" i="2"/>
  <c r="AH316" i="2"/>
  <c r="AH30" i="2"/>
  <c r="AH446" i="2"/>
  <c r="AH671" i="2"/>
  <c r="AH54" i="2"/>
  <c r="AH37" i="2"/>
  <c r="AH304" i="2"/>
  <c r="AH201" i="2"/>
  <c r="AH47" i="2"/>
  <c r="AH77" i="2"/>
  <c r="AH127" i="2"/>
  <c r="AH227" i="2"/>
  <c r="AH137" i="2"/>
  <c r="AH24" i="2"/>
  <c r="AH477" i="2"/>
  <c r="AH306" i="2"/>
  <c r="AH171" i="2"/>
  <c r="AH194" i="2"/>
  <c r="AH7" i="2"/>
  <c r="AH152" i="2"/>
  <c r="AH499" i="2"/>
  <c r="AH325" i="2"/>
  <c r="AH690" i="2"/>
  <c r="AH164" i="2"/>
  <c r="AH688" i="2"/>
  <c r="AH362" i="2"/>
  <c r="AH669" i="2"/>
  <c r="AH16" i="2"/>
  <c r="AH413" i="2"/>
  <c r="AH121" i="2"/>
  <c r="AH650" i="2"/>
  <c r="AH356" i="2"/>
  <c r="AH520" i="2"/>
  <c r="AH19" i="2"/>
  <c r="AH373" i="2"/>
  <c r="AH95" i="2"/>
  <c r="AH48" i="2"/>
  <c r="AH452" i="2"/>
  <c r="AH433" i="2"/>
  <c r="AH185" i="2"/>
  <c r="AH128" i="2"/>
  <c r="AH399" i="2"/>
  <c r="AH29" i="2"/>
  <c r="AH25" i="2"/>
  <c r="AH101" i="2"/>
  <c r="AH134" i="2"/>
  <c r="AH66" i="2"/>
  <c r="AH496" i="2"/>
  <c r="AH246" i="2"/>
  <c r="AH293" i="2"/>
  <c r="AH393" i="2"/>
  <c r="AH341" i="2"/>
  <c r="AH14" i="2"/>
  <c r="AH672" i="2"/>
  <c r="AH263" i="2"/>
  <c r="AH530" i="2"/>
  <c r="AH144" i="2"/>
  <c r="AH34" i="2"/>
  <c r="AH186" i="2"/>
  <c r="AH303" i="2"/>
  <c r="AH248" i="2"/>
  <c r="AH526" i="2"/>
  <c r="AH207" i="2"/>
  <c r="AH666" i="2"/>
  <c r="AH241" i="2"/>
  <c r="AH408" i="2"/>
  <c r="AH414" i="2"/>
  <c r="AH83" i="2"/>
  <c r="AH143" i="2"/>
  <c r="AH214" i="2"/>
  <c r="AH385" i="2"/>
  <c r="AH99" i="2"/>
  <c r="AH489" i="2"/>
  <c r="AH552" i="2"/>
  <c r="AH365" i="2"/>
  <c r="AH217" i="2"/>
  <c r="AH380" i="2"/>
  <c r="AH448" i="2"/>
  <c r="AH163" i="2"/>
  <c r="AH65" i="2"/>
  <c r="AH153" i="2"/>
  <c r="AH696" i="2"/>
  <c r="AH699" i="2"/>
  <c r="AH245" i="2"/>
  <c r="AH142" i="2"/>
  <c r="AH725" i="2"/>
  <c r="AH683" i="2"/>
  <c r="AH378" i="2"/>
  <c r="AH346" i="2"/>
  <c r="AH475" i="2"/>
  <c r="AH138" i="2"/>
  <c r="AH280" i="2"/>
  <c r="AH322" i="2"/>
  <c r="AH284" i="2"/>
  <c r="AH68" i="2"/>
  <c r="AH218" i="2"/>
  <c r="AH431" i="2"/>
  <c r="AH272" i="2"/>
  <c r="AH701" i="2"/>
  <c r="AH514" i="2"/>
  <c r="AH693" i="2"/>
  <c r="AH412" i="2"/>
  <c r="AH713" i="2"/>
  <c r="AH249" i="2"/>
  <c r="AH282" i="2"/>
  <c r="AH655" i="2"/>
  <c r="AH215" i="2"/>
  <c r="AH129" i="2"/>
  <c r="AH154" i="2"/>
  <c r="AH357" i="2"/>
  <c r="AH235" i="2"/>
  <c r="AH267" i="2"/>
  <c r="AH546" i="2"/>
  <c r="AH453" i="2"/>
  <c r="AH105" i="2"/>
  <c r="AH455" i="2"/>
  <c r="AH190" i="2"/>
  <c r="AH231" i="2"/>
  <c r="AH288" i="2"/>
  <c r="AH491" i="2"/>
  <c r="AH168" i="2"/>
  <c r="AH732" i="2"/>
  <c r="AH498" i="2"/>
  <c r="AH456" i="2"/>
  <c r="AH140" i="2"/>
  <c r="AH234" i="2"/>
  <c r="AH506" i="2"/>
  <c r="AH417" i="2"/>
  <c r="AH253" i="2"/>
  <c r="AH647" i="2"/>
  <c r="AH210" i="2"/>
  <c r="AH211" i="2"/>
  <c r="AH670" i="2"/>
  <c r="AH390" i="2"/>
  <c r="AH687" i="2"/>
  <c r="AH360" i="2"/>
  <c r="AH59" i="2"/>
  <c r="AH317" i="2"/>
  <c r="AH192" i="2"/>
  <c r="AH242" i="2"/>
  <c r="AH167" i="2"/>
  <c r="AH279" i="2"/>
  <c r="AH6" i="2"/>
  <c r="AH377" i="2"/>
  <c r="AH353" i="2"/>
  <c r="AH22" i="2"/>
  <c r="AH13" i="2"/>
  <c r="AH344" i="2"/>
  <c r="AH291" i="2"/>
  <c r="AH199" i="2"/>
  <c r="AH454" i="2"/>
  <c r="AH392" i="2"/>
  <c r="AH120" i="2"/>
  <c r="AH387" i="2"/>
  <c r="AH21" i="2"/>
  <c r="AH460" i="2"/>
  <c r="AH542" i="2"/>
  <c r="AH114" i="2"/>
  <c r="AH310" i="2"/>
  <c r="AH519" i="2"/>
  <c r="AH712" i="2"/>
  <c r="AH441" i="2"/>
  <c r="AH728" i="2"/>
  <c r="AH674" i="2"/>
  <c r="AH195" i="2"/>
  <c r="AH202" i="2"/>
  <c r="AH428" i="2"/>
  <c r="AH239" i="2"/>
  <c r="AH662" i="2"/>
  <c r="AH653" i="2"/>
  <c r="AH108" i="2"/>
  <c r="AH97" i="2"/>
  <c r="AH233" i="2"/>
  <c r="AH384" i="2"/>
  <c r="AH550" i="2"/>
  <c r="AH478" i="2"/>
  <c r="AH178" i="2"/>
  <c r="AH43" i="2"/>
  <c r="AH331" i="2"/>
  <c r="AH72" i="2"/>
  <c r="AH554" i="2"/>
  <c r="I566" i="9"/>
  <c r="I567" i="9" s="1"/>
  <c r="I568" i="9" s="1"/>
  <c r="I569" i="9" s="1"/>
  <c r="I570" i="9" s="1"/>
  <c r="I571" i="9" s="1"/>
  <c r="I572" i="9" s="1"/>
  <c r="I573" i="9" s="1"/>
  <c r="I574" i="9" s="1"/>
  <c r="I575" i="9" s="1"/>
  <c r="I576" i="9" s="1"/>
  <c r="I577" i="9" s="1"/>
  <c r="I578" i="9" s="1"/>
  <c r="I579" i="9" s="1"/>
  <c r="I580" i="9" s="1"/>
  <c r="I581" i="9" s="1"/>
  <c r="I582" i="9" s="1"/>
  <c r="I583" i="9" s="1"/>
  <c r="I584" i="9" s="1"/>
  <c r="I585" i="9" s="1"/>
  <c r="I586" i="9" s="1"/>
  <c r="I587" i="9" s="1"/>
  <c r="I588" i="9" s="1"/>
  <c r="I589" i="9" s="1"/>
  <c r="I590" i="9" s="1"/>
  <c r="I591" i="9" s="1"/>
  <c r="I592" i="9" s="1"/>
  <c r="I593" i="9" s="1"/>
  <c r="I594" i="9" s="1"/>
  <c r="I595" i="9" s="1"/>
  <c r="I596" i="9" s="1"/>
  <c r="I597" i="9" s="1"/>
  <c r="I598" i="9" s="1"/>
  <c r="I599" i="9" s="1"/>
  <c r="I600" i="9" s="1"/>
  <c r="I601" i="9" s="1"/>
  <c r="I602" i="9" s="1"/>
  <c r="I603" i="9" s="1"/>
  <c r="I604" i="9" s="1"/>
  <c r="I605" i="9" s="1"/>
  <c r="I606" i="9" s="1"/>
  <c r="I607" i="9" s="1"/>
  <c r="I608" i="9" s="1"/>
  <c r="I609" i="9" s="1"/>
  <c r="I610" i="9" s="1"/>
  <c r="I611" i="9" s="1"/>
  <c r="I612" i="9" s="1"/>
  <c r="I613" i="9" s="1"/>
  <c r="I614" i="9" s="1"/>
  <c r="I615" i="9" s="1"/>
  <c r="I616" i="9" s="1"/>
  <c r="I617" i="9" s="1"/>
  <c r="I618" i="9" s="1"/>
  <c r="I619" i="9" s="1"/>
  <c r="I620" i="9" s="1"/>
  <c r="I621" i="9" s="1"/>
  <c r="I622" i="9" s="1"/>
  <c r="I623" i="9" s="1"/>
  <c r="I624" i="9" s="1"/>
  <c r="I625" i="9" s="1"/>
  <c r="I626" i="9" s="1"/>
  <c r="I627" i="9" s="1"/>
  <c r="I628" i="9" s="1"/>
  <c r="I629" i="9" s="1"/>
  <c r="I630" i="9" s="1"/>
  <c r="I631" i="9" s="1"/>
  <c r="I632" i="9" s="1"/>
  <c r="I633" i="9" s="1"/>
  <c r="I634" i="9" s="1"/>
  <c r="I635" i="9" s="1"/>
  <c r="I636" i="9" s="1"/>
  <c r="I637" i="9" s="1"/>
  <c r="I638" i="9" s="1"/>
  <c r="I639" i="9" s="1"/>
  <c r="I640" i="9" s="1"/>
  <c r="I641" i="9" s="1"/>
  <c r="I642" i="9" s="1"/>
  <c r="I643" i="9" s="1"/>
  <c r="I644" i="9" s="1"/>
  <c r="I645" i="9" s="1"/>
  <c r="I646" i="9" s="1"/>
  <c r="I647" i="9" s="1"/>
  <c r="I648" i="9" s="1"/>
  <c r="I649" i="9" s="1"/>
  <c r="I650" i="9" s="1"/>
  <c r="I651" i="9" s="1"/>
  <c r="I652" i="9" s="1"/>
  <c r="I653" i="9" s="1"/>
  <c r="I654" i="9" s="1"/>
  <c r="I655" i="9" s="1"/>
  <c r="I656" i="9" s="1"/>
  <c r="U4" i="2"/>
  <c r="K4" i="2"/>
  <c r="Q4" i="2"/>
  <c r="P4" i="2"/>
  <c r="W4" i="2"/>
  <c r="N4" i="2"/>
  <c r="M4" i="2"/>
  <c r="J5" i="2"/>
  <c r="R4" i="2"/>
  <c r="L4" i="2"/>
  <c r="S4" i="2"/>
  <c r="AK602" i="9"/>
  <c r="AJ589" i="2"/>
  <c r="N610" i="9"/>
  <c r="AC603" i="9"/>
  <c r="Q612" i="9"/>
  <c r="Y611" i="9"/>
  <c r="AB621" i="9"/>
  <c r="B621" i="9"/>
  <c r="AG563" i="2" l="1"/>
  <c r="AG562" i="2"/>
  <c r="AG555" i="2"/>
  <c r="AG586" i="2"/>
  <c r="AG554" i="2"/>
  <c r="AG587" i="2"/>
  <c r="I3" i="9"/>
  <c r="E44" i="2" s="1"/>
  <c r="I4" i="9"/>
  <c r="F44" i="2" s="1"/>
  <c r="AG579" i="2"/>
  <c r="AG578" i="2"/>
  <c r="AG571" i="2"/>
  <c r="AG569" i="2"/>
  <c r="AG584" i="2"/>
  <c r="AG568" i="2"/>
  <c r="AG590" i="2"/>
  <c r="AG583" i="2"/>
  <c r="AG575" i="2"/>
  <c r="AG567" i="2"/>
  <c r="AG559" i="2"/>
  <c r="AG577" i="2"/>
  <c r="AG561" i="2"/>
  <c r="AG589" i="2"/>
  <c r="AG560" i="2"/>
  <c r="AH557" i="2"/>
  <c r="AE570" i="9"/>
  <c r="AG582" i="2"/>
  <c r="AG566" i="2"/>
  <c r="N5" i="2"/>
  <c r="M5" i="2"/>
  <c r="Q5" i="2"/>
  <c r="R5" i="2"/>
  <c r="L5" i="2"/>
  <c r="K5" i="2"/>
  <c r="W5" i="2"/>
  <c r="J6" i="2"/>
  <c r="P5" i="2"/>
  <c r="U5" i="2"/>
  <c r="S5" i="2"/>
  <c r="AG581" i="2"/>
  <c r="AG573" i="2"/>
  <c r="AG565" i="2"/>
  <c r="AG557" i="2"/>
  <c r="AG585" i="2"/>
  <c r="AG576" i="2"/>
  <c r="X4" i="2"/>
  <c r="AG574" i="2"/>
  <c r="AG558" i="2"/>
  <c r="AG588" i="2"/>
  <c r="AG580" i="2"/>
  <c r="AG572" i="2"/>
  <c r="AG564" i="2"/>
  <c r="AG556" i="2"/>
  <c r="E609" i="9"/>
  <c r="AI596" i="2"/>
  <c r="AK603" i="9"/>
  <c r="AJ590" i="2"/>
  <c r="AC604" i="9"/>
  <c r="AG591" i="2"/>
  <c r="N611" i="9"/>
  <c r="Y612" i="9"/>
  <c r="Q613" i="9"/>
  <c r="B622" i="9"/>
  <c r="AB622" i="9"/>
  <c r="AE571" i="9" l="1"/>
  <c r="AH558" i="2"/>
  <c r="X5" i="2"/>
  <c r="E610" i="9"/>
  <c r="AI597" i="2"/>
  <c r="W6" i="2"/>
  <c r="K6" i="2"/>
  <c r="R6" i="2"/>
  <c r="L6" i="2"/>
  <c r="N6" i="2"/>
  <c r="Q6" i="2"/>
  <c r="P6" i="2"/>
  <c r="J7" i="2"/>
  <c r="S6" i="2"/>
  <c r="M6" i="2"/>
  <c r="U6" i="2"/>
  <c r="AK604" i="9"/>
  <c r="AJ591" i="2"/>
  <c r="N612" i="9"/>
  <c r="AC605" i="9"/>
  <c r="AG592" i="2"/>
  <c r="Y613" i="9"/>
  <c r="Q614" i="9"/>
  <c r="AB623" i="9"/>
  <c r="B623" i="9"/>
  <c r="E611" i="9" l="1"/>
  <c r="AI598" i="2"/>
  <c r="X6" i="2"/>
  <c r="J8" i="2"/>
  <c r="W7" i="2"/>
  <c r="R7" i="2"/>
  <c r="K7" i="2"/>
  <c r="P7" i="2"/>
  <c r="Q7" i="2"/>
  <c r="S7" i="2"/>
  <c r="M7" i="2"/>
  <c r="N7" i="2"/>
  <c r="L7" i="2"/>
  <c r="U7" i="2"/>
  <c r="AE572" i="9"/>
  <c r="AH559" i="2"/>
  <c r="AK605" i="9"/>
  <c r="AJ592" i="2"/>
  <c r="AC606" i="9"/>
  <c r="AG593" i="2"/>
  <c r="N613" i="9"/>
  <c r="Q615" i="9"/>
  <c r="Y614" i="9"/>
  <c r="B624" i="9"/>
  <c r="AB624" i="9"/>
  <c r="X7" i="2" l="1"/>
  <c r="AE573" i="9"/>
  <c r="AH560" i="2"/>
  <c r="M8" i="2"/>
  <c r="N8" i="2"/>
  <c r="Q8" i="2"/>
  <c r="S8" i="2"/>
  <c r="P8" i="2"/>
  <c r="R8" i="2"/>
  <c r="W8" i="2"/>
  <c r="L8" i="2"/>
  <c r="K8" i="2"/>
  <c r="J9" i="2"/>
  <c r="U8" i="2"/>
  <c r="E612" i="9"/>
  <c r="AI599" i="2"/>
  <c r="AK606" i="9"/>
  <c r="AJ593" i="2"/>
  <c r="N614" i="9"/>
  <c r="AC607" i="9"/>
  <c r="AG594" i="2"/>
  <c r="Y615" i="9"/>
  <c r="Q616" i="9"/>
  <c r="AB625" i="9"/>
  <c r="B625" i="9"/>
  <c r="X8" i="2" l="1"/>
  <c r="W9" i="2"/>
  <c r="U9" i="2"/>
  <c r="P9" i="2"/>
  <c r="S9" i="2"/>
  <c r="L9" i="2"/>
  <c r="N9" i="2"/>
  <c r="K9" i="2"/>
  <c r="M9" i="2"/>
  <c r="R9" i="2"/>
  <c r="J10" i="2"/>
  <c r="Q9" i="2"/>
  <c r="E613" i="9"/>
  <c r="AI600" i="2"/>
  <c r="AE574" i="9"/>
  <c r="AH561" i="2"/>
  <c r="AK607" i="9"/>
  <c r="AJ594" i="2"/>
  <c r="AC608" i="9"/>
  <c r="AG595" i="2"/>
  <c r="N615" i="9"/>
  <c r="Q617" i="9"/>
  <c r="Y616" i="9"/>
  <c r="B626" i="9"/>
  <c r="AB626" i="9"/>
  <c r="AE575" i="9" l="1"/>
  <c r="AH562" i="2"/>
  <c r="E614" i="9"/>
  <c r="AI601" i="2"/>
  <c r="S10" i="2"/>
  <c r="J11" i="2"/>
  <c r="R10" i="2"/>
  <c r="K10" i="2"/>
  <c r="Q10" i="2"/>
  <c r="U10" i="2"/>
  <c r="N10" i="2"/>
  <c r="M10" i="2"/>
  <c r="W10" i="2"/>
  <c r="P10" i="2"/>
  <c r="L10" i="2"/>
  <c r="X9" i="2"/>
  <c r="AK608" i="9"/>
  <c r="AJ595" i="2"/>
  <c r="N616" i="9"/>
  <c r="AC609" i="9"/>
  <c r="AG596" i="2"/>
  <c r="Y617" i="9"/>
  <c r="Q618" i="9"/>
  <c r="AB627" i="9"/>
  <c r="B627" i="9"/>
  <c r="W11" i="2" l="1"/>
  <c r="S11" i="2"/>
  <c r="Q11" i="2"/>
  <c r="M11" i="2"/>
  <c r="K11" i="2"/>
  <c r="P11" i="2"/>
  <c r="U11" i="2"/>
  <c r="J12" i="2"/>
  <c r="N11" i="2"/>
  <c r="R11" i="2"/>
  <c r="L11" i="2"/>
  <c r="E615" i="9"/>
  <c r="AI602" i="2"/>
  <c r="X10" i="2"/>
  <c r="AE576" i="9"/>
  <c r="AH563" i="2"/>
  <c r="AK609" i="9"/>
  <c r="AJ596" i="2"/>
  <c r="AC610" i="9"/>
  <c r="AG597" i="2"/>
  <c r="N617" i="9"/>
  <c r="Q619" i="9"/>
  <c r="Y618" i="9"/>
  <c r="B628" i="9"/>
  <c r="AB628" i="9"/>
  <c r="X11" i="2" l="1"/>
  <c r="AE577" i="9"/>
  <c r="AH564" i="2"/>
  <c r="E616" i="9"/>
  <c r="AI603" i="2"/>
  <c r="U12" i="2"/>
  <c r="P12" i="2"/>
  <c r="R12" i="2"/>
  <c r="W12" i="2"/>
  <c r="K12" i="2"/>
  <c r="Q12" i="2"/>
  <c r="M12" i="2"/>
  <c r="N12" i="2"/>
  <c r="L12" i="2"/>
  <c r="S12" i="2"/>
  <c r="AK610" i="9"/>
  <c r="AJ597" i="2"/>
  <c r="N618" i="9"/>
  <c r="AC611" i="9"/>
  <c r="AG598" i="2"/>
  <c r="Y619" i="9"/>
  <c r="Q620" i="9"/>
  <c r="AB629" i="9"/>
  <c r="B629" i="9"/>
  <c r="X12" i="2" l="1"/>
  <c r="E617" i="9"/>
  <c r="AI604" i="2"/>
  <c r="AE578" i="9"/>
  <c r="AH565" i="2"/>
  <c r="AK611" i="9"/>
  <c r="AJ598" i="2"/>
  <c r="AC612" i="9"/>
  <c r="AG599" i="2"/>
  <c r="N619" i="9"/>
  <c r="Q621" i="9"/>
  <c r="Y620" i="9"/>
  <c r="B630" i="9"/>
  <c r="AB630" i="9"/>
  <c r="AE579" i="9" l="1"/>
  <c r="AH566" i="2"/>
  <c r="E618" i="9"/>
  <c r="AI605" i="2"/>
  <c r="AK612" i="9"/>
  <c r="AJ599" i="2"/>
  <c r="N620" i="9"/>
  <c r="AC613" i="9"/>
  <c r="AG600" i="2"/>
  <c r="Y621" i="9"/>
  <c r="Q622" i="9"/>
  <c r="AB631" i="9"/>
  <c r="B631" i="9"/>
  <c r="E619" i="9" l="1"/>
  <c r="AI606" i="2"/>
  <c r="AE580" i="9"/>
  <c r="AH567" i="2"/>
  <c r="AK613" i="9"/>
  <c r="AJ600" i="2"/>
  <c r="AC614" i="9"/>
  <c r="AG601" i="2"/>
  <c r="N621" i="9"/>
  <c r="Q623" i="9"/>
  <c r="Y622" i="9"/>
  <c r="B632" i="9"/>
  <c r="AB632" i="9"/>
  <c r="AE581" i="9" l="1"/>
  <c r="AH568" i="2"/>
  <c r="E620" i="9"/>
  <c r="AI607" i="2"/>
  <c r="AK614" i="9"/>
  <c r="AJ601" i="2"/>
  <c r="N622" i="9"/>
  <c r="AC615" i="9"/>
  <c r="AG602" i="2"/>
  <c r="Y623" i="9"/>
  <c r="Q624" i="9"/>
  <c r="AB633" i="9"/>
  <c r="B633" i="9"/>
  <c r="E621" i="9" l="1"/>
  <c r="AI608" i="2"/>
  <c r="AE582" i="9"/>
  <c r="AH569" i="2"/>
  <c r="AK615" i="9"/>
  <c r="AJ602" i="2"/>
  <c r="AC616" i="9"/>
  <c r="AG603" i="2"/>
  <c r="N623" i="9"/>
  <c r="Q625" i="9"/>
  <c r="Y624" i="9"/>
  <c r="B634" i="9"/>
  <c r="AB634" i="9"/>
  <c r="AE583" i="9" l="1"/>
  <c r="AH570" i="2"/>
  <c r="E622" i="9"/>
  <c r="AI609" i="2"/>
  <c r="AK616" i="9"/>
  <c r="AJ603" i="2"/>
  <c r="N624" i="9"/>
  <c r="AC617" i="9"/>
  <c r="AG604" i="2"/>
  <c r="Y625" i="9"/>
  <c r="Q626" i="9"/>
  <c r="AB635" i="9"/>
  <c r="B635" i="9"/>
  <c r="E623" i="9" l="1"/>
  <c r="AI610" i="2"/>
  <c r="AE584" i="9"/>
  <c r="AH571" i="2"/>
  <c r="AK617" i="9"/>
  <c r="AJ604" i="2"/>
  <c r="AC618" i="9"/>
  <c r="AG605" i="2"/>
  <c r="N625" i="9"/>
  <c r="Q627" i="9"/>
  <c r="Y626" i="9"/>
  <c r="B636" i="9"/>
  <c r="AB636" i="9"/>
  <c r="AE585" i="9" l="1"/>
  <c r="AH572" i="2"/>
  <c r="E624" i="9"/>
  <c r="AI611" i="2"/>
  <c r="AK618" i="9"/>
  <c r="AJ605" i="2"/>
  <c r="N626" i="9"/>
  <c r="AC619" i="9"/>
  <c r="AG606" i="2"/>
  <c r="Y627" i="9"/>
  <c r="Q628" i="9"/>
  <c r="AB637" i="9"/>
  <c r="B637" i="9"/>
  <c r="E625" i="9" l="1"/>
  <c r="AI612" i="2"/>
  <c r="AE586" i="9"/>
  <c r="AH573" i="2"/>
  <c r="AK619" i="9"/>
  <c r="AJ606" i="2"/>
  <c r="AC620" i="9"/>
  <c r="AG607" i="2"/>
  <c r="N627" i="9"/>
  <c r="Q629" i="9"/>
  <c r="Y628" i="9"/>
  <c r="B638" i="9"/>
  <c r="AB638" i="9"/>
  <c r="AE587" i="9" l="1"/>
  <c r="AH574" i="2"/>
  <c r="E626" i="9"/>
  <c r="AI613" i="2"/>
  <c r="AK620" i="9"/>
  <c r="AJ607" i="2"/>
  <c r="N628" i="9"/>
  <c r="AC621" i="9"/>
  <c r="AG608" i="2"/>
  <c r="Y629" i="9"/>
  <c r="Q630" i="9"/>
  <c r="AB639" i="9"/>
  <c r="B639" i="9"/>
  <c r="E627" i="9" l="1"/>
  <c r="AI614" i="2"/>
  <c r="AE588" i="9"/>
  <c r="AH575" i="2"/>
  <c r="AK621" i="9"/>
  <c r="AJ608" i="2"/>
  <c r="AC622" i="9"/>
  <c r="AG609" i="2"/>
  <c r="N629" i="9"/>
  <c r="Q631" i="9"/>
  <c r="Y630" i="9"/>
  <c r="B640" i="9"/>
  <c r="AB640" i="9"/>
  <c r="AE589" i="9" l="1"/>
  <c r="AH576" i="2"/>
  <c r="E628" i="9"/>
  <c r="AI615" i="2"/>
  <c r="AK622" i="9"/>
  <c r="AJ609" i="2"/>
  <c r="N630" i="9"/>
  <c r="AC623" i="9"/>
  <c r="AG610" i="2"/>
  <c r="Y631" i="9"/>
  <c r="Q632" i="9"/>
  <c r="AB641" i="9"/>
  <c r="B641" i="9"/>
  <c r="E629" i="9" l="1"/>
  <c r="AI616" i="2"/>
  <c r="AE590" i="9"/>
  <c r="AH577" i="2"/>
  <c r="AK623" i="9"/>
  <c r="AJ610" i="2"/>
  <c r="AC624" i="9"/>
  <c r="AG611" i="2"/>
  <c r="N631" i="9"/>
  <c r="Q633" i="9"/>
  <c r="Y632" i="9"/>
  <c r="B642" i="9"/>
  <c r="AB642" i="9"/>
  <c r="AE591" i="9" l="1"/>
  <c r="AH578" i="2"/>
  <c r="E630" i="9"/>
  <c r="AI617" i="2"/>
  <c r="AK624" i="9"/>
  <c r="AJ611" i="2"/>
  <c r="N632" i="9"/>
  <c r="AC625" i="9"/>
  <c r="AG612" i="2"/>
  <c r="Y633" i="9"/>
  <c r="Q634" i="9"/>
  <c r="AB643" i="9"/>
  <c r="B643" i="9"/>
  <c r="E631" i="9" l="1"/>
  <c r="AI618" i="2"/>
  <c r="AE592" i="9"/>
  <c r="AH579" i="2"/>
  <c r="AK625" i="9"/>
  <c r="AJ612" i="2"/>
  <c r="AC626" i="9"/>
  <c r="AG613" i="2"/>
  <c r="N633" i="9"/>
  <c r="Q635" i="9"/>
  <c r="Y634" i="9"/>
  <c r="B644" i="9"/>
  <c r="AB644" i="9"/>
  <c r="AE593" i="9" l="1"/>
  <c r="AH580" i="2"/>
  <c r="E632" i="9"/>
  <c r="AI619" i="2"/>
  <c r="AK626" i="9"/>
  <c r="AJ613" i="2"/>
  <c r="N634" i="9"/>
  <c r="AC627" i="9"/>
  <c r="AG614" i="2"/>
  <c r="Y635" i="9"/>
  <c r="Q636" i="9"/>
  <c r="AB645" i="9"/>
  <c r="B645" i="9"/>
  <c r="E633" i="9" l="1"/>
  <c r="AI620" i="2"/>
  <c r="AE594" i="9"/>
  <c r="AH581" i="2"/>
  <c r="AK627" i="9"/>
  <c r="AJ614" i="2"/>
  <c r="AC628" i="9"/>
  <c r="AG615" i="2"/>
  <c r="N635" i="9"/>
  <c r="Q637" i="9"/>
  <c r="Y636" i="9"/>
  <c r="B646" i="9"/>
  <c r="AB646" i="9"/>
  <c r="AE595" i="9" l="1"/>
  <c r="AH582" i="2"/>
  <c r="E634" i="9"/>
  <c r="AI621" i="2"/>
  <c r="AK628" i="9"/>
  <c r="AJ615" i="2"/>
  <c r="N636" i="9"/>
  <c r="AC629" i="9"/>
  <c r="AG616" i="2"/>
  <c r="Y637" i="9"/>
  <c r="Q638" i="9"/>
  <c r="AB647" i="9"/>
  <c r="B647" i="9"/>
  <c r="E635" i="9" l="1"/>
  <c r="AI622" i="2"/>
  <c r="AE596" i="9"/>
  <c r="AH583" i="2"/>
  <c r="AK629" i="9"/>
  <c r="AJ616" i="2"/>
  <c r="AC630" i="9"/>
  <c r="AG617" i="2"/>
  <c r="N637" i="9"/>
  <c r="Q639" i="9"/>
  <c r="Y638" i="9"/>
  <c r="B648" i="9"/>
  <c r="AB648" i="9"/>
  <c r="AE597" i="9" l="1"/>
  <c r="AH584" i="2"/>
  <c r="E636" i="9"/>
  <c r="AI623" i="2"/>
  <c r="AK630" i="9"/>
  <c r="AJ617" i="2"/>
  <c r="N638" i="9"/>
  <c r="AC631" i="9"/>
  <c r="AG618" i="2"/>
  <c r="Y639" i="9"/>
  <c r="Q640" i="9"/>
  <c r="AB649" i="9"/>
  <c r="B649" i="9"/>
  <c r="E637" i="9" l="1"/>
  <c r="AI624" i="2"/>
  <c r="AE598" i="9"/>
  <c r="AH585" i="2"/>
  <c r="AK631" i="9"/>
  <c r="AJ618" i="2"/>
  <c r="AC632" i="9"/>
  <c r="AG619" i="2"/>
  <c r="N639" i="9"/>
  <c r="Q641" i="9"/>
  <c r="Y640" i="9"/>
  <c r="B650" i="9"/>
  <c r="AB650" i="9"/>
  <c r="AE599" i="9" l="1"/>
  <c r="AH586" i="2"/>
  <c r="E638" i="9"/>
  <c r="AI625" i="2"/>
  <c r="AK632" i="9"/>
  <c r="AJ619" i="2"/>
  <c r="N640" i="9"/>
  <c r="AC633" i="9"/>
  <c r="AG620" i="2"/>
  <c r="Y641" i="9"/>
  <c r="Q642" i="9"/>
  <c r="AB651" i="9"/>
  <c r="B651" i="9"/>
  <c r="E639" i="9" l="1"/>
  <c r="AI626" i="2"/>
  <c r="AE600" i="9"/>
  <c r="AH587" i="2"/>
  <c r="AK633" i="9"/>
  <c r="AJ620" i="2"/>
  <c r="AC634" i="9"/>
  <c r="AG621" i="2"/>
  <c r="N641" i="9"/>
  <c r="Q643" i="9"/>
  <c r="Y642" i="9"/>
  <c r="B652" i="9"/>
  <c r="AB652" i="9"/>
  <c r="AE601" i="9" l="1"/>
  <c r="AH588" i="2"/>
  <c r="E640" i="9"/>
  <c r="AI627" i="2"/>
  <c r="AK634" i="9"/>
  <c r="AJ621" i="2"/>
  <c r="N642" i="9"/>
  <c r="AC635" i="9"/>
  <c r="AG622" i="2"/>
  <c r="Y643" i="9"/>
  <c r="Q644" i="9"/>
  <c r="AB653" i="9"/>
  <c r="B653" i="9"/>
  <c r="E641" i="9" l="1"/>
  <c r="AI628" i="2"/>
  <c r="AE602" i="9"/>
  <c r="AH589" i="2"/>
  <c r="AK635" i="9"/>
  <c r="AJ622" i="2"/>
  <c r="AC636" i="9"/>
  <c r="AG623" i="2"/>
  <c r="N643" i="9"/>
  <c r="Q645" i="9"/>
  <c r="Y644" i="9"/>
  <c r="B654" i="9"/>
  <c r="AB654" i="9"/>
  <c r="AH590" i="2" l="1"/>
  <c r="AE603" i="9"/>
  <c r="E642" i="9"/>
  <c r="AI629" i="2"/>
  <c r="AK636" i="9"/>
  <c r="AJ623" i="2"/>
  <c r="N644" i="9"/>
  <c r="AC637" i="9"/>
  <c r="AG624" i="2"/>
  <c r="Y645" i="9"/>
  <c r="Q646" i="9"/>
  <c r="AB655" i="9"/>
  <c r="B655" i="9"/>
  <c r="E643" i="9" l="1"/>
  <c r="AI630" i="2"/>
  <c r="AE604" i="9"/>
  <c r="AH591" i="2"/>
  <c r="AK637" i="9"/>
  <c r="AJ624" i="2"/>
  <c r="AC638" i="9"/>
  <c r="AG625" i="2"/>
  <c r="N645" i="9"/>
  <c r="Q647" i="9"/>
  <c r="Y646" i="9"/>
  <c r="B656" i="9"/>
  <c r="AB656" i="9"/>
  <c r="AE605" i="9" l="1"/>
  <c r="AH592" i="2"/>
  <c r="E644" i="9"/>
  <c r="AI631" i="2"/>
  <c r="AK638" i="9"/>
  <c r="AJ625" i="2"/>
  <c r="N646" i="9"/>
  <c r="AC639" i="9"/>
  <c r="AG626" i="2"/>
  <c r="Y647" i="9"/>
  <c r="Q648" i="9"/>
  <c r="AB3" i="9"/>
  <c r="AB4" i="9"/>
  <c r="B3" i="9"/>
  <c r="B4" i="9"/>
  <c r="E645" i="9" l="1"/>
  <c r="AI632" i="2"/>
  <c r="AE606" i="9"/>
  <c r="AH593" i="2"/>
  <c r="AK639" i="9"/>
  <c r="AJ626" i="2"/>
  <c r="F46" i="2"/>
  <c r="F18" i="2"/>
  <c r="E32" i="2"/>
  <c r="E48" i="2"/>
  <c r="E46" i="2"/>
  <c r="E18" i="2"/>
  <c r="F32" i="2"/>
  <c r="F48" i="2"/>
  <c r="AC640" i="9"/>
  <c r="AG627" i="2"/>
  <c r="N647" i="9"/>
  <c r="Q649" i="9"/>
  <c r="Y648" i="9"/>
  <c r="AE607" i="9" l="1"/>
  <c r="AH594" i="2"/>
  <c r="E646" i="9"/>
  <c r="AI633" i="2"/>
  <c r="AK640" i="9"/>
  <c r="AJ627" i="2"/>
  <c r="N648" i="9"/>
  <c r="AC641" i="9"/>
  <c r="AG628" i="2"/>
  <c r="Y649" i="9"/>
  <c r="Q650" i="9"/>
  <c r="E647" i="9" l="1"/>
  <c r="AI634" i="2"/>
  <c r="AH595" i="2"/>
  <c r="AE608" i="9"/>
  <c r="AK641" i="9"/>
  <c r="AJ628" i="2"/>
  <c r="AC642" i="9"/>
  <c r="AG629" i="2"/>
  <c r="N649" i="9"/>
  <c r="Q651" i="9"/>
  <c r="Y650" i="9"/>
  <c r="AE609" i="9" l="1"/>
  <c r="AH596" i="2"/>
  <c r="E648" i="9"/>
  <c r="AI635" i="2"/>
  <c r="AK642" i="9"/>
  <c r="AJ629" i="2"/>
  <c r="N650" i="9"/>
  <c r="AC643" i="9"/>
  <c r="AG630" i="2"/>
  <c r="Y651" i="9"/>
  <c r="Q652" i="9"/>
  <c r="E649" i="9" l="1"/>
  <c r="AI636" i="2"/>
  <c r="AE610" i="9"/>
  <c r="AH597" i="2"/>
  <c r="AK643" i="9"/>
  <c r="AJ630" i="2"/>
  <c r="AC644" i="9"/>
  <c r="AG631" i="2"/>
  <c r="N651" i="9"/>
  <c r="Q653" i="9"/>
  <c r="Y652" i="9"/>
  <c r="AH598" i="2" l="1"/>
  <c r="AE611" i="9"/>
  <c r="E650" i="9"/>
  <c r="AI637" i="2"/>
  <c r="AK644" i="9"/>
  <c r="AJ631" i="2"/>
  <c r="N652" i="9"/>
  <c r="AC645" i="9"/>
  <c r="AG632" i="2"/>
  <c r="Y653" i="9"/>
  <c r="Q654" i="9"/>
  <c r="E651" i="9" l="1"/>
  <c r="AI638" i="2"/>
  <c r="AH599" i="2"/>
  <c r="AE612" i="9"/>
  <c r="AK645" i="9"/>
  <c r="AJ632" i="2"/>
  <c r="AC646" i="9"/>
  <c r="AG633" i="2"/>
  <c r="N653" i="9"/>
  <c r="Q655" i="9"/>
  <c r="Y654" i="9"/>
  <c r="AH600" i="2" l="1"/>
  <c r="AE613" i="9"/>
  <c r="E652" i="9"/>
  <c r="AI639" i="2"/>
  <c r="AK646" i="9"/>
  <c r="AJ633" i="2"/>
  <c r="N654" i="9"/>
  <c r="AC647" i="9"/>
  <c r="AG634" i="2"/>
  <c r="Y655" i="9"/>
  <c r="Q656" i="9"/>
  <c r="E653" i="9" l="1"/>
  <c r="AI640" i="2"/>
  <c r="AH601" i="2"/>
  <c r="AE614" i="9"/>
  <c r="AK647" i="9"/>
  <c r="AJ634" i="2"/>
  <c r="AC648" i="9"/>
  <c r="AG635" i="2"/>
  <c r="N655" i="9"/>
  <c r="Q4" i="9"/>
  <c r="Q3" i="9"/>
  <c r="Y656" i="9"/>
  <c r="AH602" i="2" l="1"/>
  <c r="AE615" i="9"/>
  <c r="E654" i="9"/>
  <c r="AI641" i="2"/>
  <c r="AK648" i="9"/>
  <c r="AJ635" i="2"/>
  <c r="F38" i="2"/>
  <c r="F22" i="2"/>
  <c r="E38" i="2"/>
  <c r="E22" i="2"/>
  <c r="N656" i="9"/>
  <c r="AC649" i="9"/>
  <c r="AG636" i="2"/>
  <c r="Y4" i="9"/>
  <c r="Y3" i="9"/>
  <c r="E655" i="9" l="1"/>
  <c r="AI642" i="2"/>
  <c r="AE616" i="9"/>
  <c r="AH603" i="2"/>
  <c r="AK649" i="9"/>
  <c r="AJ636" i="2"/>
  <c r="E3" i="2"/>
  <c r="E37" i="2"/>
  <c r="F3" i="2"/>
  <c r="F37" i="2"/>
  <c r="AC650" i="9"/>
  <c r="AG637" i="2"/>
  <c r="N4" i="9"/>
  <c r="N3" i="9"/>
  <c r="AH604" i="2" l="1"/>
  <c r="AE617" i="9"/>
  <c r="E656" i="9"/>
  <c r="AI643" i="2"/>
  <c r="AK650" i="9"/>
  <c r="AJ637" i="2"/>
  <c r="F23" i="2"/>
  <c r="F24" i="2"/>
  <c r="E23" i="2"/>
  <c r="E24" i="2"/>
  <c r="AC651" i="9"/>
  <c r="AG638" i="2"/>
  <c r="E4" i="9" l="1"/>
  <c r="F4" i="2" s="1"/>
  <c r="E3" i="9"/>
  <c r="E4" i="2" s="1"/>
  <c r="AI644" i="2"/>
  <c r="AE618" i="9"/>
  <c r="AH605" i="2"/>
  <c r="AK651" i="9"/>
  <c r="AJ638" i="2"/>
  <c r="AC652" i="9"/>
  <c r="AG639" i="2"/>
  <c r="AH606" i="2" l="1"/>
  <c r="AE619" i="9"/>
  <c r="AK652" i="9"/>
  <c r="AJ639" i="2"/>
  <c r="AC653" i="9"/>
  <c r="AG640" i="2"/>
  <c r="AH607" i="2" l="1"/>
  <c r="AE620" i="9"/>
  <c r="AK653" i="9"/>
  <c r="AJ640" i="2"/>
  <c r="AC654" i="9"/>
  <c r="AG641" i="2"/>
  <c r="AH608" i="2" l="1"/>
  <c r="AE621" i="9"/>
  <c r="AK654" i="9"/>
  <c r="AJ641" i="2"/>
  <c r="AC655" i="9"/>
  <c r="AG642" i="2"/>
  <c r="AE622" i="9" l="1"/>
  <c r="AH609" i="2"/>
  <c r="AK655" i="9"/>
  <c r="AJ642" i="2"/>
  <c r="AC656" i="9"/>
  <c r="AG643" i="2"/>
  <c r="AH610" i="2" l="1"/>
  <c r="AE623" i="9"/>
  <c r="AK656" i="9"/>
  <c r="AJ643" i="2"/>
  <c r="AC3" i="9"/>
  <c r="AC4" i="9"/>
  <c r="AG644" i="2"/>
  <c r="AH611" i="2" l="1"/>
  <c r="AE624" i="9"/>
  <c r="AK4" i="9"/>
  <c r="F45" i="2" s="1"/>
  <c r="AK3" i="9"/>
  <c r="E45" i="2" s="1"/>
  <c r="AJ644" i="2"/>
  <c r="F19" i="2"/>
  <c r="F17" i="2"/>
  <c r="E19" i="2"/>
  <c r="E17" i="2"/>
  <c r="AH612" i="2" l="1"/>
  <c r="AE625" i="9"/>
  <c r="AH613" i="2" l="1"/>
  <c r="AE626" i="9"/>
  <c r="AE627" i="9" l="1"/>
  <c r="AH614" i="2"/>
  <c r="AH615" i="2" l="1"/>
  <c r="AE628" i="9"/>
  <c r="AE629" i="9" l="1"/>
  <c r="AH616" i="2"/>
  <c r="AH617" i="2" l="1"/>
  <c r="AE630" i="9"/>
  <c r="AE631" i="9" l="1"/>
  <c r="AH618" i="2"/>
  <c r="AH619" i="2" l="1"/>
  <c r="AE632" i="9"/>
  <c r="AH620" i="2" l="1"/>
  <c r="AE633" i="9"/>
  <c r="AH621" i="2" l="1"/>
  <c r="AE634" i="9"/>
  <c r="AE635" i="9" l="1"/>
  <c r="AH622" i="2"/>
  <c r="AH623" i="2" l="1"/>
  <c r="AE636" i="9"/>
  <c r="AH624" i="2" l="1"/>
  <c r="AE637" i="9"/>
  <c r="AH625" i="2" l="1"/>
  <c r="AE638" i="9"/>
  <c r="AE639" i="9" l="1"/>
  <c r="AH626" i="2"/>
  <c r="AH627" i="2" l="1"/>
  <c r="AE640" i="9"/>
  <c r="AH628" i="2" l="1"/>
  <c r="AE641" i="9"/>
  <c r="AH629" i="2" l="1"/>
  <c r="AE642" i="9"/>
  <c r="AE643" i="9" l="1"/>
  <c r="AH630" i="2"/>
  <c r="AE644" i="9" l="1"/>
  <c r="AH631" i="2"/>
  <c r="AE645" i="9" l="1"/>
  <c r="AH632" i="2"/>
  <c r="AE646" i="9" l="1"/>
  <c r="AH633" i="2"/>
  <c r="AH634" i="2" l="1"/>
  <c r="AE647" i="9"/>
  <c r="AH635" i="2" l="1"/>
  <c r="AE648" i="9"/>
  <c r="AE649" i="9" l="1"/>
  <c r="AH636" i="2"/>
  <c r="AH637" i="2" l="1"/>
  <c r="AE650" i="9"/>
  <c r="AH638" i="2" l="1"/>
  <c r="AE651" i="9"/>
  <c r="AE652" i="9" l="1"/>
  <c r="AH639" i="2"/>
  <c r="AH640" i="2" l="1"/>
  <c r="AE653" i="9"/>
  <c r="AH641" i="2" l="1"/>
  <c r="AE654" i="9"/>
  <c r="AE655" i="9" l="1"/>
  <c r="AH642" i="2"/>
  <c r="AE656" i="9" l="1"/>
  <c r="AH643" i="2"/>
  <c r="AH644" i="2" l="1"/>
  <c r="AE4" i="9"/>
  <c r="F35" i="2" s="1"/>
  <c r="F50" i="2" s="1"/>
  <c r="AE3" i="9"/>
  <c r="E35" i="2" s="1"/>
  <c r="E50" i="2" s="1"/>
</calcChain>
</file>

<file path=xl/sharedStrings.xml><?xml version="1.0" encoding="utf-8"?>
<sst xmlns="http://schemas.openxmlformats.org/spreadsheetml/2006/main" count="4470" uniqueCount="242">
  <si>
    <t>RA</t>
  </si>
  <si>
    <t>RB</t>
  </si>
  <si>
    <t>p1</t>
  </si>
  <si>
    <t>p2</t>
  </si>
  <si>
    <t>EB</t>
  </si>
  <si>
    <t>A1</t>
  </si>
  <si>
    <t>A2</t>
  </si>
  <si>
    <t>B1</t>
  </si>
  <si>
    <t>B2</t>
  </si>
  <si>
    <t>GA</t>
  </si>
  <si>
    <t>GB</t>
  </si>
  <si>
    <t>SA</t>
  </si>
  <si>
    <t>RA2</t>
  </si>
  <si>
    <t>RB2</t>
  </si>
  <si>
    <t>SB</t>
  </si>
  <si>
    <t>GD</t>
  </si>
  <si>
    <t>RBD</t>
  </si>
  <si>
    <t>EA</t>
  </si>
  <si>
    <t>RA1</t>
  </si>
  <si>
    <t>RB1</t>
  </si>
  <si>
    <t>RAD1</t>
  </si>
  <si>
    <t>RAD2</t>
  </si>
  <si>
    <t>Match</t>
  </si>
  <si>
    <t xml:space="preserve">Spieler 1 </t>
  </si>
  <si>
    <t>Spieler 2</t>
  </si>
  <si>
    <t>Spieler 3</t>
  </si>
  <si>
    <t>Spieler 4</t>
  </si>
  <si>
    <t>Tore 1</t>
  </si>
  <si>
    <t>Tore 2</t>
  </si>
  <si>
    <t>vs.</t>
  </si>
  <si>
    <t>zu</t>
  </si>
  <si>
    <t>:</t>
  </si>
  <si>
    <t>linear</t>
  </si>
  <si>
    <t>A</t>
  </si>
  <si>
    <t>Platz</t>
  </si>
  <si>
    <t>Name</t>
  </si>
  <si>
    <t>ELO</t>
  </si>
  <si>
    <t>Spiel</t>
  </si>
  <si>
    <t>Team A</t>
  </si>
  <si>
    <t>Team B</t>
  </si>
  <si>
    <t>Tore A</t>
  </si>
  <si>
    <t>Tore B</t>
  </si>
  <si>
    <t>RBD2</t>
  </si>
  <si>
    <t>Jens</t>
  </si>
  <si>
    <t>Bastian</t>
  </si>
  <si>
    <t>Max</t>
  </si>
  <si>
    <t>Startwert</t>
  </si>
  <si>
    <t>Min</t>
  </si>
  <si>
    <t>dR</t>
  </si>
  <si>
    <t>p3</t>
  </si>
  <si>
    <t>Parameter</t>
  </si>
  <si>
    <t>Wert</t>
  </si>
  <si>
    <t>dRA</t>
  </si>
  <si>
    <t>EA = 1/(1+p1^(dR/p2))</t>
  </si>
  <si>
    <t>dR = RB-RA</t>
  </si>
  <si>
    <t>EA(dR)</t>
  </si>
  <si>
    <t>Gewinnwahrscheinlichkeit für Team A</t>
  </si>
  <si>
    <t>Rating Team A</t>
  </si>
  <si>
    <t>Rating Team B</t>
  </si>
  <si>
    <t>dRB</t>
  </si>
  <si>
    <t>vor dem Spiel</t>
  </si>
  <si>
    <t>Rating vorher</t>
  </si>
  <si>
    <t>Anteil</t>
  </si>
  <si>
    <t>Rating nachher</t>
  </si>
  <si>
    <t>Änderung</t>
  </si>
  <si>
    <t>Beispielergebnis:</t>
  </si>
  <si>
    <t>SA = a3*GD^3+a2*GD^2+a1*GD+a0</t>
  </si>
  <si>
    <t>RA' = RA + p3*(SA-EA)</t>
  </si>
  <si>
    <t>RA'</t>
  </si>
  <si>
    <t>Ausgangsrating Team A</t>
  </si>
  <si>
    <t>neues Rating Team A</t>
  </si>
  <si>
    <t>Tordifferenz</t>
  </si>
  <si>
    <t>a0</t>
  </si>
  <si>
    <t>a3</t>
  </si>
  <si>
    <t>a2</t>
  </si>
  <si>
    <t>a1</t>
  </si>
  <si>
    <t>Vorgaben</t>
  </si>
  <si>
    <t>SA(10)</t>
  </si>
  <si>
    <t>SA(-10)</t>
  </si>
  <si>
    <t>SA(0)</t>
  </si>
  <si>
    <t>SA'(0)</t>
  </si>
  <si>
    <t>polynom</t>
  </si>
  <si>
    <t>Methode</t>
  </si>
  <si>
    <t>polynom SA(GD)</t>
  </si>
  <si>
    <t>linear SA(GD)</t>
  </si>
  <si>
    <t>Bewertetes Spielergebnis Team A</t>
  </si>
  <si>
    <t>MaxElo</t>
  </si>
  <si>
    <t>CurrElo</t>
  </si>
  <si>
    <t>MinElo</t>
  </si>
  <si>
    <t>Spiele</t>
  </si>
  <si>
    <t>Tore</t>
  </si>
  <si>
    <t>Tordiff</t>
  </si>
  <si>
    <t>Gegtore</t>
  </si>
  <si>
    <t>Spalte36</t>
  </si>
  <si>
    <t>Spalte37</t>
  </si>
  <si>
    <t>Spalte38</t>
  </si>
  <si>
    <t>Spalte39</t>
  </si>
  <si>
    <t>Spalte40</t>
  </si>
  <si>
    <t>Spalte41</t>
  </si>
  <si>
    <t>Spalte42</t>
  </si>
  <si>
    <t>Spalte43</t>
  </si>
  <si>
    <t>Spalte44</t>
  </si>
  <si>
    <t>Spalte45</t>
  </si>
  <si>
    <t>Spalte46</t>
  </si>
  <si>
    <t>Spalte47</t>
  </si>
  <si>
    <t>ELO vorher A1</t>
  </si>
  <si>
    <t>ELO vorher A2</t>
  </si>
  <si>
    <t>ELO vorher B1</t>
  </si>
  <si>
    <t>ELO vorher B2</t>
  </si>
  <si>
    <t>ELO A gesamt</t>
  </si>
  <si>
    <t>ELO B gesamt</t>
  </si>
  <si>
    <t>Erwartung A</t>
  </si>
  <si>
    <t>Erwartung B</t>
  </si>
  <si>
    <t>Änderung A</t>
  </si>
  <si>
    <t>Änderung B</t>
  </si>
  <si>
    <t>Änderung A1</t>
  </si>
  <si>
    <t>Änderung B1</t>
  </si>
  <si>
    <t>Änderung A2</t>
  </si>
  <si>
    <t>Änderung B2</t>
  </si>
  <si>
    <t>Team A2</t>
  </si>
  <si>
    <t>Team B3</t>
  </si>
  <si>
    <t xml:space="preserve"> </t>
  </si>
  <si>
    <t xml:space="preserve"> 2</t>
  </si>
  <si>
    <t>Bewertung A</t>
  </si>
  <si>
    <t>Bewertung B</t>
  </si>
  <si>
    <t xml:space="preserve"> 3</t>
  </si>
  <si>
    <t>RBD1</t>
  </si>
  <si>
    <t>RAD</t>
  </si>
  <si>
    <t xml:space="preserve"> 4</t>
  </si>
  <si>
    <t>Anteil B1</t>
  </si>
  <si>
    <t>Anteil B2</t>
  </si>
  <si>
    <t>Anteil A1</t>
  </si>
  <si>
    <t>Anteil A2</t>
  </si>
  <si>
    <t>ELO2</t>
  </si>
  <si>
    <t>ELO3</t>
  </si>
  <si>
    <t>ELO4</t>
  </si>
  <si>
    <t xml:space="preserve"> 32</t>
  </si>
  <si>
    <t>0</t>
  </si>
  <si>
    <t>Spalte1</t>
  </si>
  <si>
    <t>Spalte2</t>
  </si>
  <si>
    <t>Spalte3</t>
  </si>
  <si>
    <t>Spalte4</t>
  </si>
  <si>
    <t>Spalte5</t>
  </si>
  <si>
    <t>Team</t>
  </si>
  <si>
    <t>Kompetenz</t>
  </si>
  <si>
    <t>Studenten</t>
  </si>
  <si>
    <t>Katalanen</t>
  </si>
  <si>
    <t>TUV</t>
  </si>
  <si>
    <t>Batterie</t>
  </si>
  <si>
    <t>Teamcoach</t>
  </si>
  <si>
    <t>Devahrens</t>
  </si>
  <si>
    <t>Bahn</t>
  </si>
  <si>
    <t>ELO vorher</t>
  </si>
  <si>
    <t>ELO nachher</t>
  </si>
  <si>
    <t xml:space="preserve">Spieler </t>
  </si>
  <si>
    <t>Gesamt</t>
  </si>
  <si>
    <t>Differenz</t>
  </si>
  <si>
    <t>Anton</t>
  </si>
  <si>
    <t>Christoph</t>
  </si>
  <si>
    <t>Aktuell</t>
  </si>
  <si>
    <t>Matchnummer</t>
  </si>
  <si>
    <t>Vorhersage</t>
  </si>
  <si>
    <t>Konferenz</t>
  </si>
  <si>
    <t>Konkurrenz</t>
  </si>
  <si>
    <t>Champions League</t>
  </si>
  <si>
    <t>Champions League Q.</t>
  </si>
  <si>
    <t xml:space="preserve">Champions League </t>
  </si>
  <si>
    <t>Europa League</t>
  </si>
  <si>
    <t>Europa League Q.</t>
  </si>
  <si>
    <t>Abstieg</t>
  </si>
  <si>
    <t>Relegation</t>
  </si>
  <si>
    <t>Aufstieg</t>
  </si>
  <si>
    <t>FuSi</t>
  </si>
  <si>
    <t>Elodiff</t>
  </si>
  <si>
    <t>Sieg%A</t>
  </si>
  <si>
    <t>Sieg%B</t>
  </si>
  <si>
    <t>Erwartete Tore</t>
  </si>
  <si>
    <t>Erzielte Tore</t>
  </si>
  <si>
    <t>ELO Änderung</t>
  </si>
  <si>
    <t>Bewertung</t>
  </si>
  <si>
    <t>Erwartung</t>
  </si>
  <si>
    <t>Anteil 1</t>
  </si>
  <si>
    <t>Legenden</t>
  </si>
  <si>
    <t>Thomas Pfeiffer</t>
  </si>
  <si>
    <t>Koeln</t>
  </si>
  <si>
    <t>ID</t>
  </si>
  <si>
    <t>ID A1</t>
  </si>
  <si>
    <t>ID A2</t>
  </si>
  <si>
    <t>ID B1</t>
  </si>
  <si>
    <t>ID B2</t>
  </si>
  <si>
    <t>Aleix_V</t>
  </si>
  <si>
    <t>Anton_K</t>
  </si>
  <si>
    <t>Bastian_G</t>
  </si>
  <si>
    <t>Ben_S</t>
  </si>
  <si>
    <t>Benedikt_K</t>
  </si>
  <si>
    <t>Benedikt_R</t>
  </si>
  <si>
    <t>Carsten_H</t>
  </si>
  <si>
    <t>Andres_H</t>
  </si>
  <si>
    <t>Christoph_R</t>
  </si>
  <si>
    <t>Claudius_J</t>
  </si>
  <si>
    <t>Daniel_D</t>
  </si>
  <si>
    <t>David_R</t>
  </si>
  <si>
    <t>Dennis_P</t>
  </si>
  <si>
    <t>Dennis_R</t>
  </si>
  <si>
    <t>Detlef_R</t>
  </si>
  <si>
    <t>Dmitrij_M</t>
  </si>
  <si>
    <t>Fabian_M</t>
  </si>
  <si>
    <t>Hannes_S</t>
  </si>
  <si>
    <t>Jan_B</t>
  </si>
  <si>
    <t>Jan_Hendrik_B</t>
  </si>
  <si>
    <t>Jens_N</t>
  </si>
  <si>
    <t>Jonathan_F</t>
  </si>
  <si>
    <t>Louis_W</t>
  </si>
  <si>
    <t>Lukas_L</t>
  </si>
  <si>
    <t>Marcin_S</t>
  </si>
  <si>
    <t>Marco_K</t>
  </si>
  <si>
    <t>Marius_M</t>
  </si>
  <si>
    <t>Matthias_H</t>
  </si>
  <si>
    <t>Michael_D</t>
  </si>
  <si>
    <t>Patrick_S</t>
  </si>
  <si>
    <t>Rano_M</t>
  </si>
  <si>
    <t>Rene_N</t>
  </si>
  <si>
    <t>Rene_P</t>
  </si>
  <si>
    <t>Rodrigo_R</t>
  </si>
  <si>
    <t>Sebastian_A</t>
  </si>
  <si>
    <t>Sebastian_St</t>
  </si>
  <si>
    <t>Tobias_S</t>
  </si>
  <si>
    <t>Tom_R</t>
  </si>
  <si>
    <t>Johannes_S</t>
  </si>
  <si>
    <t>Julius_P</t>
  </si>
  <si>
    <t>Marvin_W</t>
  </si>
  <si>
    <t>Richard_D</t>
  </si>
  <si>
    <t>Simon_U</t>
  </si>
  <si>
    <t>Steffen_R</t>
  </si>
  <si>
    <t>Tim_R</t>
  </si>
  <si>
    <t>Ton_L</t>
  </si>
  <si>
    <t>Yixin_G</t>
  </si>
  <si>
    <t>match_number</t>
  </si>
  <si>
    <t>player_A1</t>
  </si>
  <si>
    <t>player_A2</t>
  </si>
  <si>
    <t>player_B1</t>
  </si>
  <si>
    <t>player_B2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</si>
</sst>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\+0.00;\-0.00;&quot;+/- &quot;0.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  <font>
      <sz val="2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8" tint="0.39997558519241921"/>
      </top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auto="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57">
    <xf numFmtId="0" fontId="0" fillId="0" borderId="0" xfId="0"/>
    <xf numFmtId="2" fontId="0" fillId="0" borderId="0" xfId="0" applyNumberFormat="1"/>
    <xf numFmtId="4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1" fillId="3" borderId="2" xfId="0" applyFont="1" applyFill="1" applyBorder="1"/>
    <xf numFmtId="0" fontId="0" fillId="4" borderId="0" xfId="0" applyFill="1"/>
    <xf numFmtId="0" fontId="0" fillId="4" borderId="3" xfId="0" applyFill="1" applyBorder="1"/>
    <xf numFmtId="0" fontId="0" fillId="0" borderId="3" xfId="0" applyBorder="1"/>
    <xf numFmtId="165" fontId="0" fillId="0" borderId="0" xfId="0" applyNumberFormat="1"/>
    <xf numFmtId="0" fontId="0" fillId="0" borderId="4" xfId="0" applyBorder="1"/>
    <xf numFmtId="0" fontId="0" fillId="0" borderId="0" xfId="0" applyAlignment="1">
      <alignment horizontal="left"/>
    </xf>
    <xf numFmtId="0" fontId="2" fillId="0" borderId="0" xfId="0" applyFont="1"/>
    <xf numFmtId="1" fontId="0" fillId="0" borderId="0" xfId="0" applyNumberFormat="1"/>
    <xf numFmtId="0" fontId="0" fillId="5" borderId="0" xfId="0" applyFill="1"/>
    <xf numFmtId="9" fontId="0" fillId="0" borderId="0" xfId="0" applyNumberFormat="1"/>
    <xf numFmtId="2" fontId="0" fillId="5" borderId="0" xfId="0" applyNumberFormat="1" applyFill="1"/>
    <xf numFmtId="2" fontId="1" fillId="3" borderId="8" xfId="0" applyNumberFormat="1" applyFont="1" applyFill="1" applyBorder="1"/>
    <xf numFmtId="0" fontId="0" fillId="0" borderId="9" xfId="0" applyBorder="1"/>
    <xf numFmtId="49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/>
    <xf numFmtId="0" fontId="3" fillId="0" borderId="0" xfId="0" applyFont="1" applyFill="1" applyBorder="1"/>
    <xf numFmtId="2" fontId="3" fillId="0" borderId="0" xfId="0" applyNumberFormat="1" applyFont="1"/>
    <xf numFmtId="4" fontId="3" fillId="0" borderId="0" xfId="0" applyNumberFormat="1" applyFont="1"/>
    <xf numFmtId="0" fontId="0" fillId="0" borderId="0" xfId="0" applyFont="1"/>
    <xf numFmtId="0" fontId="4" fillId="0" borderId="0" xfId="0" applyFont="1"/>
    <xf numFmtId="0" fontId="0" fillId="0" borderId="0" xfId="0" applyAlignment="1"/>
    <xf numFmtId="166" fontId="0" fillId="0" borderId="0" xfId="0" applyNumberFormat="1"/>
    <xf numFmtId="2" fontId="0" fillId="0" borderId="0" xfId="0" applyNumberFormat="1" applyFill="1"/>
    <xf numFmtId="0" fontId="5" fillId="3" borderId="2" xfId="0" applyFont="1" applyFill="1" applyBorder="1"/>
    <xf numFmtId="2" fontId="4" fillId="0" borderId="1" xfId="0" applyNumberFormat="1" applyFont="1" applyBorder="1"/>
    <xf numFmtId="2" fontId="0" fillId="2" borderId="10" xfId="0" applyNumberFormat="1" applyFont="1" applyFill="1" applyBorder="1"/>
    <xf numFmtId="2" fontId="4" fillId="0" borderId="11" xfId="0" applyNumberFormat="1" applyFont="1" applyBorder="1"/>
    <xf numFmtId="2" fontId="0" fillId="0" borderId="11" xfId="0" applyNumberFormat="1" applyFont="1" applyBorder="1"/>
    <xf numFmtId="0" fontId="0" fillId="0" borderId="12" xfId="0" applyFont="1" applyBorder="1"/>
    <xf numFmtId="0" fontId="0" fillId="2" borderId="12" xfId="0" applyFont="1" applyFill="1" applyBorder="1"/>
    <xf numFmtId="0" fontId="0" fillId="2" borderId="13" xfId="0" applyFont="1" applyFill="1" applyBorder="1"/>
    <xf numFmtId="0" fontId="0" fillId="0" borderId="13" xfId="0" applyFont="1" applyBorder="1"/>
    <xf numFmtId="0" fontId="0" fillId="0" borderId="0" xfId="0" applyNumberFormat="1"/>
    <xf numFmtId="0" fontId="0" fillId="2" borderId="14" xfId="0" applyFont="1" applyFill="1" applyBorder="1"/>
    <xf numFmtId="0" fontId="0" fillId="0" borderId="14" xfId="0" applyFont="1" applyBorder="1"/>
    <xf numFmtId="0" fontId="7" fillId="0" borderId="0" xfId="0" applyFont="1"/>
    <xf numFmtId="0" fontId="6" fillId="0" borderId="0" xfId="0" applyFont="1" applyAlignment="1">
      <alignment horizontal="center"/>
    </xf>
    <xf numFmtId="166" fontId="6" fillId="0" borderId="0" xfId="0" applyNumberFormat="1" applyFont="1" applyAlignment="1">
      <alignment horizontal="center"/>
    </xf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6" xfId="0" applyBorder="1" applyAlignment="1">
      <alignment horizontal="right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Standard" xfId="0" builtinId="0"/>
  </cellStyles>
  <dxfs count="15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4" tint="0.39994506668294322"/>
        </patternFill>
      </fill>
    </dxf>
    <dxf>
      <fill>
        <patternFill patternType="solid">
          <fgColor indexed="64"/>
          <bgColor theme="4" tint="0.39994506668294322"/>
        </patternFill>
      </fill>
    </dxf>
    <dxf>
      <fill>
        <patternFill patternType="solid">
          <fgColor indexed="64"/>
          <bgColor theme="4" tint="0.39994506668294322"/>
        </patternFill>
      </fill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4" tint="0.39994506668294322"/>
        </patternFill>
      </fill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4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ill>
        <patternFill patternType="solid">
          <fgColor indexed="64"/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382501100405932E-2"/>
          <c:y val="1.0931281017727236E-2"/>
          <c:w val="0.93712678772296321"/>
          <c:h val="0.90379538840830742"/>
        </c:manualLayout>
      </c:layout>
      <c:scatterChart>
        <c:scatterStyle val="lineMarker"/>
        <c:varyColors val="0"/>
        <c:ser>
          <c:idx val="0"/>
          <c:order val="0"/>
          <c:tx>
            <c:strRef>
              <c:f>Ranking!$K$3</c:f>
              <c:strCache>
                <c:ptCount val="1"/>
                <c:pt idx="0">
                  <c:v>Carsten_H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Ranking!$AF$2:$AF$732</c:f>
              <c:numCache>
                <c:formatCode>General</c:formatCode>
                <c:ptCount val="731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</c:numCache>
            </c:numRef>
          </c:xVal>
          <c:yVal>
            <c:numRef>
              <c:f>Ranking!$AG$2:$AG$732</c:f>
              <c:numCache>
                <c:formatCode>General</c:formatCode>
                <c:ptCount val="731"/>
                <c:pt idx="0">
                  <c:v>9</c:v>
                </c:pt>
                <c:pt idx="1">
                  <c:v>100</c:v>
                </c:pt>
                <c:pt idx="2">
                  <c:v>99.72</c:v>
                </c:pt>
                <c:pt idx="3">
                  <c:v>100.26070809352049</c:v>
                </c:pt>
                <c:pt idx="4">
                  <c:v>100.26070809352049</c:v>
                </c:pt>
                <c:pt idx="5">
                  <c:v>100.26070809352049</c:v>
                </c:pt>
                <c:pt idx="6">
                  <c:v>98.626972918695557</c:v>
                </c:pt>
                <c:pt idx="7">
                  <c:v>98.190020511382031</c:v>
                </c:pt>
                <c:pt idx="8">
                  <c:v>98.190020511382031</c:v>
                </c:pt>
                <c:pt idx="9">
                  <c:v>98.190020511382031</c:v>
                </c:pt>
                <c:pt idx="10">
                  <c:v>98.190020511382031</c:v>
                </c:pt>
                <c:pt idx="11">
                  <c:v>98.190020511382031</c:v>
                </c:pt>
                <c:pt idx="12">
                  <c:v>98.190020511382031</c:v>
                </c:pt>
                <c:pt idx="13">
                  <c:v>98.190020511382031</c:v>
                </c:pt>
                <c:pt idx="14">
                  <c:v>98.190020511382031</c:v>
                </c:pt>
                <c:pt idx="15">
                  <c:v>98.190020511382031</c:v>
                </c:pt>
                <c:pt idx="16">
                  <c:v>97.931383055638335</c:v>
                </c:pt>
                <c:pt idx="17">
                  <c:v>100.06551835786881</c:v>
                </c:pt>
                <c:pt idx="18">
                  <c:v>100.06551835786881</c:v>
                </c:pt>
                <c:pt idx="19">
                  <c:v>100.06551835786881</c:v>
                </c:pt>
                <c:pt idx="20">
                  <c:v>95.409006785283907</c:v>
                </c:pt>
                <c:pt idx="21">
                  <c:v>95.145163744978248</c:v>
                </c:pt>
                <c:pt idx="22">
                  <c:v>95.145163744978248</c:v>
                </c:pt>
                <c:pt idx="23">
                  <c:v>95.145163744978248</c:v>
                </c:pt>
                <c:pt idx="24">
                  <c:v>95.145163744978248</c:v>
                </c:pt>
                <c:pt idx="25">
                  <c:v>95.145163744978248</c:v>
                </c:pt>
                <c:pt idx="26">
                  <c:v>97.607955102869965</c:v>
                </c:pt>
                <c:pt idx="27">
                  <c:v>98.586192156994812</c:v>
                </c:pt>
                <c:pt idx="28">
                  <c:v>98.586192156994812</c:v>
                </c:pt>
                <c:pt idx="29">
                  <c:v>97.485740590077626</c:v>
                </c:pt>
                <c:pt idx="30">
                  <c:v>97.094507637290775</c:v>
                </c:pt>
                <c:pt idx="31">
                  <c:v>97.094507637290775</c:v>
                </c:pt>
                <c:pt idx="32">
                  <c:v>97.094507637290775</c:v>
                </c:pt>
                <c:pt idx="33">
                  <c:v>97.094507637290775</c:v>
                </c:pt>
                <c:pt idx="34">
                  <c:v>97.094507637290775</c:v>
                </c:pt>
                <c:pt idx="35">
                  <c:v>97.094507637290775</c:v>
                </c:pt>
                <c:pt idx="36">
                  <c:v>97.094507637290775</c:v>
                </c:pt>
                <c:pt idx="37">
                  <c:v>96.942721479886103</c:v>
                </c:pt>
                <c:pt idx="38">
                  <c:v>96.823764361680261</c:v>
                </c:pt>
                <c:pt idx="39">
                  <c:v>96.823764361680261</c:v>
                </c:pt>
                <c:pt idx="40">
                  <c:v>96.823764361680261</c:v>
                </c:pt>
                <c:pt idx="41">
                  <c:v>96.823764361680261</c:v>
                </c:pt>
                <c:pt idx="42">
                  <c:v>96.823764361680261</c:v>
                </c:pt>
                <c:pt idx="43">
                  <c:v>98.329754222019233</c:v>
                </c:pt>
                <c:pt idx="44">
                  <c:v>98.276366074373215</c:v>
                </c:pt>
                <c:pt idx="45">
                  <c:v>98.276366074373215</c:v>
                </c:pt>
                <c:pt idx="46">
                  <c:v>98.276366074373215</c:v>
                </c:pt>
                <c:pt idx="47">
                  <c:v>98.276366074373215</c:v>
                </c:pt>
                <c:pt idx="48">
                  <c:v>98.276366074373215</c:v>
                </c:pt>
                <c:pt idx="49">
                  <c:v>97.222982220123455</c:v>
                </c:pt>
                <c:pt idx="50">
                  <c:v>96.209157163237421</c:v>
                </c:pt>
                <c:pt idx="51">
                  <c:v>96.159419332621695</c:v>
                </c:pt>
                <c:pt idx="52">
                  <c:v>95.872755317382499</c:v>
                </c:pt>
                <c:pt idx="53">
                  <c:v>95.872755317382499</c:v>
                </c:pt>
                <c:pt idx="54">
                  <c:v>95.872755317382499</c:v>
                </c:pt>
                <c:pt idx="55">
                  <c:v>94.674830243085708</c:v>
                </c:pt>
                <c:pt idx="56">
                  <c:v>95.947100835964889</c:v>
                </c:pt>
                <c:pt idx="57">
                  <c:v>95.947100835964889</c:v>
                </c:pt>
                <c:pt idx="58">
                  <c:v>95.947100835964889</c:v>
                </c:pt>
                <c:pt idx="59">
                  <c:v>97.096119351203782</c:v>
                </c:pt>
                <c:pt idx="60">
                  <c:v>97.621522685111643</c:v>
                </c:pt>
                <c:pt idx="61">
                  <c:v>98.432784440290078</c:v>
                </c:pt>
                <c:pt idx="62">
                  <c:v>98.438751276510686</c:v>
                </c:pt>
                <c:pt idx="63">
                  <c:v>97.508280671277078</c:v>
                </c:pt>
                <c:pt idx="64">
                  <c:v>97.236664748304293</c:v>
                </c:pt>
                <c:pt idx="65">
                  <c:v>97.236664748304293</c:v>
                </c:pt>
                <c:pt idx="66">
                  <c:v>97.236664748304293</c:v>
                </c:pt>
                <c:pt idx="67">
                  <c:v>97.754979908163023</c:v>
                </c:pt>
                <c:pt idx="68">
                  <c:v>95.268447073714583</c:v>
                </c:pt>
                <c:pt idx="69">
                  <c:v>95.771539464841922</c:v>
                </c:pt>
                <c:pt idx="70">
                  <c:v>94.140751210658493</c:v>
                </c:pt>
                <c:pt idx="71">
                  <c:v>91.929730417637671</c:v>
                </c:pt>
                <c:pt idx="72">
                  <c:v>92.589990142659005</c:v>
                </c:pt>
                <c:pt idx="73">
                  <c:v>92.589990142659005</c:v>
                </c:pt>
                <c:pt idx="74">
                  <c:v>92.589990142659005</c:v>
                </c:pt>
                <c:pt idx="75">
                  <c:v>92.589990142659005</c:v>
                </c:pt>
                <c:pt idx="76">
                  <c:v>92.589990142659005</c:v>
                </c:pt>
                <c:pt idx="77">
                  <c:v>92.589990142659005</c:v>
                </c:pt>
                <c:pt idx="78">
                  <c:v>92.589990142659005</c:v>
                </c:pt>
                <c:pt idx="79">
                  <c:v>92.589990142659005</c:v>
                </c:pt>
                <c:pt idx="80">
                  <c:v>92.589990142659005</c:v>
                </c:pt>
                <c:pt idx="81">
                  <c:v>93.061533094864288</c:v>
                </c:pt>
                <c:pt idx="82">
                  <c:v>96.978778433590605</c:v>
                </c:pt>
                <c:pt idx="83">
                  <c:v>95.407124937481996</c:v>
                </c:pt>
                <c:pt idx="84">
                  <c:v>95.232863044770994</c:v>
                </c:pt>
                <c:pt idx="85">
                  <c:v>95.232863044770994</c:v>
                </c:pt>
                <c:pt idx="86">
                  <c:v>95.232863044770994</c:v>
                </c:pt>
                <c:pt idx="87">
                  <c:v>95.511426944109317</c:v>
                </c:pt>
                <c:pt idx="88">
                  <c:v>94.850155364740317</c:v>
                </c:pt>
                <c:pt idx="89">
                  <c:v>94.850155364740317</c:v>
                </c:pt>
                <c:pt idx="90">
                  <c:v>94.850155364740317</c:v>
                </c:pt>
                <c:pt idx="91">
                  <c:v>94.850155364740317</c:v>
                </c:pt>
                <c:pt idx="92">
                  <c:v>94.850155364740317</c:v>
                </c:pt>
                <c:pt idx="93">
                  <c:v>94.850155364740317</c:v>
                </c:pt>
                <c:pt idx="94">
                  <c:v>94.850155364740317</c:v>
                </c:pt>
                <c:pt idx="95">
                  <c:v>95.334243040009738</c:v>
                </c:pt>
                <c:pt idx="96">
                  <c:v>94.026542225836181</c:v>
                </c:pt>
                <c:pt idx="97">
                  <c:v>94.026542225836181</c:v>
                </c:pt>
                <c:pt idx="98">
                  <c:v>94.026542225836181</c:v>
                </c:pt>
                <c:pt idx="99">
                  <c:v>92.822639178772889</c:v>
                </c:pt>
                <c:pt idx="100">
                  <c:v>92.24929073396774</c:v>
                </c:pt>
                <c:pt idx="101">
                  <c:v>93.678699750720511</c:v>
                </c:pt>
                <c:pt idx="102">
                  <c:v>93.678699750720511</c:v>
                </c:pt>
                <c:pt idx="103">
                  <c:v>93.678699750720511</c:v>
                </c:pt>
                <c:pt idx="104">
                  <c:v>93.678699750720511</c:v>
                </c:pt>
                <c:pt idx="105">
                  <c:v>93.678699750720511</c:v>
                </c:pt>
                <c:pt idx="106">
                  <c:v>93.678699750720511</c:v>
                </c:pt>
                <c:pt idx="107">
                  <c:v>93.678699750720511</c:v>
                </c:pt>
                <c:pt idx="108">
                  <c:v>93.52883282555635</c:v>
                </c:pt>
                <c:pt idx="109">
                  <c:v>91.608339520426014</c:v>
                </c:pt>
                <c:pt idx="110">
                  <c:v>90.965264550810943</c:v>
                </c:pt>
                <c:pt idx="111">
                  <c:v>91.205664848657065</c:v>
                </c:pt>
                <c:pt idx="112">
                  <c:v>94.646474010221567</c:v>
                </c:pt>
                <c:pt idx="113">
                  <c:v>94.357099679669787</c:v>
                </c:pt>
                <c:pt idx="114">
                  <c:v>94.357099679669787</c:v>
                </c:pt>
                <c:pt idx="115">
                  <c:v>94.357099679669787</c:v>
                </c:pt>
                <c:pt idx="116">
                  <c:v>94.357099679669787</c:v>
                </c:pt>
                <c:pt idx="117">
                  <c:v>94.357099679669787</c:v>
                </c:pt>
                <c:pt idx="118">
                  <c:v>94.549835215939424</c:v>
                </c:pt>
                <c:pt idx="119">
                  <c:v>94.43575881404324</c:v>
                </c:pt>
                <c:pt idx="120">
                  <c:v>94.43575881404324</c:v>
                </c:pt>
                <c:pt idx="121">
                  <c:v>94.43575881404324</c:v>
                </c:pt>
                <c:pt idx="122">
                  <c:v>91.960849788853452</c:v>
                </c:pt>
                <c:pt idx="123">
                  <c:v>89.103135012399392</c:v>
                </c:pt>
                <c:pt idx="124">
                  <c:v>89.103135012399392</c:v>
                </c:pt>
                <c:pt idx="125">
                  <c:v>89.103135012399392</c:v>
                </c:pt>
                <c:pt idx="126">
                  <c:v>88.280852455739307</c:v>
                </c:pt>
                <c:pt idx="127">
                  <c:v>87.218181702302758</c:v>
                </c:pt>
                <c:pt idx="128">
                  <c:v>87.218181702302758</c:v>
                </c:pt>
                <c:pt idx="129">
                  <c:v>87.218181702302758</c:v>
                </c:pt>
                <c:pt idx="130">
                  <c:v>87.218181702302758</c:v>
                </c:pt>
                <c:pt idx="131">
                  <c:v>87.218181702302758</c:v>
                </c:pt>
                <c:pt idx="132">
                  <c:v>87.218181702302758</c:v>
                </c:pt>
                <c:pt idx="133">
                  <c:v>87.218181702302758</c:v>
                </c:pt>
                <c:pt idx="134">
                  <c:v>87.122357539750482</c:v>
                </c:pt>
                <c:pt idx="135">
                  <c:v>86.673825961289879</c:v>
                </c:pt>
                <c:pt idx="136">
                  <c:v>86.673825961289879</c:v>
                </c:pt>
                <c:pt idx="137">
                  <c:v>86.673825961289879</c:v>
                </c:pt>
                <c:pt idx="138">
                  <c:v>86.673825961289879</c:v>
                </c:pt>
                <c:pt idx="139">
                  <c:v>86.673825961289879</c:v>
                </c:pt>
                <c:pt idx="140">
                  <c:v>86.900093476486944</c:v>
                </c:pt>
                <c:pt idx="141">
                  <c:v>87.724932987035942</c:v>
                </c:pt>
                <c:pt idx="142">
                  <c:v>87.724932987035942</c:v>
                </c:pt>
                <c:pt idx="143">
                  <c:v>87.724932987035942</c:v>
                </c:pt>
                <c:pt idx="144">
                  <c:v>86.392759894679898</c:v>
                </c:pt>
                <c:pt idx="145">
                  <c:v>87.662470960780851</c:v>
                </c:pt>
                <c:pt idx="146">
                  <c:v>87.662470960780851</c:v>
                </c:pt>
                <c:pt idx="147">
                  <c:v>87.662470960780851</c:v>
                </c:pt>
                <c:pt idx="148">
                  <c:v>87.662470960780851</c:v>
                </c:pt>
                <c:pt idx="149">
                  <c:v>87.662470960780851</c:v>
                </c:pt>
                <c:pt idx="150">
                  <c:v>87.662470960780851</c:v>
                </c:pt>
                <c:pt idx="151">
                  <c:v>87.662470960780851</c:v>
                </c:pt>
                <c:pt idx="152">
                  <c:v>88.885368379364024</c:v>
                </c:pt>
                <c:pt idx="153">
                  <c:v>90.329910721770588</c:v>
                </c:pt>
                <c:pt idx="154">
                  <c:v>90.281272697397114</c:v>
                </c:pt>
                <c:pt idx="155">
                  <c:v>90.401037594332138</c:v>
                </c:pt>
                <c:pt idx="156">
                  <c:v>90.401037594332138</c:v>
                </c:pt>
                <c:pt idx="157">
                  <c:v>90.401037594332138</c:v>
                </c:pt>
                <c:pt idx="158">
                  <c:v>90.401037594332138</c:v>
                </c:pt>
                <c:pt idx="159">
                  <c:v>90.401037594332138</c:v>
                </c:pt>
                <c:pt idx="160">
                  <c:v>90.401037594332138</c:v>
                </c:pt>
                <c:pt idx="161">
                  <c:v>90.401037594332138</c:v>
                </c:pt>
                <c:pt idx="162">
                  <c:v>90.401037594332138</c:v>
                </c:pt>
                <c:pt idx="163">
                  <c:v>90.401037594332138</c:v>
                </c:pt>
                <c:pt idx="164">
                  <c:v>90.401037594332138</c:v>
                </c:pt>
                <c:pt idx="165">
                  <c:v>90.401037594332138</c:v>
                </c:pt>
                <c:pt idx="166">
                  <c:v>90.401037594332138</c:v>
                </c:pt>
                <c:pt idx="167">
                  <c:v>90.401037594332138</c:v>
                </c:pt>
                <c:pt idx="168">
                  <c:v>90.401037594332138</c:v>
                </c:pt>
                <c:pt idx="169">
                  <c:v>90.401037594332138</c:v>
                </c:pt>
                <c:pt idx="170">
                  <c:v>90.401037594332138</c:v>
                </c:pt>
                <c:pt idx="171">
                  <c:v>90.401037594332138</c:v>
                </c:pt>
                <c:pt idx="172">
                  <c:v>90.401037594332138</c:v>
                </c:pt>
                <c:pt idx="173">
                  <c:v>90.401037594332138</c:v>
                </c:pt>
                <c:pt idx="174">
                  <c:v>90.401037594332138</c:v>
                </c:pt>
                <c:pt idx="175">
                  <c:v>90.401037594332138</c:v>
                </c:pt>
                <c:pt idx="176">
                  <c:v>90.401037594332138</c:v>
                </c:pt>
                <c:pt idx="177">
                  <c:v>91.739150003765786</c:v>
                </c:pt>
                <c:pt idx="178">
                  <c:v>91.623000485584186</c:v>
                </c:pt>
                <c:pt idx="179">
                  <c:v>91.623000485584186</c:v>
                </c:pt>
                <c:pt idx="180">
                  <c:v>91.623000485584186</c:v>
                </c:pt>
                <c:pt idx="181">
                  <c:v>91.623000485584186</c:v>
                </c:pt>
                <c:pt idx="182">
                  <c:v>91.623000485584186</c:v>
                </c:pt>
                <c:pt idx="183">
                  <c:v>90.692639838571509</c:v>
                </c:pt>
                <c:pt idx="184">
                  <c:v>89.97073964991985</c:v>
                </c:pt>
                <c:pt idx="185">
                  <c:v>89.97073964991985</c:v>
                </c:pt>
                <c:pt idx="186">
                  <c:v>89.97073964991985</c:v>
                </c:pt>
                <c:pt idx="187">
                  <c:v>89.97073964991985</c:v>
                </c:pt>
                <c:pt idx="188">
                  <c:v>89.97073964991985</c:v>
                </c:pt>
                <c:pt idx="189">
                  <c:v>89.97073964991985</c:v>
                </c:pt>
                <c:pt idx="190">
                  <c:v>89.97073964991985</c:v>
                </c:pt>
                <c:pt idx="191">
                  <c:v>92.825361887902346</c:v>
                </c:pt>
                <c:pt idx="192">
                  <c:v>93.849229804733312</c:v>
                </c:pt>
                <c:pt idx="193">
                  <c:v>95.563883335101934</c:v>
                </c:pt>
                <c:pt idx="194">
                  <c:v>96.882907232496876</c:v>
                </c:pt>
                <c:pt idx="195">
                  <c:v>96.882907232496876</c:v>
                </c:pt>
                <c:pt idx="196">
                  <c:v>96.882907232496876</c:v>
                </c:pt>
                <c:pt idx="197">
                  <c:v>96.882907232496876</c:v>
                </c:pt>
                <c:pt idx="198">
                  <c:v>96.882907232496876</c:v>
                </c:pt>
                <c:pt idx="199">
                  <c:v>96.882907232496876</c:v>
                </c:pt>
                <c:pt idx="200">
                  <c:v>96.882907232496876</c:v>
                </c:pt>
                <c:pt idx="201">
                  <c:v>96.882907232496876</c:v>
                </c:pt>
                <c:pt idx="202">
                  <c:v>96.882907232496876</c:v>
                </c:pt>
                <c:pt idx="203">
                  <c:v>96.882907232496876</c:v>
                </c:pt>
                <c:pt idx="204">
                  <c:v>96.882907232496876</c:v>
                </c:pt>
                <c:pt idx="205">
                  <c:v>96.882907232496876</c:v>
                </c:pt>
                <c:pt idx="206">
                  <c:v>96.580412901782537</c:v>
                </c:pt>
                <c:pt idx="207">
                  <c:v>96.339887223435241</c:v>
                </c:pt>
                <c:pt idx="208">
                  <c:v>96.339887223435241</c:v>
                </c:pt>
                <c:pt idx="209">
                  <c:v>96.339887223435241</c:v>
                </c:pt>
                <c:pt idx="210">
                  <c:v>96.339887223435241</c:v>
                </c:pt>
                <c:pt idx="211">
                  <c:v>96.339887223435241</c:v>
                </c:pt>
                <c:pt idx="212">
                  <c:v>96.339887223435241</c:v>
                </c:pt>
                <c:pt idx="213">
                  <c:v>96.339887223435241</c:v>
                </c:pt>
                <c:pt idx="214">
                  <c:v>96.339887223435241</c:v>
                </c:pt>
                <c:pt idx="215">
                  <c:v>96.339887223435241</c:v>
                </c:pt>
                <c:pt idx="216">
                  <c:v>95.722103246174782</c:v>
                </c:pt>
                <c:pt idx="217">
                  <c:v>95.630354838947454</c:v>
                </c:pt>
                <c:pt idx="218">
                  <c:v>95.037491452161717</c:v>
                </c:pt>
                <c:pt idx="219">
                  <c:v>95.331368708307579</c:v>
                </c:pt>
                <c:pt idx="220">
                  <c:v>95.331368708307579</c:v>
                </c:pt>
                <c:pt idx="221">
                  <c:v>95.331368708307579</c:v>
                </c:pt>
                <c:pt idx="222">
                  <c:v>95.331368708307579</c:v>
                </c:pt>
                <c:pt idx="223">
                  <c:v>95.331368708307579</c:v>
                </c:pt>
                <c:pt idx="224">
                  <c:v>94.891289313533846</c:v>
                </c:pt>
                <c:pt idx="225">
                  <c:v>94.891289313533846</c:v>
                </c:pt>
                <c:pt idx="226">
                  <c:v>94.891289313533846</c:v>
                </c:pt>
                <c:pt idx="227">
                  <c:v>94.891289313533846</c:v>
                </c:pt>
                <c:pt idx="228">
                  <c:v>94.891289313533846</c:v>
                </c:pt>
                <c:pt idx="229">
                  <c:v>94.891289313533846</c:v>
                </c:pt>
                <c:pt idx="230">
                  <c:v>94.891289313533846</c:v>
                </c:pt>
                <c:pt idx="231">
                  <c:v>94.891289313533846</c:v>
                </c:pt>
                <c:pt idx="232">
                  <c:v>94.891289313533846</c:v>
                </c:pt>
                <c:pt idx="233">
                  <c:v>94.311805133977217</c:v>
                </c:pt>
                <c:pt idx="234">
                  <c:v>92.494351810856728</c:v>
                </c:pt>
                <c:pt idx="235">
                  <c:v>92.854749416233716</c:v>
                </c:pt>
                <c:pt idx="236">
                  <c:v>93.552178955414988</c:v>
                </c:pt>
                <c:pt idx="237">
                  <c:v>93.552178955414988</c:v>
                </c:pt>
                <c:pt idx="238">
                  <c:v>93.552178955414988</c:v>
                </c:pt>
                <c:pt idx="239">
                  <c:v>95.595541587200259</c:v>
                </c:pt>
                <c:pt idx="240">
                  <c:v>93.951879620981259</c:v>
                </c:pt>
                <c:pt idx="241">
                  <c:v>94.637311697664828</c:v>
                </c:pt>
                <c:pt idx="242">
                  <c:v>94.751934852087658</c:v>
                </c:pt>
                <c:pt idx="243">
                  <c:v>94.751934852087658</c:v>
                </c:pt>
                <c:pt idx="244">
                  <c:v>94.751934852087658</c:v>
                </c:pt>
                <c:pt idx="245">
                  <c:v>94.751934852087658</c:v>
                </c:pt>
                <c:pt idx="246">
                  <c:v>94.751934852087658</c:v>
                </c:pt>
                <c:pt idx="247">
                  <c:v>94.751934852087658</c:v>
                </c:pt>
                <c:pt idx="248">
                  <c:v>94.751934852087658</c:v>
                </c:pt>
                <c:pt idx="249">
                  <c:v>94.751934852087658</c:v>
                </c:pt>
                <c:pt idx="250">
                  <c:v>94.751934852087658</c:v>
                </c:pt>
                <c:pt idx="251">
                  <c:v>94.751934852087658</c:v>
                </c:pt>
                <c:pt idx="252">
                  <c:v>94.751934852087658</c:v>
                </c:pt>
                <c:pt idx="253">
                  <c:v>94.751934852087658</c:v>
                </c:pt>
                <c:pt idx="254">
                  <c:v>94.751934852087658</c:v>
                </c:pt>
                <c:pt idx="255">
                  <c:v>94.751934852087658</c:v>
                </c:pt>
                <c:pt idx="256">
                  <c:v>94.751934852087658</c:v>
                </c:pt>
                <c:pt idx="257">
                  <c:v>94.751934852087658</c:v>
                </c:pt>
                <c:pt idx="258">
                  <c:v>94.751934852087658</c:v>
                </c:pt>
                <c:pt idx="259">
                  <c:v>94.751934852087658</c:v>
                </c:pt>
                <c:pt idx="260">
                  <c:v>94.751934852087658</c:v>
                </c:pt>
                <c:pt idx="261">
                  <c:v>94.751934852087658</c:v>
                </c:pt>
                <c:pt idx="262">
                  <c:v>94.751934852087658</c:v>
                </c:pt>
                <c:pt idx="263">
                  <c:v>94.751934852087658</c:v>
                </c:pt>
                <c:pt idx="264">
                  <c:v>94.751934852087658</c:v>
                </c:pt>
                <c:pt idx="265">
                  <c:v>94.751934852087658</c:v>
                </c:pt>
                <c:pt idx="266">
                  <c:v>94.751934852087658</c:v>
                </c:pt>
                <c:pt idx="267">
                  <c:v>95.130077345693593</c:v>
                </c:pt>
                <c:pt idx="268">
                  <c:v>94.812915116027355</c:v>
                </c:pt>
                <c:pt idx="269">
                  <c:v>94.812915116027355</c:v>
                </c:pt>
                <c:pt idx="270">
                  <c:v>94.812915116027355</c:v>
                </c:pt>
                <c:pt idx="271">
                  <c:v>94.00252266250115</c:v>
                </c:pt>
                <c:pt idx="272">
                  <c:v>93.3751879919229</c:v>
                </c:pt>
                <c:pt idx="273">
                  <c:v>93.3751879919229</c:v>
                </c:pt>
                <c:pt idx="274">
                  <c:v>93.3751879919229</c:v>
                </c:pt>
                <c:pt idx="275">
                  <c:v>93.3751879919229</c:v>
                </c:pt>
                <c:pt idx="276">
                  <c:v>93.3751879919229</c:v>
                </c:pt>
                <c:pt idx="277">
                  <c:v>94.21366324134641</c:v>
                </c:pt>
                <c:pt idx="278">
                  <c:v>93.643142298095242</c:v>
                </c:pt>
                <c:pt idx="279">
                  <c:v>90.395296406087425</c:v>
                </c:pt>
                <c:pt idx="280">
                  <c:v>90.775354036476685</c:v>
                </c:pt>
                <c:pt idx="281">
                  <c:v>90.775354036476685</c:v>
                </c:pt>
                <c:pt idx="282">
                  <c:v>90.775354036476685</c:v>
                </c:pt>
                <c:pt idx="283">
                  <c:v>90.775354036476685</c:v>
                </c:pt>
                <c:pt idx="284">
                  <c:v>90.775354036476685</c:v>
                </c:pt>
                <c:pt idx="285">
                  <c:v>90.775354036476685</c:v>
                </c:pt>
                <c:pt idx="286">
                  <c:v>90.775354036476685</c:v>
                </c:pt>
                <c:pt idx="287">
                  <c:v>90.775354036476685</c:v>
                </c:pt>
                <c:pt idx="288">
                  <c:v>90.775354036476685</c:v>
                </c:pt>
                <c:pt idx="289">
                  <c:v>90.775354036476685</c:v>
                </c:pt>
                <c:pt idx="290">
                  <c:v>90.775354036476685</c:v>
                </c:pt>
                <c:pt idx="291">
                  <c:v>90.775354036476685</c:v>
                </c:pt>
                <c:pt idx="292">
                  <c:v>90.775354036476685</c:v>
                </c:pt>
                <c:pt idx="293">
                  <c:v>90.775354036476685</c:v>
                </c:pt>
                <c:pt idx="294">
                  <c:v>90.775354036476685</c:v>
                </c:pt>
                <c:pt idx="295">
                  <c:v>90.775354036476685</c:v>
                </c:pt>
                <c:pt idx="296">
                  <c:v>90.775354036476685</c:v>
                </c:pt>
                <c:pt idx="297">
                  <c:v>90.775354036476685</c:v>
                </c:pt>
                <c:pt idx="298">
                  <c:v>90.775354036476685</c:v>
                </c:pt>
                <c:pt idx="299">
                  <c:v>90.775354036476685</c:v>
                </c:pt>
                <c:pt idx="300">
                  <c:v>90.775354036476685</c:v>
                </c:pt>
                <c:pt idx="301">
                  <c:v>90.775354036476685</c:v>
                </c:pt>
                <c:pt idx="302">
                  <c:v>90.775354036476685</c:v>
                </c:pt>
                <c:pt idx="303">
                  <c:v>90.775354036476685</c:v>
                </c:pt>
                <c:pt idx="304">
                  <c:v>90.775354036476685</c:v>
                </c:pt>
                <c:pt idx="305">
                  <c:v>91.728716344844585</c:v>
                </c:pt>
                <c:pt idx="306">
                  <c:v>90.647298591618593</c:v>
                </c:pt>
                <c:pt idx="307">
                  <c:v>90.647298591618593</c:v>
                </c:pt>
                <c:pt idx="308">
                  <c:v>90.647298591618593</c:v>
                </c:pt>
                <c:pt idx="309">
                  <c:v>90.647298591618593</c:v>
                </c:pt>
                <c:pt idx="310">
                  <c:v>90.647298591618593</c:v>
                </c:pt>
                <c:pt idx="311">
                  <c:v>90.647298591618593</c:v>
                </c:pt>
                <c:pt idx="312">
                  <c:v>90.647298591618593</c:v>
                </c:pt>
                <c:pt idx="313">
                  <c:v>90.647298591618593</c:v>
                </c:pt>
                <c:pt idx="314">
                  <c:v>90.647298591618593</c:v>
                </c:pt>
                <c:pt idx="315">
                  <c:v>90.647298591618593</c:v>
                </c:pt>
                <c:pt idx="316">
                  <c:v>90.647298591618593</c:v>
                </c:pt>
                <c:pt idx="317">
                  <c:v>90.647298591618593</c:v>
                </c:pt>
                <c:pt idx="318">
                  <c:v>90.647298591618593</c:v>
                </c:pt>
                <c:pt idx="319">
                  <c:v>90.647298591618593</c:v>
                </c:pt>
                <c:pt idx="320">
                  <c:v>90.647298591618593</c:v>
                </c:pt>
                <c:pt idx="321">
                  <c:v>90.647298591618593</c:v>
                </c:pt>
                <c:pt idx="322">
                  <c:v>90.647298591618593</c:v>
                </c:pt>
                <c:pt idx="323">
                  <c:v>90.647298591618593</c:v>
                </c:pt>
                <c:pt idx="324">
                  <c:v>90.647298591618593</c:v>
                </c:pt>
                <c:pt idx="325">
                  <c:v>90.647298591618593</c:v>
                </c:pt>
                <c:pt idx="326">
                  <c:v>90.647298591618593</c:v>
                </c:pt>
                <c:pt idx="327">
                  <c:v>90.647298591618593</c:v>
                </c:pt>
                <c:pt idx="328">
                  <c:v>90.647298591618593</c:v>
                </c:pt>
                <c:pt idx="329">
                  <c:v>90.647298591618593</c:v>
                </c:pt>
                <c:pt idx="330">
                  <c:v>90.647298591618593</c:v>
                </c:pt>
                <c:pt idx="331">
                  <c:v>90.647298591618593</c:v>
                </c:pt>
                <c:pt idx="332">
                  <c:v>90.647298591618593</c:v>
                </c:pt>
                <c:pt idx="333">
                  <c:v>90.647298591618593</c:v>
                </c:pt>
                <c:pt idx="334">
                  <c:v>90.647298591618593</c:v>
                </c:pt>
                <c:pt idx="335">
                  <c:v>90.647298591618593</c:v>
                </c:pt>
                <c:pt idx="336">
                  <c:v>90.647298591618593</c:v>
                </c:pt>
                <c:pt idx="337">
                  <c:v>90.647298591618593</c:v>
                </c:pt>
                <c:pt idx="338">
                  <c:v>90.647298591618593</c:v>
                </c:pt>
                <c:pt idx="339">
                  <c:v>90.647298591618593</c:v>
                </c:pt>
                <c:pt idx="340">
                  <c:v>90.647298591618593</c:v>
                </c:pt>
                <c:pt idx="341">
                  <c:v>90.647298591618593</c:v>
                </c:pt>
                <c:pt idx="342">
                  <c:v>90.647298591618593</c:v>
                </c:pt>
                <c:pt idx="343">
                  <c:v>90.647298591618593</c:v>
                </c:pt>
                <c:pt idx="344">
                  <c:v>90.647298591618593</c:v>
                </c:pt>
                <c:pt idx="345">
                  <c:v>90.647298591618593</c:v>
                </c:pt>
                <c:pt idx="346">
                  <c:v>90.647298591618593</c:v>
                </c:pt>
                <c:pt idx="347">
                  <c:v>90.647298591618593</c:v>
                </c:pt>
                <c:pt idx="348">
                  <c:v>90.647298591618593</c:v>
                </c:pt>
                <c:pt idx="349">
                  <c:v>90.647298591618593</c:v>
                </c:pt>
                <c:pt idx="350">
                  <c:v>90.647298591618593</c:v>
                </c:pt>
                <c:pt idx="351">
                  <c:v>90.647298591618593</c:v>
                </c:pt>
                <c:pt idx="352">
                  <c:v>90.647298591618593</c:v>
                </c:pt>
                <c:pt idx="353">
                  <c:v>90.647298591618593</c:v>
                </c:pt>
                <c:pt idx="354">
                  <c:v>90.647298591618593</c:v>
                </c:pt>
                <c:pt idx="355">
                  <c:v>90.647298591618593</c:v>
                </c:pt>
                <c:pt idx="356">
                  <c:v>90.647298591618593</c:v>
                </c:pt>
                <c:pt idx="357">
                  <c:v>90.647298591618593</c:v>
                </c:pt>
                <c:pt idx="358">
                  <c:v>90.647298591618593</c:v>
                </c:pt>
                <c:pt idx="359">
                  <c:v>90.647298591618593</c:v>
                </c:pt>
                <c:pt idx="360">
                  <c:v>90.647298591618593</c:v>
                </c:pt>
                <c:pt idx="361">
                  <c:v>90.647298591618593</c:v>
                </c:pt>
                <c:pt idx="362">
                  <c:v>90.647298591618593</c:v>
                </c:pt>
                <c:pt idx="363">
                  <c:v>90.647298591618593</c:v>
                </c:pt>
                <c:pt idx="364">
                  <c:v>90.647298591618593</c:v>
                </c:pt>
                <c:pt idx="365">
                  <c:v>90.647298591618593</c:v>
                </c:pt>
                <c:pt idx="366">
                  <c:v>90.647298591618593</c:v>
                </c:pt>
                <c:pt idx="367">
                  <c:v>90.647298591618593</c:v>
                </c:pt>
                <c:pt idx="368">
                  <c:v>90.647298591618593</c:v>
                </c:pt>
                <c:pt idx="369">
                  <c:v>90.647298591618593</c:v>
                </c:pt>
                <c:pt idx="370">
                  <c:v>90.647298591618593</c:v>
                </c:pt>
                <c:pt idx="371">
                  <c:v>90.647298591618593</c:v>
                </c:pt>
                <c:pt idx="372">
                  <c:v>90.647298591618593</c:v>
                </c:pt>
                <c:pt idx="373">
                  <c:v>90.647298591618593</c:v>
                </c:pt>
                <c:pt idx="374">
                  <c:v>90.647298591618593</c:v>
                </c:pt>
                <c:pt idx="375">
                  <c:v>90.647298591618593</c:v>
                </c:pt>
                <c:pt idx="376">
                  <c:v>94.578811535954415</c:v>
                </c:pt>
                <c:pt idx="377">
                  <c:v>96.741614334843746</c:v>
                </c:pt>
                <c:pt idx="378">
                  <c:v>93.782855155388518</c:v>
                </c:pt>
                <c:pt idx="379">
                  <c:v>91.499563034783122</c:v>
                </c:pt>
                <c:pt idx="380">
                  <c:v>91.499563034783122</c:v>
                </c:pt>
                <c:pt idx="381">
                  <c:v>91.499563034783122</c:v>
                </c:pt>
                <c:pt idx="382">
                  <c:v>91.499563034783122</c:v>
                </c:pt>
                <c:pt idx="383">
                  <c:v>91.499563034783122</c:v>
                </c:pt>
                <c:pt idx="384">
                  <c:v>91.499563034783122</c:v>
                </c:pt>
                <c:pt idx="385">
                  <c:v>91.499563034783122</c:v>
                </c:pt>
                <c:pt idx="386">
                  <c:v>91.499563034783122</c:v>
                </c:pt>
                <c:pt idx="387">
                  <c:v>91.499563034783122</c:v>
                </c:pt>
                <c:pt idx="388">
                  <c:v>91.499563034783122</c:v>
                </c:pt>
                <c:pt idx="389">
                  <c:v>91.499563034783122</c:v>
                </c:pt>
                <c:pt idx="390">
                  <c:v>91.499563034783122</c:v>
                </c:pt>
                <c:pt idx="391">
                  <c:v>91.499563034783122</c:v>
                </c:pt>
                <c:pt idx="392">
                  <c:v>91.499563034783122</c:v>
                </c:pt>
                <c:pt idx="393">
                  <c:v>91.499563034783122</c:v>
                </c:pt>
                <c:pt idx="394">
                  <c:v>91.499563034783122</c:v>
                </c:pt>
                <c:pt idx="395">
                  <c:v>91.499563034783122</c:v>
                </c:pt>
                <c:pt idx="396">
                  <c:v>91.499563034783122</c:v>
                </c:pt>
                <c:pt idx="397">
                  <c:v>91.499563034783122</c:v>
                </c:pt>
                <c:pt idx="398">
                  <c:v>91.499563034783122</c:v>
                </c:pt>
                <c:pt idx="399">
                  <c:v>91.499563034783122</c:v>
                </c:pt>
                <c:pt idx="400">
                  <c:v>91.499563034783122</c:v>
                </c:pt>
                <c:pt idx="401">
                  <c:v>91.499563034783122</c:v>
                </c:pt>
                <c:pt idx="402">
                  <c:v>91.499563034783122</c:v>
                </c:pt>
                <c:pt idx="403">
                  <c:v>91.499563034783122</c:v>
                </c:pt>
                <c:pt idx="404">
                  <c:v>91.499563034783122</c:v>
                </c:pt>
                <c:pt idx="405">
                  <c:v>91.499563034783122</c:v>
                </c:pt>
                <c:pt idx="406">
                  <c:v>91.499563034783122</c:v>
                </c:pt>
                <c:pt idx="407">
                  <c:v>91.499563034783122</c:v>
                </c:pt>
                <c:pt idx="408">
                  <c:v>91.499563034783122</c:v>
                </c:pt>
                <c:pt idx="409">
                  <c:v>91.499563034783122</c:v>
                </c:pt>
                <c:pt idx="410">
                  <c:v>91.499563034783122</c:v>
                </c:pt>
                <c:pt idx="411">
                  <c:v>91.499563034783122</c:v>
                </c:pt>
                <c:pt idx="412">
                  <c:v>91.499563034783122</c:v>
                </c:pt>
                <c:pt idx="413">
                  <c:v>91.499563034783122</c:v>
                </c:pt>
                <c:pt idx="414">
                  <c:v>91.499563034783122</c:v>
                </c:pt>
                <c:pt idx="415">
                  <c:v>91.499563034783122</c:v>
                </c:pt>
                <c:pt idx="416">
                  <c:v>91.499563034783122</c:v>
                </c:pt>
                <c:pt idx="417">
                  <c:v>91.499563034783122</c:v>
                </c:pt>
                <c:pt idx="418">
                  <c:v>91.499563034783122</c:v>
                </c:pt>
                <c:pt idx="419">
                  <c:v>91.499563034783122</c:v>
                </c:pt>
                <c:pt idx="420">
                  <c:v>91.499563034783122</c:v>
                </c:pt>
                <c:pt idx="421">
                  <c:v>91.499563034783122</c:v>
                </c:pt>
                <c:pt idx="422">
                  <c:v>91.499563034783122</c:v>
                </c:pt>
                <c:pt idx="423">
                  <c:v>91.499563034783122</c:v>
                </c:pt>
                <c:pt idx="424">
                  <c:v>91.499563034783122</c:v>
                </c:pt>
                <c:pt idx="425">
                  <c:v>91.499563034783122</c:v>
                </c:pt>
                <c:pt idx="426">
                  <c:v>91.499563034783122</c:v>
                </c:pt>
                <c:pt idx="427">
                  <c:v>91.499563034783122</c:v>
                </c:pt>
                <c:pt idx="428">
                  <c:v>93.93537636040783</c:v>
                </c:pt>
                <c:pt idx="429">
                  <c:v>93.898681480592288</c:v>
                </c:pt>
                <c:pt idx="430">
                  <c:v>93.898681480592288</c:v>
                </c:pt>
                <c:pt idx="431">
                  <c:v>93.898681480592288</c:v>
                </c:pt>
                <c:pt idx="432">
                  <c:v>93.898681480592288</c:v>
                </c:pt>
                <c:pt idx="433">
                  <c:v>93.898681480592288</c:v>
                </c:pt>
                <c:pt idx="434">
                  <c:v>93.898681480592288</c:v>
                </c:pt>
                <c:pt idx="435">
                  <c:v>93.898681480592288</c:v>
                </c:pt>
                <c:pt idx="436">
                  <c:v>93.898681480592288</c:v>
                </c:pt>
                <c:pt idx="437">
                  <c:v>93.898681480592288</c:v>
                </c:pt>
                <c:pt idx="438">
                  <c:v>93.898681480592288</c:v>
                </c:pt>
                <c:pt idx="439">
                  <c:v>93.898681480592288</c:v>
                </c:pt>
                <c:pt idx="440">
                  <c:v>93.898681480592288</c:v>
                </c:pt>
                <c:pt idx="441">
                  <c:v>93.898681480592288</c:v>
                </c:pt>
                <c:pt idx="442">
                  <c:v>93.898681480592288</c:v>
                </c:pt>
                <c:pt idx="443">
                  <c:v>93.898681480592288</c:v>
                </c:pt>
                <c:pt idx="444">
                  <c:v>93.898681480592288</c:v>
                </c:pt>
                <c:pt idx="445">
                  <c:v>93.898681480592288</c:v>
                </c:pt>
                <c:pt idx="446">
                  <c:v>93.898681480592288</c:v>
                </c:pt>
                <c:pt idx="447">
                  <c:v>93.898681480592288</c:v>
                </c:pt>
                <c:pt idx="448">
                  <c:v>93.898681480592288</c:v>
                </c:pt>
                <c:pt idx="449">
                  <c:v>93.898681480592288</c:v>
                </c:pt>
                <c:pt idx="450">
                  <c:v>93.898681480592288</c:v>
                </c:pt>
                <c:pt idx="451">
                  <c:v>93.898681480592288</c:v>
                </c:pt>
                <c:pt idx="452">
                  <c:v>93.898681480592288</c:v>
                </c:pt>
                <c:pt idx="453">
                  <c:v>93.898681480592288</c:v>
                </c:pt>
                <c:pt idx="454">
                  <c:v>93.898681480592288</c:v>
                </c:pt>
                <c:pt idx="455">
                  <c:v>93.898681480592288</c:v>
                </c:pt>
                <c:pt idx="456">
                  <c:v>93.898681480592288</c:v>
                </c:pt>
                <c:pt idx="457">
                  <c:v>93.898681480592288</c:v>
                </c:pt>
                <c:pt idx="458">
                  <c:v>93.898681480592288</c:v>
                </c:pt>
                <c:pt idx="459">
                  <c:v>93.898681480592288</c:v>
                </c:pt>
                <c:pt idx="460">
                  <c:v>93.898681480592288</c:v>
                </c:pt>
                <c:pt idx="461">
                  <c:v>93.898681480592288</c:v>
                </c:pt>
                <c:pt idx="462">
                  <c:v>93.109759849317939</c:v>
                </c:pt>
                <c:pt idx="463">
                  <c:v>93.506971252199563</c:v>
                </c:pt>
                <c:pt idx="464">
                  <c:v>93.506971252199563</c:v>
                </c:pt>
                <c:pt idx="465">
                  <c:v>93.506971252199563</c:v>
                </c:pt>
                <c:pt idx="466">
                  <c:v>93.506971252199563</c:v>
                </c:pt>
                <c:pt idx="467">
                  <c:v>93.506971252199563</c:v>
                </c:pt>
                <c:pt idx="468">
                  <c:v>93.506971252199563</c:v>
                </c:pt>
                <c:pt idx="469">
                  <c:v>93.506971252199563</c:v>
                </c:pt>
                <c:pt idx="470">
                  <c:v>93.506971252199563</c:v>
                </c:pt>
                <c:pt idx="471">
                  <c:v>93.506971252199563</c:v>
                </c:pt>
                <c:pt idx="472">
                  <c:v>93.474427319191406</c:v>
                </c:pt>
                <c:pt idx="473">
                  <c:v>95.145944123323844</c:v>
                </c:pt>
                <c:pt idx="474">
                  <c:v>95.145944123323844</c:v>
                </c:pt>
                <c:pt idx="475">
                  <c:v>95.145944123323844</c:v>
                </c:pt>
                <c:pt idx="476">
                  <c:v>95.164354882635365</c:v>
                </c:pt>
                <c:pt idx="477">
                  <c:v>95.178690934418597</c:v>
                </c:pt>
                <c:pt idx="478">
                  <c:v>95.178690934418597</c:v>
                </c:pt>
                <c:pt idx="479">
                  <c:v>95.178690934418597</c:v>
                </c:pt>
                <c:pt idx="480">
                  <c:v>95.178690934418597</c:v>
                </c:pt>
                <c:pt idx="481">
                  <c:v>95.178690934418597</c:v>
                </c:pt>
                <c:pt idx="482">
                  <c:v>95.178690934418597</c:v>
                </c:pt>
                <c:pt idx="483">
                  <c:v>95.178690934418597</c:v>
                </c:pt>
                <c:pt idx="484">
                  <c:v>96.024977609600157</c:v>
                </c:pt>
                <c:pt idx="485">
                  <c:v>97.347855390038021</c:v>
                </c:pt>
                <c:pt idx="486">
                  <c:v>97.181858294365341</c:v>
                </c:pt>
                <c:pt idx="487">
                  <c:v>96.258375657674023</c:v>
                </c:pt>
                <c:pt idx="488">
                  <c:v>96.258375657674023</c:v>
                </c:pt>
                <c:pt idx="489">
                  <c:v>96.258375657674023</c:v>
                </c:pt>
                <c:pt idx="490">
                  <c:v>96.258375657674023</c:v>
                </c:pt>
                <c:pt idx="491">
                  <c:v>96.258375657674023</c:v>
                </c:pt>
                <c:pt idx="492">
                  <c:v>94.603461596859816</c:v>
                </c:pt>
                <c:pt idx="493">
                  <c:v>94.973099912141222</c:v>
                </c:pt>
                <c:pt idx="494">
                  <c:v>94.973099912141222</c:v>
                </c:pt>
                <c:pt idx="495">
                  <c:v>94.973099912141222</c:v>
                </c:pt>
                <c:pt idx="496">
                  <c:v>95.953843602013848</c:v>
                </c:pt>
                <c:pt idx="497">
                  <c:v>92.661720297034435</c:v>
                </c:pt>
                <c:pt idx="498">
                  <c:v>92.661720297034435</c:v>
                </c:pt>
                <c:pt idx="499">
                  <c:v>92.661720297034435</c:v>
                </c:pt>
                <c:pt idx="500">
                  <c:v>92.661720297034435</c:v>
                </c:pt>
                <c:pt idx="501">
                  <c:v>92.661720297034435</c:v>
                </c:pt>
                <c:pt idx="502">
                  <c:v>92.661720297034435</c:v>
                </c:pt>
                <c:pt idx="503">
                  <c:v>92.661720297034435</c:v>
                </c:pt>
                <c:pt idx="504">
                  <c:v>92.661720297034435</c:v>
                </c:pt>
                <c:pt idx="505">
                  <c:v>92.661720297034435</c:v>
                </c:pt>
                <c:pt idx="506">
                  <c:v>92.661720297034435</c:v>
                </c:pt>
                <c:pt idx="507">
                  <c:v>92.572151836990628</c:v>
                </c:pt>
                <c:pt idx="508">
                  <c:v>93.891592096763162</c:v>
                </c:pt>
                <c:pt idx="509">
                  <c:v>93.891592096763162</c:v>
                </c:pt>
                <c:pt idx="510">
                  <c:v>93.891592096763162</c:v>
                </c:pt>
                <c:pt idx="511">
                  <c:v>93.891592096763162</c:v>
                </c:pt>
                <c:pt idx="512">
                  <c:v>93.891592096763162</c:v>
                </c:pt>
                <c:pt idx="513">
                  <c:v>93.891592096763162</c:v>
                </c:pt>
                <c:pt idx="514">
                  <c:v>93.891592096763162</c:v>
                </c:pt>
                <c:pt idx="515">
                  <c:v>94.712801634870573</c:v>
                </c:pt>
                <c:pt idx="516">
                  <c:v>94.575908318629573</c:v>
                </c:pt>
                <c:pt idx="517">
                  <c:v>94.575908318629573</c:v>
                </c:pt>
                <c:pt idx="518">
                  <c:v>94.575908318629573</c:v>
                </c:pt>
                <c:pt idx="519">
                  <c:v>91.674390101358043</c:v>
                </c:pt>
                <c:pt idx="520">
                  <c:v>91.287455601467229</c:v>
                </c:pt>
                <c:pt idx="521">
                  <c:v>91.287455601467229</c:v>
                </c:pt>
                <c:pt idx="522">
                  <c:v>91.287455601467229</c:v>
                </c:pt>
                <c:pt idx="523">
                  <c:v>91.287455601467229</c:v>
                </c:pt>
                <c:pt idx="524">
                  <c:v>91.287455601467229</c:v>
                </c:pt>
                <c:pt idx="525">
                  <c:v>91.287455601467229</c:v>
                </c:pt>
                <c:pt idx="526">
                  <c:v>91.287455601467229</c:v>
                </c:pt>
                <c:pt idx="527">
                  <c:v>91.287455601467229</c:v>
                </c:pt>
                <c:pt idx="528">
                  <c:v>91.287455601467229</c:v>
                </c:pt>
                <c:pt idx="529">
                  <c:v>91.472500317583055</c:v>
                </c:pt>
                <c:pt idx="530">
                  <c:v>90.817185094326874</c:v>
                </c:pt>
                <c:pt idx="531">
                  <c:v>90.817185094326874</c:v>
                </c:pt>
                <c:pt idx="532">
                  <c:v>90.817185094326874</c:v>
                </c:pt>
                <c:pt idx="533">
                  <c:v>90.817185094326874</c:v>
                </c:pt>
                <c:pt idx="534">
                  <c:v>90.817185094326874</c:v>
                </c:pt>
                <c:pt idx="535">
                  <c:v>90.817185094326874</c:v>
                </c:pt>
                <c:pt idx="536">
                  <c:v>90.817185094326874</c:v>
                </c:pt>
                <c:pt idx="537">
                  <c:v>90.817185094326874</c:v>
                </c:pt>
                <c:pt idx="538">
                  <c:v>90.817185094326874</c:v>
                </c:pt>
                <c:pt idx="539">
                  <c:v>90.817185094326874</c:v>
                </c:pt>
                <c:pt idx="540">
                  <c:v>90.817185094326874</c:v>
                </c:pt>
                <c:pt idx="541">
                  <c:v>90.817185094326874</c:v>
                </c:pt>
                <c:pt idx="542">
                  <c:v>90.817185094326874</c:v>
                </c:pt>
                <c:pt idx="543">
                  <c:v>90.817185094326874</c:v>
                </c:pt>
                <c:pt idx="544">
                  <c:v>90.817185094326874</c:v>
                </c:pt>
                <c:pt idx="545">
                  <c:v>90.817185094326874</c:v>
                </c:pt>
                <c:pt idx="546">
                  <c:v>90.817185094326874</c:v>
                </c:pt>
                <c:pt idx="547">
                  <c:v>90.817185094326874</c:v>
                </c:pt>
                <c:pt idx="548">
                  <c:v>90.817185094326874</c:v>
                </c:pt>
                <c:pt idx="549">
                  <c:v>90.817185094326874</c:v>
                </c:pt>
                <c:pt idx="550">
                  <c:v>90.817185094326874</c:v>
                </c:pt>
                <c:pt idx="551">
                  <c:v>90.817185094326874</c:v>
                </c:pt>
                <c:pt idx="552">
                  <c:v>90.817185094326874</c:v>
                </c:pt>
                <c:pt idx="553">
                  <c:v>90.817185094326874</c:v>
                </c:pt>
                <c:pt idx="554">
                  <c:v>90.817185094326874</c:v>
                </c:pt>
                <c:pt idx="555">
                  <c:v>90.817185094326874</c:v>
                </c:pt>
                <c:pt idx="556">
                  <c:v>90.817185094326874</c:v>
                </c:pt>
                <c:pt idx="557">
                  <c:v>90.817185094326874</c:v>
                </c:pt>
                <c:pt idx="558">
                  <c:v>90.817185094326874</c:v>
                </c:pt>
                <c:pt idx="559">
                  <c:v>90.817185094326874</c:v>
                </c:pt>
                <c:pt idx="560">
                  <c:v>90.817185094326874</c:v>
                </c:pt>
                <c:pt idx="561">
                  <c:v>90.817185094326874</c:v>
                </c:pt>
                <c:pt idx="562">
                  <c:v>90.817185094326874</c:v>
                </c:pt>
                <c:pt idx="563">
                  <c:v>90.817185094326874</c:v>
                </c:pt>
                <c:pt idx="564">
                  <c:v>90.817185094326874</c:v>
                </c:pt>
                <c:pt idx="565">
                  <c:v>90.817185094326874</c:v>
                </c:pt>
                <c:pt idx="566">
                  <c:v>90.817185094326874</c:v>
                </c:pt>
                <c:pt idx="567">
                  <c:v>90.817185094326874</c:v>
                </c:pt>
                <c:pt idx="568">
                  <c:v>90.817185094326874</c:v>
                </c:pt>
                <c:pt idx="569">
                  <c:v>90.817185094326874</c:v>
                </c:pt>
                <c:pt idx="570">
                  <c:v>90.817185094326874</c:v>
                </c:pt>
                <c:pt idx="571">
                  <c:v>90.817185094326874</c:v>
                </c:pt>
                <c:pt idx="572">
                  <c:v>90.817185094326874</c:v>
                </c:pt>
                <c:pt idx="573">
                  <c:v>90.817185094326874</c:v>
                </c:pt>
                <c:pt idx="574">
                  <c:v>90.817185094326874</c:v>
                </c:pt>
                <c:pt idx="575">
                  <c:v>90.817185094326874</c:v>
                </c:pt>
                <c:pt idx="576">
                  <c:v>90.817185094326874</c:v>
                </c:pt>
                <c:pt idx="577">
                  <c:v>90.817185094326874</c:v>
                </c:pt>
                <c:pt idx="578">
                  <c:v>90.817185094326874</c:v>
                </c:pt>
                <c:pt idx="579">
                  <c:v>90.817185094326874</c:v>
                </c:pt>
                <c:pt idx="580">
                  <c:v>90.817185094326874</c:v>
                </c:pt>
                <c:pt idx="581">
                  <c:v>90.817185094326874</c:v>
                </c:pt>
                <c:pt idx="582">
                  <c:v>90.817185094326874</c:v>
                </c:pt>
                <c:pt idx="583">
                  <c:v>90.817185094326874</c:v>
                </c:pt>
                <c:pt idx="584">
                  <c:v>90.817185094326874</c:v>
                </c:pt>
                <c:pt idx="585">
                  <c:v>90.817185094326874</c:v>
                </c:pt>
                <c:pt idx="586">
                  <c:v>90.817185094326874</c:v>
                </c:pt>
                <c:pt idx="587">
                  <c:v>90.817185094326874</c:v>
                </c:pt>
                <c:pt idx="588">
                  <c:v>90.817185094326874</c:v>
                </c:pt>
                <c:pt idx="589">
                  <c:v>90.817185094326874</c:v>
                </c:pt>
                <c:pt idx="590">
                  <c:v>90.817185094326874</c:v>
                </c:pt>
                <c:pt idx="591">
                  <c:v>90.817185094326874</c:v>
                </c:pt>
                <c:pt idx="592">
                  <c:v>90.817185094326874</c:v>
                </c:pt>
                <c:pt idx="593">
                  <c:v>90.817185094326874</c:v>
                </c:pt>
                <c:pt idx="594">
                  <c:v>90.817185094326874</c:v>
                </c:pt>
                <c:pt idx="595">
                  <c:v>90.817185094326874</c:v>
                </c:pt>
                <c:pt idx="596">
                  <c:v>90.817185094326874</c:v>
                </c:pt>
                <c:pt idx="597">
                  <c:v>90.817185094326874</c:v>
                </c:pt>
                <c:pt idx="598">
                  <c:v>90.817185094326874</c:v>
                </c:pt>
                <c:pt idx="599">
                  <c:v>90.817185094326874</c:v>
                </c:pt>
                <c:pt idx="600">
                  <c:v>90.817185094326874</c:v>
                </c:pt>
                <c:pt idx="601">
                  <c:v>90.817185094326874</c:v>
                </c:pt>
                <c:pt idx="602">
                  <c:v>90.817185094326874</c:v>
                </c:pt>
                <c:pt idx="603">
                  <c:v>90.817185094326874</c:v>
                </c:pt>
                <c:pt idx="604">
                  <c:v>90.817185094326874</c:v>
                </c:pt>
                <c:pt idx="605">
                  <c:v>90.817185094326874</c:v>
                </c:pt>
                <c:pt idx="606">
                  <c:v>90.817185094326874</c:v>
                </c:pt>
                <c:pt idx="607">
                  <c:v>90.817185094326874</c:v>
                </c:pt>
                <c:pt idx="608">
                  <c:v>90.817185094326874</c:v>
                </c:pt>
                <c:pt idx="609">
                  <c:v>90.817185094326874</c:v>
                </c:pt>
                <c:pt idx="610">
                  <c:v>90.817185094326874</c:v>
                </c:pt>
                <c:pt idx="611">
                  <c:v>90.817185094326874</c:v>
                </c:pt>
                <c:pt idx="612">
                  <c:v>90.817185094326874</c:v>
                </c:pt>
                <c:pt idx="613">
                  <c:v>90.817185094326874</c:v>
                </c:pt>
                <c:pt idx="614">
                  <c:v>90.817185094326874</c:v>
                </c:pt>
                <c:pt idx="615">
                  <c:v>90.817185094326874</c:v>
                </c:pt>
                <c:pt idx="616">
                  <c:v>90.817185094326874</c:v>
                </c:pt>
                <c:pt idx="617">
                  <c:v>90.817185094326874</c:v>
                </c:pt>
                <c:pt idx="618">
                  <c:v>90.817185094326874</c:v>
                </c:pt>
                <c:pt idx="619">
                  <c:v>90.817185094326874</c:v>
                </c:pt>
                <c:pt idx="620">
                  <c:v>90.817185094326874</c:v>
                </c:pt>
                <c:pt idx="621">
                  <c:v>90.817185094326874</c:v>
                </c:pt>
                <c:pt idx="622">
                  <c:v>90.817185094326874</c:v>
                </c:pt>
                <c:pt idx="623">
                  <c:v>90.817185094326874</c:v>
                </c:pt>
                <c:pt idx="624">
                  <c:v>90.817185094326874</c:v>
                </c:pt>
                <c:pt idx="625">
                  <c:v>90.817185094326874</c:v>
                </c:pt>
                <c:pt idx="626">
                  <c:v>90.817185094326874</c:v>
                </c:pt>
                <c:pt idx="627">
                  <c:v>90.817185094326874</c:v>
                </c:pt>
                <c:pt idx="628">
                  <c:v>90.817185094326874</c:v>
                </c:pt>
                <c:pt idx="629">
                  <c:v>90.817185094326874</c:v>
                </c:pt>
                <c:pt idx="630">
                  <c:v>90.817185094326874</c:v>
                </c:pt>
                <c:pt idx="631">
                  <c:v>90.817185094326874</c:v>
                </c:pt>
                <c:pt idx="632">
                  <c:v>90.817185094326874</c:v>
                </c:pt>
                <c:pt idx="633">
                  <c:v>90.817185094326874</c:v>
                </c:pt>
                <c:pt idx="634">
                  <c:v>90.817185094326874</c:v>
                </c:pt>
                <c:pt idx="635">
                  <c:v>90.817185094326874</c:v>
                </c:pt>
                <c:pt idx="636">
                  <c:v>90.817185094326874</c:v>
                </c:pt>
                <c:pt idx="637">
                  <c:v>90.817185094326874</c:v>
                </c:pt>
                <c:pt idx="638">
                  <c:v>90.817185094326874</c:v>
                </c:pt>
                <c:pt idx="639">
                  <c:v>90.817185094326874</c:v>
                </c:pt>
                <c:pt idx="640">
                  <c:v>90.817185094326874</c:v>
                </c:pt>
                <c:pt idx="641">
                  <c:v>90.817185094326874</c:v>
                </c:pt>
                <c:pt idx="642">
                  <c:v>90.817185094326874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Ranking!$M$3</c:f>
              <c:strCache>
                <c:ptCount val="1"/>
                <c:pt idx="0">
                  <c:v>Marvin_W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Ranking!$AF$2:$AF$732</c:f>
              <c:numCache>
                <c:formatCode>General</c:formatCode>
                <c:ptCount val="731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</c:numCache>
            </c:numRef>
          </c:xVal>
          <c:yVal>
            <c:numRef>
              <c:f>Ranking!$AH$2:$AH$732</c:f>
              <c:numCache>
                <c:formatCode>General</c:formatCode>
                <c:ptCount val="731"/>
                <c:pt idx="0">
                  <c:v>31</c:v>
                </c:pt>
                <c:pt idx="1">
                  <c:v>100</c:v>
                </c:pt>
                <c:pt idx="2">
                  <c:v>99.72</c:v>
                </c:pt>
                <c:pt idx="3">
                  <c:v>100.26070809352049</c:v>
                </c:pt>
                <c:pt idx="4">
                  <c:v>98.683650296480891</c:v>
                </c:pt>
                <c:pt idx="5">
                  <c:v>99.308263635042167</c:v>
                </c:pt>
                <c:pt idx="6">
                  <c:v>99.308263635042167</c:v>
                </c:pt>
                <c:pt idx="7">
                  <c:v>99.308263635042167</c:v>
                </c:pt>
                <c:pt idx="8">
                  <c:v>97.150006431810411</c:v>
                </c:pt>
                <c:pt idx="9">
                  <c:v>94.730185162258678</c:v>
                </c:pt>
                <c:pt idx="10">
                  <c:v>94.730185162258678</c:v>
                </c:pt>
                <c:pt idx="11">
                  <c:v>94.730185162258678</c:v>
                </c:pt>
                <c:pt idx="12">
                  <c:v>94.730185162258678</c:v>
                </c:pt>
                <c:pt idx="13">
                  <c:v>94.730185162258678</c:v>
                </c:pt>
                <c:pt idx="14">
                  <c:v>96.064789780442325</c:v>
                </c:pt>
                <c:pt idx="15">
                  <c:v>95.606023026109952</c:v>
                </c:pt>
                <c:pt idx="16">
                  <c:v>95.606023026109952</c:v>
                </c:pt>
                <c:pt idx="17">
                  <c:v>95.606023026109952</c:v>
                </c:pt>
                <c:pt idx="18">
                  <c:v>95.606023026109952</c:v>
                </c:pt>
                <c:pt idx="19">
                  <c:v>95.606023026109952</c:v>
                </c:pt>
                <c:pt idx="20">
                  <c:v>95.606023026109952</c:v>
                </c:pt>
                <c:pt idx="21">
                  <c:v>95.606023026109952</c:v>
                </c:pt>
                <c:pt idx="22">
                  <c:v>95.606023026109952</c:v>
                </c:pt>
                <c:pt idx="23">
                  <c:v>95.606023026109952</c:v>
                </c:pt>
                <c:pt idx="24">
                  <c:v>92.34019236786942</c:v>
                </c:pt>
                <c:pt idx="25">
                  <c:v>90.644924460314527</c:v>
                </c:pt>
                <c:pt idx="26">
                  <c:v>90.644924460314527</c:v>
                </c:pt>
                <c:pt idx="27">
                  <c:v>90.644924460314527</c:v>
                </c:pt>
                <c:pt idx="28">
                  <c:v>90.644924460314527</c:v>
                </c:pt>
                <c:pt idx="29">
                  <c:v>90.644924460314527</c:v>
                </c:pt>
                <c:pt idx="30">
                  <c:v>90.644924460314527</c:v>
                </c:pt>
                <c:pt idx="31">
                  <c:v>92.23870772653089</c:v>
                </c:pt>
                <c:pt idx="32">
                  <c:v>93.105319955924472</c:v>
                </c:pt>
                <c:pt idx="33">
                  <c:v>93.105319955924472</c:v>
                </c:pt>
                <c:pt idx="34">
                  <c:v>93.105319955924472</c:v>
                </c:pt>
                <c:pt idx="35">
                  <c:v>93.105319955924472</c:v>
                </c:pt>
                <c:pt idx="36">
                  <c:v>93.105319955924472</c:v>
                </c:pt>
                <c:pt idx="37">
                  <c:v>93.105319955924472</c:v>
                </c:pt>
                <c:pt idx="38">
                  <c:v>93.105319955924472</c:v>
                </c:pt>
                <c:pt idx="39">
                  <c:v>93.105319955924472</c:v>
                </c:pt>
                <c:pt idx="40">
                  <c:v>93.105319955924472</c:v>
                </c:pt>
                <c:pt idx="41">
                  <c:v>93.105319955924472</c:v>
                </c:pt>
                <c:pt idx="42">
                  <c:v>93.105319955924472</c:v>
                </c:pt>
                <c:pt idx="43">
                  <c:v>93.105319955924472</c:v>
                </c:pt>
                <c:pt idx="44">
                  <c:v>93.105319955924472</c:v>
                </c:pt>
                <c:pt idx="45">
                  <c:v>93.105319955924472</c:v>
                </c:pt>
                <c:pt idx="46">
                  <c:v>93.105319955924472</c:v>
                </c:pt>
                <c:pt idx="47">
                  <c:v>93.105319955924472</c:v>
                </c:pt>
                <c:pt idx="48">
                  <c:v>93.105319955924472</c:v>
                </c:pt>
                <c:pt idx="49">
                  <c:v>93.105319955924472</c:v>
                </c:pt>
                <c:pt idx="50">
                  <c:v>93.105319955924472</c:v>
                </c:pt>
                <c:pt idx="51">
                  <c:v>93.105319955924472</c:v>
                </c:pt>
                <c:pt idx="52">
                  <c:v>93.105319955924472</c:v>
                </c:pt>
                <c:pt idx="53">
                  <c:v>93.105319955924472</c:v>
                </c:pt>
                <c:pt idx="54">
                  <c:v>93.105319955924472</c:v>
                </c:pt>
                <c:pt idx="55">
                  <c:v>93.105319955924472</c:v>
                </c:pt>
                <c:pt idx="56">
                  <c:v>93.105319955924472</c:v>
                </c:pt>
                <c:pt idx="57">
                  <c:v>93.105319955924472</c:v>
                </c:pt>
                <c:pt idx="58">
                  <c:v>93.105319955924472</c:v>
                </c:pt>
                <c:pt idx="59">
                  <c:v>93.105319955924472</c:v>
                </c:pt>
                <c:pt idx="60">
                  <c:v>93.105319955924472</c:v>
                </c:pt>
                <c:pt idx="61">
                  <c:v>93.105319955924472</c:v>
                </c:pt>
                <c:pt idx="62">
                  <c:v>93.105319955924472</c:v>
                </c:pt>
                <c:pt idx="63">
                  <c:v>93.105319955924472</c:v>
                </c:pt>
                <c:pt idx="64">
                  <c:v>93.105319955924472</c:v>
                </c:pt>
                <c:pt idx="65">
                  <c:v>93.105319955924472</c:v>
                </c:pt>
                <c:pt idx="66">
                  <c:v>93.105319955924472</c:v>
                </c:pt>
                <c:pt idx="67">
                  <c:v>92.605745467672207</c:v>
                </c:pt>
                <c:pt idx="68">
                  <c:v>95.183233725778521</c:v>
                </c:pt>
                <c:pt idx="69">
                  <c:v>95.183233725778521</c:v>
                </c:pt>
                <c:pt idx="70">
                  <c:v>95.183233725778521</c:v>
                </c:pt>
                <c:pt idx="71">
                  <c:v>95.183233725778521</c:v>
                </c:pt>
                <c:pt idx="72">
                  <c:v>95.183233725778521</c:v>
                </c:pt>
                <c:pt idx="73">
                  <c:v>95.250644366738712</c:v>
                </c:pt>
                <c:pt idx="74">
                  <c:v>94.220646092765818</c:v>
                </c:pt>
                <c:pt idx="75">
                  <c:v>93.597281297044447</c:v>
                </c:pt>
                <c:pt idx="76">
                  <c:v>92.044510872376279</c:v>
                </c:pt>
                <c:pt idx="77">
                  <c:v>92.044510872376279</c:v>
                </c:pt>
                <c:pt idx="78">
                  <c:v>92.044510872376279</c:v>
                </c:pt>
                <c:pt idx="79">
                  <c:v>92.515301926596138</c:v>
                </c:pt>
                <c:pt idx="80">
                  <c:v>92.267697290004975</c:v>
                </c:pt>
                <c:pt idx="81">
                  <c:v>92.267697290004975</c:v>
                </c:pt>
                <c:pt idx="82">
                  <c:v>92.267697290004975</c:v>
                </c:pt>
                <c:pt idx="83">
                  <c:v>92.267697290004975</c:v>
                </c:pt>
                <c:pt idx="84">
                  <c:v>92.267697290004975</c:v>
                </c:pt>
                <c:pt idx="85">
                  <c:v>92.267697290004975</c:v>
                </c:pt>
                <c:pt idx="86">
                  <c:v>92.267697290004975</c:v>
                </c:pt>
                <c:pt idx="87">
                  <c:v>91.992655912056335</c:v>
                </c:pt>
                <c:pt idx="88">
                  <c:v>92.662082625521762</c:v>
                </c:pt>
                <c:pt idx="89">
                  <c:v>92.662082625521762</c:v>
                </c:pt>
                <c:pt idx="90">
                  <c:v>92.662082625521762</c:v>
                </c:pt>
                <c:pt idx="91">
                  <c:v>92.662082625521762</c:v>
                </c:pt>
                <c:pt idx="92">
                  <c:v>92.662082625521762</c:v>
                </c:pt>
                <c:pt idx="93">
                  <c:v>92.662082625521762</c:v>
                </c:pt>
                <c:pt idx="94">
                  <c:v>92.662082625521762</c:v>
                </c:pt>
                <c:pt idx="95">
                  <c:v>93.157601287615961</c:v>
                </c:pt>
                <c:pt idx="96">
                  <c:v>91.879757491246338</c:v>
                </c:pt>
                <c:pt idx="97">
                  <c:v>91.879757491246338</c:v>
                </c:pt>
                <c:pt idx="98">
                  <c:v>91.879757491246338</c:v>
                </c:pt>
                <c:pt idx="99">
                  <c:v>91.879757491246338</c:v>
                </c:pt>
                <c:pt idx="100">
                  <c:v>91.879757491246338</c:v>
                </c:pt>
                <c:pt idx="101">
                  <c:v>91.879757491246338</c:v>
                </c:pt>
                <c:pt idx="102">
                  <c:v>91.879757491246338</c:v>
                </c:pt>
                <c:pt idx="103">
                  <c:v>91.879757491246338</c:v>
                </c:pt>
                <c:pt idx="104">
                  <c:v>91.879757491246338</c:v>
                </c:pt>
                <c:pt idx="105">
                  <c:v>91.879757491246338</c:v>
                </c:pt>
                <c:pt idx="106">
                  <c:v>91.674168265154194</c:v>
                </c:pt>
                <c:pt idx="107">
                  <c:v>93.918629323598466</c:v>
                </c:pt>
                <c:pt idx="108">
                  <c:v>93.918629323598466</c:v>
                </c:pt>
                <c:pt idx="109">
                  <c:v>93.918629323598466</c:v>
                </c:pt>
                <c:pt idx="110">
                  <c:v>94.603181603164956</c:v>
                </c:pt>
                <c:pt idx="111">
                  <c:v>94.376521622568788</c:v>
                </c:pt>
                <c:pt idx="112">
                  <c:v>91.360415575120015</c:v>
                </c:pt>
                <c:pt idx="113">
                  <c:v>91.689302447343223</c:v>
                </c:pt>
                <c:pt idx="114">
                  <c:v>91.689302447343223</c:v>
                </c:pt>
                <c:pt idx="115">
                  <c:v>91.689302447343223</c:v>
                </c:pt>
                <c:pt idx="116">
                  <c:v>91.689302447343223</c:v>
                </c:pt>
                <c:pt idx="117">
                  <c:v>91.689302447343223</c:v>
                </c:pt>
                <c:pt idx="118">
                  <c:v>91.527888752386175</c:v>
                </c:pt>
                <c:pt idx="119">
                  <c:v>91.664502349669036</c:v>
                </c:pt>
                <c:pt idx="120">
                  <c:v>91.664502349669036</c:v>
                </c:pt>
                <c:pt idx="121">
                  <c:v>91.664502349669036</c:v>
                </c:pt>
                <c:pt idx="122">
                  <c:v>91.664502349669036</c:v>
                </c:pt>
                <c:pt idx="123">
                  <c:v>91.664502349669036</c:v>
                </c:pt>
                <c:pt idx="124">
                  <c:v>91.664502349669036</c:v>
                </c:pt>
                <c:pt idx="125">
                  <c:v>91.664502349669036</c:v>
                </c:pt>
                <c:pt idx="126">
                  <c:v>91.664502349669036</c:v>
                </c:pt>
                <c:pt idx="127">
                  <c:v>91.664502349669036</c:v>
                </c:pt>
                <c:pt idx="128">
                  <c:v>91.664502349669036</c:v>
                </c:pt>
                <c:pt idx="129">
                  <c:v>91.664502349669036</c:v>
                </c:pt>
                <c:pt idx="130">
                  <c:v>91.664502349669036</c:v>
                </c:pt>
                <c:pt idx="131">
                  <c:v>91.664502349669036</c:v>
                </c:pt>
                <c:pt idx="132">
                  <c:v>91.089455351095694</c:v>
                </c:pt>
                <c:pt idx="133">
                  <c:v>92.088832784692983</c:v>
                </c:pt>
                <c:pt idx="134">
                  <c:v>92.193247119046291</c:v>
                </c:pt>
                <c:pt idx="135">
                  <c:v>92.681989879704432</c:v>
                </c:pt>
                <c:pt idx="136">
                  <c:v>93.648922636992893</c:v>
                </c:pt>
                <c:pt idx="137">
                  <c:v>93.026096354794433</c:v>
                </c:pt>
                <c:pt idx="138">
                  <c:v>93.026096354794433</c:v>
                </c:pt>
                <c:pt idx="139">
                  <c:v>93.026096354794433</c:v>
                </c:pt>
                <c:pt idx="140">
                  <c:v>93.026096354794433</c:v>
                </c:pt>
                <c:pt idx="141">
                  <c:v>93.026096354794433</c:v>
                </c:pt>
                <c:pt idx="142">
                  <c:v>93.026096354794433</c:v>
                </c:pt>
                <c:pt idx="143">
                  <c:v>93.026096354794433</c:v>
                </c:pt>
                <c:pt idx="144">
                  <c:v>93.026096354794433</c:v>
                </c:pt>
                <c:pt idx="145">
                  <c:v>93.026096354794433</c:v>
                </c:pt>
                <c:pt idx="146">
                  <c:v>92.814485551898713</c:v>
                </c:pt>
                <c:pt idx="147">
                  <c:v>90.543035157452209</c:v>
                </c:pt>
                <c:pt idx="148">
                  <c:v>90.543035157452209</c:v>
                </c:pt>
                <c:pt idx="149">
                  <c:v>90.543035157452209</c:v>
                </c:pt>
                <c:pt idx="150">
                  <c:v>90.543035157452209</c:v>
                </c:pt>
                <c:pt idx="151">
                  <c:v>90.543035157452209</c:v>
                </c:pt>
                <c:pt idx="152">
                  <c:v>90.543035157452209</c:v>
                </c:pt>
                <c:pt idx="153">
                  <c:v>90.543035157452209</c:v>
                </c:pt>
                <c:pt idx="154">
                  <c:v>90.543035157452209</c:v>
                </c:pt>
                <c:pt idx="155">
                  <c:v>90.543035157452209</c:v>
                </c:pt>
                <c:pt idx="156">
                  <c:v>90.373388069526399</c:v>
                </c:pt>
                <c:pt idx="157">
                  <c:v>91.404645247339246</c:v>
                </c:pt>
                <c:pt idx="158">
                  <c:v>91.404645247339246</c:v>
                </c:pt>
                <c:pt idx="159">
                  <c:v>91.404645247339246</c:v>
                </c:pt>
                <c:pt idx="160">
                  <c:v>91.404645247339246</c:v>
                </c:pt>
                <c:pt idx="161">
                  <c:v>91.404645247339246</c:v>
                </c:pt>
                <c:pt idx="162">
                  <c:v>91.404645247339246</c:v>
                </c:pt>
                <c:pt idx="163">
                  <c:v>91.404645247339246</c:v>
                </c:pt>
                <c:pt idx="164">
                  <c:v>91.404645247339246</c:v>
                </c:pt>
                <c:pt idx="165">
                  <c:v>91.404645247339246</c:v>
                </c:pt>
                <c:pt idx="166">
                  <c:v>91.36654900136385</c:v>
                </c:pt>
                <c:pt idx="167">
                  <c:v>92.492038502898922</c:v>
                </c:pt>
                <c:pt idx="168">
                  <c:v>92.492038502898922</c:v>
                </c:pt>
                <c:pt idx="169">
                  <c:v>92.492038502898922</c:v>
                </c:pt>
                <c:pt idx="170">
                  <c:v>92.492038502898922</c:v>
                </c:pt>
                <c:pt idx="171">
                  <c:v>92.492038502898922</c:v>
                </c:pt>
                <c:pt idx="172">
                  <c:v>92.492038502898922</c:v>
                </c:pt>
                <c:pt idx="173">
                  <c:v>93.0017970348663</c:v>
                </c:pt>
                <c:pt idx="174">
                  <c:v>92.37963946355147</c:v>
                </c:pt>
                <c:pt idx="175">
                  <c:v>92.37963946355147</c:v>
                </c:pt>
                <c:pt idx="176">
                  <c:v>92.37963946355147</c:v>
                </c:pt>
                <c:pt idx="177">
                  <c:v>92.37963946355147</c:v>
                </c:pt>
                <c:pt idx="178">
                  <c:v>92.37963946355147</c:v>
                </c:pt>
                <c:pt idx="179">
                  <c:v>92.37963946355147</c:v>
                </c:pt>
                <c:pt idx="180">
                  <c:v>92.37963946355147</c:v>
                </c:pt>
                <c:pt idx="181">
                  <c:v>92.860798172289265</c:v>
                </c:pt>
                <c:pt idx="182">
                  <c:v>93.231055625235641</c:v>
                </c:pt>
                <c:pt idx="183">
                  <c:v>93.231055625235641</c:v>
                </c:pt>
                <c:pt idx="184">
                  <c:v>93.231055625235641</c:v>
                </c:pt>
                <c:pt idx="185">
                  <c:v>93.231055625235641</c:v>
                </c:pt>
                <c:pt idx="186">
                  <c:v>93.231055625235641</c:v>
                </c:pt>
                <c:pt idx="187">
                  <c:v>93.231055625235641</c:v>
                </c:pt>
                <c:pt idx="188">
                  <c:v>93.231055625235641</c:v>
                </c:pt>
                <c:pt idx="189">
                  <c:v>92.57157399213736</c:v>
                </c:pt>
                <c:pt idx="190">
                  <c:v>92.057940496793833</c:v>
                </c:pt>
                <c:pt idx="191">
                  <c:v>92.057940496793833</c:v>
                </c:pt>
                <c:pt idx="192">
                  <c:v>92.057940496793833</c:v>
                </c:pt>
                <c:pt idx="193">
                  <c:v>92.057940496793833</c:v>
                </c:pt>
                <c:pt idx="194">
                  <c:v>92.057940496793833</c:v>
                </c:pt>
                <c:pt idx="195">
                  <c:v>92.057940496793833</c:v>
                </c:pt>
                <c:pt idx="196">
                  <c:v>92.057940496793833</c:v>
                </c:pt>
                <c:pt idx="197">
                  <c:v>92.057940496793833</c:v>
                </c:pt>
                <c:pt idx="198">
                  <c:v>92.057940496793833</c:v>
                </c:pt>
                <c:pt idx="199">
                  <c:v>90.934420715012422</c:v>
                </c:pt>
                <c:pt idx="200">
                  <c:v>90.915295868048489</c:v>
                </c:pt>
                <c:pt idx="201">
                  <c:v>90.915295868048489</c:v>
                </c:pt>
                <c:pt idx="202">
                  <c:v>90.915295868048489</c:v>
                </c:pt>
                <c:pt idx="203">
                  <c:v>90.915295868048489</c:v>
                </c:pt>
                <c:pt idx="204">
                  <c:v>90.915295868048489</c:v>
                </c:pt>
                <c:pt idx="205">
                  <c:v>91.310215223004548</c:v>
                </c:pt>
                <c:pt idx="206">
                  <c:v>91.025120326182545</c:v>
                </c:pt>
                <c:pt idx="207">
                  <c:v>90.798429653039904</c:v>
                </c:pt>
                <c:pt idx="208">
                  <c:v>90.798429653039904</c:v>
                </c:pt>
                <c:pt idx="209">
                  <c:v>90.798429653039904</c:v>
                </c:pt>
                <c:pt idx="210">
                  <c:v>91.341226729787238</c:v>
                </c:pt>
                <c:pt idx="211">
                  <c:v>92.556719888011116</c:v>
                </c:pt>
                <c:pt idx="212">
                  <c:v>90.228681467848247</c:v>
                </c:pt>
                <c:pt idx="213">
                  <c:v>89.124366469803178</c:v>
                </c:pt>
                <c:pt idx="214">
                  <c:v>89.124366469803178</c:v>
                </c:pt>
                <c:pt idx="215">
                  <c:v>89.124366469803178</c:v>
                </c:pt>
                <c:pt idx="216">
                  <c:v>89.124366469803178</c:v>
                </c:pt>
                <c:pt idx="217">
                  <c:v>89.124366469803178</c:v>
                </c:pt>
                <c:pt idx="218">
                  <c:v>89.124366469803178</c:v>
                </c:pt>
                <c:pt idx="219">
                  <c:v>89.124366469803178</c:v>
                </c:pt>
                <c:pt idx="220">
                  <c:v>89.124366469803178</c:v>
                </c:pt>
                <c:pt idx="221">
                  <c:v>89.124366469803178</c:v>
                </c:pt>
                <c:pt idx="222">
                  <c:v>89.124366469803178</c:v>
                </c:pt>
                <c:pt idx="223">
                  <c:v>89.124366469803178</c:v>
                </c:pt>
                <c:pt idx="224">
                  <c:v>89.124366469803178</c:v>
                </c:pt>
                <c:pt idx="225">
                  <c:v>89.124366469803178</c:v>
                </c:pt>
                <c:pt idx="226">
                  <c:v>89.124366469803178</c:v>
                </c:pt>
                <c:pt idx="227">
                  <c:v>89.124366469803178</c:v>
                </c:pt>
                <c:pt idx="228">
                  <c:v>89.124366469803178</c:v>
                </c:pt>
                <c:pt idx="229">
                  <c:v>89.124366469803178</c:v>
                </c:pt>
                <c:pt idx="230">
                  <c:v>89.124366469803178</c:v>
                </c:pt>
                <c:pt idx="231">
                  <c:v>89.124366469803178</c:v>
                </c:pt>
                <c:pt idx="232">
                  <c:v>89.124366469803178</c:v>
                </c:pt>
                <c:pt idx="233">
                  <c:v>89.124366469803178</c:v>
                </c:pt>
                <c:pt idx="234">
                  <c:v>89.124366469803178</c:v>
                </c:pt>
                <c:pt idx="235">
                  <c:v>89.124366469803178</c:v>
                </c:pt>
                <c:pt idx="236">
                  <c:v>89.124366469803178</c:v>
                </c:pt>
                <c:pt idx="237">
                  <c:v>89.124366469803178</c:v>
                </c:pt>
                <c:pt idx="238">
                  <c:v>89.124366469803178</c:v>
                </c:pt>
                <c:pt idx="239">
                  <c:v>89.124366469803178</c:v>
                </c:pt>
                <c:pt idx="240">
                  <c:v>89.124366469803178</c:v>
                </c:pt>
                <c:pt idx="241">
                  <c:v>89.124366469803178</c:v>
                </c:pt>
                <c:pt idx="242">
                  <c:v>89.124366469803178</c:v>
                </c:pt>
                <c:pt idx="243">
                  <c:v>89.124366469803178</c:v>
                </c:pt>
                <c:pt idx="244">
                  <c:v>89.124366469803178</c:v>
                </c:pt>
                <c:pt idx="245">
                  <c:v>89.124366469803178</c:v>
                </c:pt>
                <c:pt idx="246">
                  <c:v>89.124366469803178</c:v>
                </c:pt>
                <c:pt idx="247">
                  <c:v>89.124366469803178</c:v>
                </c:pt>
                <c:pt idx="248">
                  <c:v>89.124366469803178</c:v>
                </c:pt>
                <c:pt idx="249">
                  <c:v>89.124366469803178</c:v>
                </c:pt>
                <c:pt idx="250">
                  <c:v>89.124366469803178</c:v>
                </c:pt>
                <c:pt idx="251">
                  <c:v>89.124366469803178</c:v>
                </c:pt>
                <c:pt idx="252">
                  <c:v>89.124366469803178</c:v>
                </c:pt>
                <c:pt idx="253">
                  <c:v>89.124366469803178</c:v>
                </c:pt>
                <c:pt idx="254">
                  <c:v>89.124366469803178</c:v>
                </c:pt>
                <c:pt idx="255">
                  <c:v>89.124366469803178</c:v>
                </c:pt>
                <c:pt idx="256">
                  <c:v>89.124366469803178</c:v>
                </c:pt>
                <c:pt idx="257">
                  <c:v>89.124366469803178</c:v>
                </c:pt>
                <c:pt idx="258">
                  <c:v>89.124366469803178</c:v>
                </c:pt>
                <c:pt idx="259">
                  <c:v>89.124366469803178</c:v>
                </c:pt>
                <c:pt idx="260">
                  <c:v>89.124366469803178</c:v>
                </c:pt>
                <c:pt idx="261">
                  <c:v>89.412388908288605</c:v>
                </c:pt>
                <c:pt idx="262">
                  <c:v>90.004021470920136</c:v>
                </c:pt>
                <c:pt idx="263">
                  <c:v>90.004021470920136</c:v>
                </c:pt>
                <c:pt idx="264">
                  <c:v>90.004021470920136</c:v>
                </c:pt>
                <c:pt idx="265">
                  <c:v>90.004021470920136</c:v>
                </c:pt>
                <c:pt idx="266">
                  <c:v>90.004021470920136</c:v>
                </c:pt>
                <c:pt idx="267">
                  <c:v>90.402111826588666</c:v>
                </c:pt>
                <c:pt idx="268">
                  <c:v>90.100712561987365</c:v>
                </c:pt>
                <c:pt idx="269">
                  <c:v>90.100712561987365</c:v>
                </c:pt>
                <c:pt idx="270">
                  <c:v>90.100712561987365</c:v>
                </c:pt>
                <c:pt idx="271">
                  <c:v>90.100712561987365</c:v>
                </c:pt>
                <c:pt idx="272">
                  <c:v>90.100712561987365</c:v>
                </c:pt>
                <c:pt idx="273">
                  <c:v>90.100712561987365</c:v>
                </c:pt>
                <c:pt idx="274">
                  <c:v>90.100712561987365</c:v>
                </c:pt>
                <c:pt idx="275">
                  <c:v>90.100712561987365</c:v>
                </c:pt>
                <c:pt idx="276">
                  <c:v>90.100712561987365</c:v>
                </c:pt>
                <c:pt idx="277">
                  <c:v>90.100712561987365</c:v>
                </c:pt>
                <c:pt idx="278">
                  <c:v>90.100712561987365</c:v>
                </c:pt>
                <c:pt idx="279">
                  <c:v>90.100712561987365</c:v>
                </c:pt>
                <c:pt idx="280">
                  <c:v>90.100712561987365</c:v>
                </c:pt>
                <c:pt idx="281">
                  <c:v>90.100712561987365</c:v>
                </c:pt>
                <c:pt idx="282">
                  <c:v>90.100712561987365</c:v>
                </c:pt>
                <c:pt idx="283">
                  <c:v>90.78701032680307</c:v>
                </c:pt>
                <c:pt idx="284">
                  <c:v>91.692683674146281</c:v>
                </c:pt>
                <c:pt idx="285">
                  <c:v>91.692683674146281</c:v>
                </c:pt>
                <c:pt idx="286">
                  <c:v>91.692683674146281</c:v>
                </c:pt>
                <c:pt idx="287">
                  <c:v>91.692683674146281</c:v>
                </c:pt>
                <c:pt idx="288">
                  <c:v>91.692683674146281</c:v>
                </c:pt>
                <c:pt idx="289">
                  <c:v>91.692683674146281</c:v>
                </c:pt>
                <c:pt idx="290">
                  <c:v>91.692683674146281</c:v>
                </c:pt>
                <c:pt idx="291">
                  <c:v>92.171151193926022</c:v>
                </c:pt>
                <c:pt idx="292">
                  <c:v>91.927888343318614</c:v>
                </c:pt>
                <c:pt idx="293">
                  <c:v>91.927888343318614</c:v>
                </c:pt>
                <c:pt idx="294">
                  <c:v>91.927888343318614</c:v>
                </c:pt>
                <c:pt idx="295">
                  <c:v>91.927888343318614</c:v>
                </c:pt>
                <c:pt idx="296">
                  <c:v>91.927888343318614</c:v>
                </c:pt>
                <c:pt idx="297">
                  <c:v>91.011486299278701</c:v>
                </c:pt>
                <c:pt idx="298">
                  <c:v>92.55771777690498</c:v>
                </c:pt>
                <c:pt idx="299">
                  <c:v>92.55771777690498</c:v>
                </c:pt>
                <c:pt idx="300">
                  <c:v>92.55771777690498</c:v>
                </c:pt>
                <c:pt idx="301">
                  <c:v>92.55771777690498</c:v>
                </c:pt>
                <c:pt idx="302">
                  <c:v>92.55771777690498</c:v>
                </c:pt>
                <c:pt idx="303">
                  <c:v>97.468432875566762</c:v>
                </c:pt>
                <c:pt idx="304">
                  <c:v>97.745984388541487</c:v>
                </c:pt>
                <c:pt idx="305">
                  <c:v>97.745984388541487</c:v>
                </c:pt>
                <c:pt idx="306">
                  <c:v>97.745984388541487</c:v>
                </c:pt>
                <c:pt idx="307">
                  <c:v>97.745984388541487</c:v>
                </c:pt>
                <c:pt idx="308">
                  <c:v>97.745984388541487</c:v>
                </c:pt>
                <c:pt idx="309">
                  <c:v>97.745984388541487</c:v>
                </c:pt>
                <c:pt idx="310">
                  <c:v>97.745984388541487</c:v>
                </c:pt>
                <c:pt idx="311">
                  <c:v>97.745984388541487</c:v>
                </c:pt>
                <c:pt idx="312">
                  <c:v>97.745984388541487</c:v>
                </c:pt>
                <c:pt idx="313">
                  <c:v>96.352708533103993</c:v>
                </c:pt>
                <c:pt idx="314">
                  <c:v>94.486346766878313</c:v>
                </c:pt>
                <c:pt idx="315">
                  <c:v>94.486346766878313</c:v>
                </c:pt>
                <c:pt idx="316">
                  <c:v>94.486346766878313</c:v>
                </c:pt>
                <c:pt idx="317">
                  <c:v>96.834692989614737</c:v>
                </c:pt>
                <c:pt idx="318">
                  <c:v>96.779160355837149</c:v>
                </c:pt>
                <c:pt idx="319">
                  <c:v>97.198035298071332</c:v>
                </c:pt>
                <c:pt idx="320">
                  <c:v>95.791306104510397</c:v>
                </c:pt>
                <c:pt idx="321">
                  <c:v>96.447100064227527</c:v>
                </c:pt>
                <c:pt idx="322">
                  <c:v>97.625731753569781</c:v>
                </c:pt>
                <c:pt idx="323">
                  <c:v>97.625731753569781</c:v>
                </c:pt>
                <c:pt idx="324">
                  <c:v>97.625731753569781</c:v>
                </c:pt>
                <c:pt idx="325">
                  <c:v>95.693985395832897</c:v>
                </c:pt>
                <c:pt idx="326">
                  <c:v>95.531389736706871</c:v>
                </c:pt>
                <c:pt idx="327">
                  <c:v>95.531389736706871</c:v>
                </c:pt>
                <c:pt idx="328">
                  <c:v>95.531389736706871</c:v>
                </c:pt>
                <c:pt idx="329">
                  <c:v>97.040925443931869</c:v>
                </c:pt>
                <c:pt idx="330">
                  <c:v>97.341740130357394</c:v>
                </c:pt>
                <c:pt idx="331">
                  <c:v>97.980028186557419</c:v>
                </c:pt>
                <c:pt idx="332">
                  <c:v>98.11052113161891</c:v>
                </c:pt>
                <c:pt idx="333">
                  <c:v>98.11052113161891</c:v>
                </c:pt>
                <c:pt idx="334">
                  <c:v>98.11052113161891</c:v>
                </c:pt>
                <c:pt idx="335">
                  <c:v>98.11052113161891</c:v>
                </c:pt>
                <c:pt idx="336">
                  <c:v>98.11052113161891</c:v>
                </c:pt>
                <c:pt idx="337">
                  <c:v>98.11052113161891</c:v>
                </c:pt>
                <c:pt idx="338">
                  <c:v>98.11052113161891</c:v>
                </c:pt>
                <c:pt idx="339">
                  <c:v>98.11052113161891</c:v>
                </c:pt>
                <c:pt idx="340">
                  <c:v>98.11052113161891</c:v>
                </c:pt>
                <c:pt idx="341">
                  <c:v>98.11052113161891</c:v>
                </c:pt>
                <c:pt idx="342">
                  <c:v>94.240638405185123</c:v>
                </c:pt>
                <c:pt idx="343">
                  <c:v>90.035129896114796</c:v>
                </c:pt>
                <c:pt idx="344">
                  <c:v>90.035129896114796</c:v>
                </c:pt>
                <c:pt idx="345">
                  <c:v>90.035129896114796</c:v>
                </c:pt>
                <c:pt idx="346">
                  <c:v>90.035129896114796</c:v>
                </c:pt>
                <c:pt idx="347">
                  <c:v>90.035129896114796</c:v>
                </c:pt>
                <c:pt idx="348">
                  <c:v>90.035129896114796</c:v>
                </c:pt>
                <c:pt idx="349">
                  <c:v>90.035129896114796</c:v>
                </c:pt>
                <c:pt idx="350">
                  <c:v>90.035129896114796</c:v>
                </c:pt>
                <c:pt idx="351">
                  <c:v>90.035129896114796</c:v>
                </c:pt>
                <c:pt idx="352">
                  <c:v>90.035129896114796</c:v>
                </c:pt>
                <c:pt idx="353">
                  <c:v>90.035129896114796</c:v>
                </c:pt>
                <c:pt idx="354">
                  <c:v>90.62169230981722</c:v>
                </c:pt>
                <c:pt idx="355">
                  <c:v>89.888421316744811</c:v>
                </c:pt>
                <c:pt idx="356">
                  <c:v>89.888421316744811</c:v>
                </c:pt>
                <c:pt idx="357">
                  <c:v>89.888421316744811</c:v>
                </c:pt>
                <c:pt idx="358">
                  <c:v>89.888421316744811</c:v>
                </c:pt>
                <c:pt idx="359">
                  <c:v>89.888421316744811</c:v>
                </c:pt>
                <c:pt idx="360">
                  <c:v>89.888421316744811</c:v>
                </c:pt>
                <c:pt idx="361">
                  <c:v>89.888421316744811</c:v>
                </c:pt>
                <c:pt idx="362">
                  <c:v>90.471435624447579</c:v>
                </c:pt>
                <c:pt idx="363">
                  <c:v>91.776891186653899</c:v>
                </c:pt>
                <c:pt idx="364">
                  <c:v>91.776891186653899</c:v>
                </c:pt>
                <c:pt idx="365">
                  <c:v>91.776891186653899</c:v>
                </c:pt>
                <c:pt idx="366">
                  <c:v>91.776891186653899</c:v>
                </c:pt>
                <c:pt idx="367">
                  <c:v>91.776891186653899</c:v>
                </c:pt>
                <c:pt idx="368">
                  <c:v>91.776891186653899</c:v>
                </c:pt>
                <c:pt idx="369">
                  <c:v>91.776891186653899</c:v>
                </c:pt>
                <c:pt idx="370">
                  <c:v>91.776891186653899</c:v>
                </c:pt>
                <c:pt idx="371">
                  <c:v>91.776891186653899</c:v>
                </c:pt>
                <c:pt idx="372">
                  <c:v>92.030758767969417</c:v>
                </c:pt>
                <c:pt idx="373">
                  <c:v>91.777630284561994</c:v>
                </c:pt>
                <c:pt idx="374">
                  <c:v>91.777630284561994</c:v>
                </c:pt>
                <c:pt idx="375">
                  <c:v>91.777630284561994</c:v>
                </c:pt>
                <c:pt idx="376">
                  <c:v>88.057031773727644</c:v>
                </c:pt>
                <c:pt idx="377">
                  <c:v>85.996526776220264</c:v>
                </c:pt>
                <c:pt idx="378">
                  <c:v>89.688736078720709</c:v>
                </c:pt>
                <c:pt idx="379">
                  <c:v>92.514595770788461</c:v>
                </c:pt>
                <c:pt idx="380">
                  <c:v>92.514595770788461</c:v>
                </c:pt>
                <c:pt idx="381">
                  <c:v>92.514595770788461</c:v>
                </c:pt>
                <c:pt idx="382">
                  <c:v>92.00554179721621</c:v>
                </c:pt>
                <c:pt idx="383">
                  <c:v>92.850380704744865</c:v>
                </c:pt>
                <c:pt idx="384">
                  <c:v>92.850380704744865</c:v>
                </c:pt>
                <c:pt idx="385">
                  <c:v>92.850380704744865</c:v>
                </c:pt>
                <c:pt idx="386">
                  <c:v>92.850380704744865</c:v>
                </c:pt>
                <c:pt idx="387">
                  <c:v>92.850380704744865</c:v>
                </c:pt>
                <c:pt idx="388">
                  <c:v>92.850380704744865</c:v>
                </c:pt>
                <c:pt idx="389">
                  <c:v>92.850380704744865</c:v>
                </c:pt>
                <c:pt idx="390">
                  <c:v>92.850380704744865</c:v>
                </c:pt>
                <c:pt idx="391">
                  <c:v>92.850380704744865</c:v>
                </c:pt>
                <c:pt idx="392">
                  <c:v>92.850380704744865</c:v>
                </c:pt>
                <c:pt idx="393">
                  <c:v>92.850380704744865</c:v>
                </c:pt>
                <c:pt idx="394">
                  <c:v>95.49763020242662</c:v>
                </c:pt>
                <c:pt idx="395">
                  <c:v>95.347026242688671</c:v>
                </c:pt>
                <c:pt idx="396">
                  <c:v>95.347026242688671</c:v>
                </c:pt>
                <c:pt idx="397">
                  <c:v>95.347026242688671</c:v>
                </c:pt>
                <c:pt idx="398">
                  <c:v>95.347026242688671</c:v>
                </c:pt>
                <c:pt idx="399">
                  <c:v>95.347026242688671</c:v>
                </c:pt>
                <c:pt idx="400">
                  <c:v>95.347026242688671</c:v>
                </c:pt>
                <c:pt idx="401">
                  <c:v>95.347026242688671</c:v>
                </c:pt>
                <c:pt idx="402">
                  <c:v>95.347026242688671</c:v>
                </c:pt>
                <c:pt idx="403">
                  <c:v>95.347026242688671</c:v>
                </c:pt>
                <c:pt idx="404">
                  <c:v>98.51592702809991</c:v>
                </c:pt>
                <c:pt idx="405">
                  <c:v>98.677203540848069</c:v>
                </c:pt>
                <c:pt idx="406">
                  <c:v>98.677203540848069</c:v>
                </c:pt>
                <c:pt idx="407">
                  <c:v>98.677203540848069</c:v>
                </c:pt>
                <c:pt idx="408">
                  <c:v>98.677203540848069</c:v>
                </c:pt>
                <c:pt idx="409">
                  <c:v>98.677203540848069</c:v>
                </c:pt>
                <c:pt idx="410">
                  <c:v>98.677203540848069</c:v>
                </c:pt>
                <c:pt idx="411">
                  <c:v>98.677203540848069</c:v>
                </c:pt>
                <c:pt idx="412">
                  <c:v>95.965955848054634</c:v>
                </c:pt>
                <c:pt idx="413">
                  <c:v>95.424863438877921</c:v>
                </c:pt>
                <c:pt idx="414">
                  <c:v>95.424863438877921</c:v>
                </c:pt>
                <c:pt idx="415">
                  <c:v>95.424863438877921</c:v>
                </c:pt>
                <c:pt idx="416">
                  <c:v>95.424863438877921</c:v>
                </c:pt>
                <c:pt idx="417">
                  <c:v>95.424863438877921</c:v>
                </c:pt>
                <c:pt idx="418">
                  <c:v>95.424863438877921</c:v>
                </c:pt>
                <c:pt idx="419">
                  <c:v>95.424863438877921</c:v>
                </c:pt>
                <c:pt idx="420">
                  <c:v>95.424863438877921</c:v>
                </c:pt>
                <c:pt idx="421">
                  <c:v>95.424863438877921</c:v>
                </c:pt>
                <c:pt idx="422">
                  <c:v>95.424863438877921</c:v>
                </c:pt>
                <c:pt idx="423">
                  <c:v>95.424863438877921</c:v>
                </c:pt>
                <c:pt idx="424">
                  <c:v>95.424863438877921</c:v>
                </c:pt>
                <c:pt idx="425">
                  <c:v>95.424863438877921</c:v>
                </c:pt>
                <c:pt idx="426">
                  <c:v>95.424863438877921</c:v>
                </c:pt>
                <c:pt idx="427">
                  <c:v>95.424863438877921</c:v>
                </c:pt>
                <c:pt idx="428">
                  <c:v>95.424863438877921</c:v>
                </c:pt>
                <c:pt idx="429">
                  <c:v>95.424863438877921</c:v>
                </c:pt>
                <c:pt idx="430">
                  <c:v>95.424863438877921</c:v>
                </c:pt>
                <c:pt idx="431">
                  <c:v>95.424863438877921</c:v>
                </c:pt>
                <c:pt idx="432">
                  <c:v>95.424863438877921</c:v>
                </c:pt>
                <c:pt idx="433">
                  <c:v>95.424863438877921</c:v>
                </c:pt>
                <c:pt idx="434">
                  <c:v>96.813571803887086</c:v>
                </c:pt>
                <c:pt idx="435">
                  <c:v>96.215390677208731</c:v>
                </c:pt>
                <c:pt idx="436">
                  <c:v>97.272343531935547</c:v>
                </c:pt>
                <c:pt idx="437">
                  <c:v>95.315644312336744</c:v>
                </c:pt>
                <c:pt idx="438">
                  <c:v>95.315644312336744</c:v>
                </c:pt>
                <c:pt idx="439">
                  <c:v>95.315644312336744</c:v>
                </c:pt>
                <c:pt idx="440">
                  <c:v>95.315644312336744</c:v>
                </c:pt>
                <c:pt idx="441">
                  <c:v>95.315644312336744</c:v>
                </c:pt>
                <c:pt idx="442">
                  <c:v>94.186025803703004</c:v>
                </c:pt>
                <c:pt idx="443">
                  <c:v>94.328401762676364</c:v>
                </c:pt>
                <c:pt idx="444">
                  <c:v>94.78855516763457</c:v>
                </c:pt>
                <c:pt idx="445">
                  <c:v>94.191450510765264</c:v>
                </c:pt>
                <c:pt idx="446">
                  <c:v>94.191450510765264</c:v>
                </c:pt>
                <c:pt idx="447">
                  <c:v>94.191450510765264</c:v>
                </c:pt>
                <c:pt idx="448">
                  <c:v>94.191450510765264</c:v>
                </c:pt>
                <c:pt idx="449">
                  <c:v>94.191450510765264</c:v>
                </c:pt>
                <c:pt idx="450">
                  <c:v>93.697329174309772</c:v>
                </c:pt>
                <c:pt idx="451">
                  <c:v>94.186079996590834</c:v>
                </c:pt>
                <c:pt idx="452">
                  <c:v>94.186079996590834</c:v>
                </c:pt>
                <c:pt idx="453">
                  <c:v>94.186079996590834</c:v>
                </c:pt>
                <c:pt idx="454">
                  <c:v>94.926020320404064</c:v>
                </c:pt>
                <c:pt idx="455">
                  <c:v>94.639952987183662</c:v>
                </c:pt>
                <c:pt idx="456">
                  <c:v>94.639952987183662</c:v>
                </c:pt>
                <c:pt idx="457">
                  <c:v>94.639952987183662</c:v>
                </c:pt>
                <c:pt idx="458">
                  <c:v>94.639952987183662</c:v>
                </c:pt>
                <c:pt idx="459">
                  <c:v>94.639952987183662</c:v>
                </c:pt>
                <c:pt idx="460">
                  <c:v>93.931123812756837</c:v>
                </c:pt>
                <c:pt idx="461">
                  <c:v>93.170590781247896</c:v>
                </c:pt>
                <c:pt idx="462">
                  <c:v>93.170590781247896</c:v>
                </c:pt>
                <c:pt idx="463">
                  <c:v>93.170590781247896</c:v>
                </c:pt>
                <c:pt idx="464">
                  <c:v>93.818328914815282</c:v>
                </c:pt>
                <c:pt idx="465">
                  <c:v>93.302370186325206</c:v>
                </c:pt>
                <c:pt idx="466">
                  <c:v>93.302370186325206</c:v>
                </c:pt>
                <c:pt idx="467">
                  <c:v>93.302370186325206</c:v>
                </c:pt>
                <c:pt idx="468">
                  <c:v>94.314641117065847</c:v>
                </c:pt>
                <c:pt idx="469">
                  <c:v>94.950482301812656</c:v>
                </c:pt>
                <c:pt idx="470">
                  <c:v>94.950482301812656</c:v>
                </c:pt>
                <c:pt idx="471">
                  <c:v>94.950482301812656</c:v>
                </c:pt>
                <c:pt idx="472">
                  <c:v>94.950482301812656</c:v>
                </c:pt>
                <c:pt idx="473">
                  <c:v>94.950482301812656</c:v>
                </c:pt>
                <c:pt idx="474">
                  <c:v>94.950482301812656</c:v>
                </c:pt>
                <c:pt idx="475">
                  <c:v>94.950482301812656</c:v>
                </c:pt>
                <c:pt idx="476">
                  <c:v>94.933075309935859</c:v>
                </c:pt>
                <c:pt idx="477">
                  <c:v>94.919520845191045</c:v>
                </c:pt>
                <c:pt idx="478">
                  <c:v>97.264858593704034</c:v>
                </c:pt>
                <c:pt idx="479">
                  <c:v>96.477710238273431</c:v>
                </c:pt>
                <c:pt idx="480">
                  <c:v>96.477710238273431</c:v>
                </c:pt>
                <c:pt idx="481">
                  <c:v>96.477710238273431</c:v>
                </c:pt>
                <c:pt idx="482">
                  <c:v>96.477710238273431</c:v>
                </c:pt>
                <c:pt idx="483">
                  <c:v>96.477710238273431</c:v>
                </c:pt>
                <c:pt idx="484">
                  <c:v>96.477710238273431</c:v>
                </c:pt>
                <c:pt idx="485">
                  <c:v>96.477710238273431</c:v>
                </c:pt>
                <c:pt idx="486">
                  <c:v>96.477710238273431</c:v>
                </c:pt>
                <c:pt idx="487">
                  <c:v>96.477710238273431</c:v>
                </c:pt>
                <c:pt idx="488">
                  <c:v>96.477710238273431</c:v>
                </c:pt>
                <c:pt idx="489">
                  <c:v>96.477710238273431</c:v>
                </c:pt>
                <c:pt idx="490">
                  <c:v>96.477710238273431</c:v>
                </c:pt>
                <c:pt idx="491">
                  <c:v>96.477710238273431</c:v>
                </c:pt>
                <c:pt idx="492">
                  <c:v>96.477710238273431</c:v>
                </c:pt>
                <c:pt idx="493">
                  <c:v>96.477710238273431</c:v>
                </c:pt>
                <c:pt idx="494">
                  <c:v>98.548383220089519</c:v>
                </c:pt>
                <c:pt idx="495">
                  <c:v>97.744472596663641</c:v>
                </c:pt>
                <c:pt idx="496">
                  <c:v>97.744472596663641</c:v>
                </c:pt>
                <c:pt idx="497">
                  <c:v>97.744472596663641</c:v>
                </c:pt>
                <c:pt idx="498">
                  <c:v>97.542391757100617</c:v>
                </c:pt>
                <c:pt idx="499">
                  <c:v>97.124298610799187</c:v>
                </c:pt>
                <c:pt idx="500">
                  <c:v>97.124298610799187</c:v>
                </c:pt>
                <c:pt idx="501">
                  <c:v>95.718949148048353</c:v>
                </c:pt>
                <c:pt idx="502">
                  <c:v>97.800453809813305</c:v>
                </c:pt>
                <c:pt idx="503">
                  <c:v>97.800453809813305</c:v>
                </c:pt>
                <c:pt idx="504">
                  <c:v>97.800453809813305</c:v>
                </c:pt>
                <c:pt idx="505">
                  <c:v>97.800453809813305</c:v>
                </c:pt>
                <c:pt idx="506">
                  <c:v>97.800453809813305</c:v>
                </c:pt>
                <c:pt idx="507">
                  <c:v>97.901053696754047</c:v>
                </c:pt>
                <c:pt idx="508">
                  <c:v>96.715447079296425</c:v>
                </c:pt>
                <c:pt idx="509">
                  <c:v>96.715447079296425</c:v>
                </c:pt>
                <c:pt idx="510">
                  <c:v>96.715447079296425</c:v>
                </c:pt>
                <c:pt idx="511">
                  <c:v>96.715447079296425</c:v>
                </c:pt>
                <c:pt idx="512">
                  <c:v>96.715447079296425</c:v>
                </c:pt>
                <c:pt idx="513">
                  <c:v>98.174104176182624</c:v>
                </c:pt>
                <c:pt idx="514">
                  <c:v>98.799776610790332</c:v>
                </c:pt>
                <c:pt idx="515">
                  <c:v>98.799776610790332</c:v>
                </c:pt>
                <c:pt idx="516">
                  <c:v>98.799776610790332</c:v>
                </c:pt>
                <c:pt idx="517">
                  <c:v>98.799776610790332</c:v>
                </c:pt>
                <c:pt idx="518">
                  <c:v>98.799776610790332</c:v>
                </c:pt>
                <c:pt idx="519">
                  <c:v>98.799776610790332</c:v>
                </c:pt>
                <c:pt idx="520">
                  <c:v>98.799776610790332</c:v>
                </c:pt>
                <c:pt idx="521">
                  <c:v>98.799776610790332</c:v>
                </c:pt>
                <c:pt idx="522">
                  <c:v>98.799776610790332</c:v>
                </c:pt>
                <c:pt idx="523">
                  <c:v>98.799776610790332</c:v>
                </c:pt>
                <c:pt idx="524">
                  <c:v>98.799776610790332</c:v>
                </c:pt>
                <c:pt idx="525">
                  <c:v>97.31493090281225</c:v>
                </c:pt>
                <c:pt idx="526">
                  <c:v>97.224287136206158</c:v>
                </c:pt>
                <c:pt idx="527">
                  <c:v>97.224287136206158</c:v>
                </c:pt>
                <c:pt idx="528">
                  <c:v>97.224287136206158</c:v>
                </c:pt>
                <c:pt idx="529">
                  <c:v>97.398032419450502</c:v>
                </c:pt>
                <c:pt idx="530">
                  <c:v>96.700266280577438</c:v>
                </c:pt>
                <c:pt idx="531">
                  <c:v>96.700266280577438</c:v>
                </c:pt>
                <c:pt idx="532">
                  <c:v>96.700266280577438</c:v>
                </c:pt>
                <c:pt idx="533">
                  <c:v>96.700266280577438</c:v>
                </c:pt>
                <c:pt idx="534">
                  <c:v>96.700266280577438</c:v>
                </c:pt>
                <c:pt idx="535">
                  <c:v>96.700266280577438</c:v>
                </c:pt>
                <c:pt idx="536">
                  <c:v>96.700266280577438</c:v>
                </c:pt>
                <c:pt idx="537">
                  <c:v>96.700266280577438</c:v>
                </c:pt>
                <c:pt idx="538">
                  <c:v>96.700266280577438</c:v>
                </c:pt>
                <c:pt idx="539">
                  <c:v>96.700266280577438</c:v>
                </c:pt>
                <c:pt idx="540">
                  <c:v>96.700266280577438</c:v>
                </c:pt>
                <c:pt idx="541">
                  <c:v>96.700266280577438</c:v>
                </c:pt>
                <c:pt idx="542">
                  <c:v>96.700266280577438</c:v>
                </c:pt>
                <c:pt idx="543">
                  <c:v>96.700266280577438</c:v>
                </c:pt>
                <c:pt idx="544">
                  <c:v>96.700266280577438</c:v>
                </c:pt>
                <c:pt idx="545">
                  <c:v>96.700266280577438</c:v>
                </c:pt>
                <c:pt idx="546">
                  <c:v>96.700266280577438</c:v>
                </c:pt>
                <c:pt idx="547">
                  <c:v>96.700266280577438</c:v>
                </c:pt>
                <c:pt idx="548">
                  <c:v>96.700266280577438</c:v>
                </c:pt>
                <c:pt idx="549">
                  <c:v>96.700266280577438</c:v>
                </c:pt>
                <c:pt idx="550">
                  <c:v>96.700266280577438</c:v>
                </c:pt>
                <c:pt idx="551">
                  <c:v>96.700266280577438</c:v>
                </c:pt>
                <c:pt idx="552">
                  <c:v>96.700266280577438</c:v>
                </c:pt>
                <c:pt idx="553">
                  <c:v>96.700266280577438</c:v>
                </c:pt>
                <c:pt idx="554">
                  <c:v>96.700266280577438</c:v>
                </c:pt>
                <c:pt idx="555">
                  <c:v>96.700266280577438</c:v>
                </c:pt>
                <c:pt idx="556">
                  <c:v>96.700266280577438</c:v>
                </c:pt>
                <c:pt idx="557">
                  <c:v>96.700266280577438</c:v>
                </c:pt>
                <c:pt idx="558">
                  <c:v>96.700266280577438</c:v>
                </c:pt>
                <c:pt idx="559">
                  <c:v>96.700266280577438</c:v>
                </c:pt>
                <c:pt idx="560">
                  <c:v>96.700266280577438</c:v>
                </c:pt>
                <c:pt idx="561">
                  <c:v>96.700266280577438</c:v>
                </c:pt>
                <c:pt idx="562">
                  <c:v>96.700266280577438</c:v>
                </c:pt>
                <c:pt idx="563">
                  <c:v>96.700266280577438</c:v>
                </c:pt>
                <c:pt idx="564">
                  <c:v>96.700266280577438</c:v>
                </c:pt>
                <c:pt idx="565">
                  <c:v>96.700266280577438</c:v>
                </c:pt>
                <c:pt idx="566">
                  <c:v>96.700266280577438</c:v>
                </c:pt>
                <c:pt idx="567">
                  <c:v>96.700266280577438</c:v>
                </c:pt>
                <c:pt idx="568">
                  <c:v>96.700266280577438</c:v>
                </c:pt>
                <c:pt idx="569">
                  <c:v>96.700266280577438</c:v>
                </c:pt>
                <c:pt idx="570">
                  <c:v>96.700266280577438</c:v>
                </c:pt>
                <c:pt idx="571">
                  <c:v>96.700266280577438</c:v>
                </c:pt>
                <c:pt idx="572">
                  <c:v>96.700266280577438</c:v>
                </c:pt>
                <c:pt idx="573">
                  <c:v>96.700266280577438</c:v>
                </c:pt>
                <c:pt idx="574">
                  <c:v>96.700266280577438</c:v>
                </c:pt>
                <c:pt idx="575">
                  <c:v>96.700266280577438</c:v>
                </c:pt>
                <c:pt idx="576">
                  <c:v>96.700266280577438</c:v>
                </c:pt>
                <c:pt idx="577">
                  <c:v>96.700266280577438</c:v>
                </c:pt>
                <c:pt idx="578">
                  <c:v>96.700266280577438</c:v>
                </c:pt>
                <c:pt idx="579">
                  <c:v>96.700266280577438</c:v>
                </c:pt>
                <c:pt idx="580">
                  <c:v>96.700266280577438</c:v>
                </c:pt>
                <c:pt idx="581">
                  <c:v>96.700266280577438</c:v>
                </c:pt>
                <c:pt idx="582">
                  <c:v>96.700266280577438</c:v>
                </c:pt>
                <c:pt idx="583">
                  <c:v>96.700266280577438</c:v>
                </c:pt>
                <c:pt idx="584">
                  <c:v>96.700266280577438</c:v>
                </c:pt>
                <c:pt idx="585">
                  <c:v>96.700266280577438</c:v>
                </c:pt>
                <c:pt idx="586">
                  <c:v>96.700266280577438</c:v>
                </c:pt>
                <c:pt idx="587">
                  <c:v>96.700266280577438</c:v>
                </c:pt>
                <c:pt idx="588">
                  <c:v>96.700266280577438</c:v>
                </c:pt>
                <c:pt idx="589">
                  <c:v>96.700266280577438</c:v>
                </c:pt>
                <c:pt idx="590">
                  <c:v>96.700266280577438</c:v>
                </c:pt>
                <c:pt idx="591">
                  <c:v>96.700266280577438</c:v>
                </c:pt>
                <c:pt idx="592">
                  <c:v>96.700266280577438</c:v>
                </c:pt>
                <c:pt idx="593">
                  <c:v>96.700266280577438</c:v>
                </c:pt>
                <c:pt idx="594">
                  <c:v>96.700266280577438</c:v>
                </c:pt>
                <c:pt idx="595">
                  <c:v>96.700266280577438</c:v>
                </c:pt>
                <c:pt idx="596">
                  <c:v>96.700266280577438</c:v>
                </c:pt>
                <c:pt idx="597">
                  <c:v>96.700266280577438</c:v>
                </c:pt>
                <c:pt idx="598">
                  <c:v>96.700266280577438</c:v>
                </c:pt>
                <c:pt idx="599">
                  <c:v>96.700266280577438</c:v>
                </c:pt>
                <c:pt idx="600">
                  <c:v>96.700266280577438</c:v>
                </c:pt>
                <c:pt idx="601">
                  <c:v>96.700266280577438</c:v>
                </c:pt>
                <c:pt idx="602">
                  <c:v>96.700266280577438</c:v>
                </c:pt>
                <c:pt idx="603">
                  <c:v>96.700266280577438</c:v>
                </c:pt>
                <c:pt idx="604">
                  <c:v>96.700266280577438</c:v>
                </c:pt>
                <c:pt idx="605">
                  <c:v>96.700266280577438</c:v>
                </c:pt>
                <c:pt idx="606">
                  <c:v>96.700266280577438</c:v>
                </c:pt>
                <c:pt idx="607">
                  <c:v>96.700266280577438</c:v>
                </c:pt>
                <c:pt idx="608">
                  <c:v>96.700266280577438</c:v>
                </c:pt>
                <c:pt idx="609">
                  <c:v>96.700266280577438</c:v>
                </c:pt>
                <c:pt idx="610">
                  <c:v>96.700266280577438</c:v>
                </c:pt>
                <c:pt idx="611">
                  <c:v>96.700266280577438</c:v>
                </c:pt>
                <c:pt idx="612">
                  <c:v>96.700266280577438</c:v>
                </c:pt>
                <c:pt idx="613">
                  <c:v>96.700266280577438</c:v>
                </c:pt>
                <c:pt idx="614">
                  <c:v>96.700266280577438</c:v>
                </c:pt>
                <c:pt idx="615">
                  <c:v>96.700266280577438</c:v>
                </c:pt>
                <c:pt idx="616">
                  <c:v>96.700266280577438</c:v>
                </c:pt>
                <c:pt idx="617">
                  <c:v>96.700266280577438</c:v>
                </c:pt>
                <c:pt idx="618">
                  <c:v>96.700266280577438</c:v>
                </c:pt>
                <c:pt idx="619">
                  <c:v>96.700266280577438</c:v>
                </c:pt>
                <c:pt idx="620">
                  <c:v>96.700266280577438</c:v>
                </c:pt>
                <c:pt idx="621">
                  <c:v>96.700266280577438</c:v>
                </c:pt>
                <c:pt idx="622">
                  <c:v>96.700266280577438</c:v>
                </c:pt>
                <c:pt idx="623">
                  <c:v>96.700266280577438</c:v>
                </c:pt>
                <c:pt idx="624">
                  <c:v>96.700266280577438</c:v>
                </c:pt>
                <c:pt idx="625">
                  <c:v>96.700266280577438</c:v>
                </c:pt>
                <c:pt idx="626">
                  <c:v>96.700266280577438</c:v>
                </c:pt>
                <c:pt idx="627">
                  <c:v>96.700266280577438</c:v>
                </c:pt>
                <c:pt idx="628">
                  <c:v>96.700266280577438</c:v>
                </c:pt>
                <c:pt idx="629">
                  <c:v>96.700266280577438</c:v>
                </c:pt>
                <c:pt idx="630">
                  <c:v>96.700266280577438</c:v>
                </c:pt>
                <c:pt idx="631">
                  <c:v>96.700266280577438</c:v>
                </c:pt>
                <c:pt idx="632">
                  <c:v>96.700266280577438</c:v>
                </c:pt>
                <c:pt idx="633">
                  <c:v>96.700266280577438</c:v>
                </c:pt>
                <c:pt idx="634">
                  <c:v>96.700266280577438</c:v>
                </c:pt>
                <c:pt idx="635">
                  <c:v>96.700266280577438</c:v>
                </c:pt>
                <c:pt idx="636">
                  <c:v>96.700266280577438</c:v>
                </c:pt>
                <c:pt idx="637">
                  <c:v>96.700266280577438</c:v>
                </c:pt>
                <c:pt idx="638">
                  <c:v>96.700266280577438</c:v>
                </c:pt>
                <c:pt idx="639">
                  <c:v>96.700266280577438</c:v>
                </c:pt>
                <c:pt idx="640">
                  <c:v>96.700266280577438</c:v>
                </c:pt>
                <c:pt idx="641">
                  <c:v>96.700266280577438</c:v>
                </c:pt>
                <c:pt idx="642">
                  <c:v>96.700266280577438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Ranking!$P$3</c:f>
              <c:strCache>
                <c:ptCount val="1"/>
                <c:pt idx="0">
                  <c:v>Bastian_G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Ranking!$AF$2:$AF$732</c:f>
              <c:numCache>
                <c:formatCode>General</c:formatCode>
                <c:ptCount val="731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</c:numCache>
            </c:numRef>
          </c:xVal>
          <c:yVal>
            <c:numRef>
              <c:f>Ranking!$AI$2:$AI$732</c:f>
              <c:numCache>
                <c:formatCode>General</c:formatCode>
                <c:ptCount val="731"/>
                <c:pt idx="0">
                  <c:v>5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102.17609248896345</c:v>
                </c:pt>
                <c:pt idx="9">
                  <c:v>104.61591054281757</c:v>
                </c:pt>
                <c:pt idx="10">
                  <c:v>104.61591054281757</c:v>
                </c:pt>
                <c:pt idx="11">
                  <c:v>104.61591054281757</c:v>
                </c:pt>
                <c:pt idx="12">
                  <c:v>104.61591054281757</c:v>
                </c:pt>
                <c:pt idx="13">
                  <c:v>104.61591054281757</c:v>
                </c:pt>
                <c:pt idx="14">
                  <c:v>103.28715760146696</c:v>
                </c:pt>
                <c:pt idx="15">
                  <c:v>103.74771032506526</c:v>
                </c:pt>
                <c:pt idx="16">
                  <c:v>103.74771032506526</c:v>
                </c:pt>
                <c:pt idx="17">
                  <c:v>103.74771032506526</c:v>
                </c:pt>
                <c:pt idx="18">
                  <c:v>104.34855021027667</c:v>
                </c:pt>
                <c:pt idx="19">
                  <c:v>108.36216434613463</c:v>
                </c:pt>
                <c:pt idx="20">
                  <c:v>112.74106040306154</c:v>
                </c:pt>
                <c:pt idx="21">
                  <c:v>112.99040891499128</c:v>
                </c:pt>
                <c:pt idx="22">
                  <c:v>112.99040891499128</c:v>
                </c:pt>
                <c:pt idx="23">
                  <c:v>112.99040891499128</c:v>
                </c:pt>
                <c:pt idx="24">
                  <c:v>112.99040891499128</c:v>
                </c:pt>
                <c:pt idx="25">
                  <c:v>112.99040891499128</c:v>
                </c:pt>
                <c:pt idx="26">
                  <c:v>110.62868392453026</c:v>
                </c:pt>
                <c:pt idx="27">
                  <c:v>109.68852083373437</c:v>
                </c:pt>
                <c:pt idx="28">
                  <c:v>109.68852083373437</c:v>
                </c:pt>
                <c:pt idx="29">
                  <c:v>110.69678014219414</c:v>
                </c:pt>
                <c:pt idx="30">
                  <c:v>111.05586477933481</c:v>
                </c:pt>
                <c:pt idx="31">
                  <c:v>111.05586477933481</c:v>
                </c:pt>
                <c:pt idx="32">
                  <c:v>111.05586477933481</c:v>
                </c:pt>
                <c:pt idx="33">
                  <c:v>111.05586477933481</c:v>
                </c:pt>
                <c:pt idx="34">
                  <c:v>111.05586477933481</c:v>
                </c:pt>
                <c:pt idx="35">
                  <c:v>111.910639419172</c:v>
                </c:pt>
                <c:pt idx="36">
                  <c:v>111.63387701727011</c:v>
                </c:pt>
                <c:pt idx="37">
                  <c:v>111.63387701727011</c:v>
                </c:pt>
                <c:pt idx="38">
                  <c:v>111.63387701727011</c:v>
                </c:pt>
                <c:pt idx="39">
                  <c:v>112.60268112647471</c:v>
                </c:pt>
                <c:pt idx="40">
                  <c:v>113.02748931424361</c:v>
                </c:pt>
                <c:pt idx="41">
                  <c:v>113.02748931424361</c:v>
                </c:pt>
                <c:pt idx="42">
                  <c:v>113.02748931424361</c:v>
                </c:pt>
                <c:pt idx="43">
                  <c:v>113.02748931424361</c:v>
                </c:pt>
                <c:pt idx="44">
                  <c:v>113.02748931424361</c:v>
                </c:pt>
                <c:pt idx="45">
                  <c:v>113.02748931424361</c:v>
                </c:pt>
                <c:pt idx="46">
                  <c:v>113.02748931424361</c:v>
                </c:pt>
                <c:pt idx="47">
                  <c:v>113.70007015073267</c:v>
                </c:pt>
                <c:pt idx="48">
                  <c:v>114.22332191857586</c:v>
                </c:pt>
                <c:pt idx="49">
                  <c:v>112.99900921864611</c:v>
                </c:pt>
                <c:pt idx="50">
                  <c:v>111.8206743812125</c:v>
                </c:pt>
                <c:pt idx="51">
                  <c:v>111.8206743812125</c:v>
                </c:pt>
                <c:pt idx="52">
                  <c:v>111.8206743812125</c:v>
                </c:pt>
                <c:pt idx="53">
                  <c:v>114.89512777368913</c:v>
                </c:pt>
                <c:pt idx="54">
                  <c:v>113.87491464576128</c:v>
                </c:pt>
                <c:pt idx="55">
                  <c:v>113.87491464576128</c:v>
                </c:pt>
                <c:pt idx="56">
                  <c:v>113.87491464576128</c:v>
                </c:pt>
                <c:pt idx="57">
                  <c:v>113.87491464576128</c:v>
                </c:pt>
                <c:pt idx="58">
                  <c:v>113.87491464576128</c:v>
                </c:pt>
                <c:pt idx="59">
                  <c:v>112.7282426122611</c:v>
                </c:pt>
                <c:pt idx="60">
                  <c:v>112.20327959260266</c:v>
                </c:pt>
                <c:pt idx="61">
                  <c:v>112.20327959260266</c:v>
                </c:pt>
                <c:pt idx="62">
                  <c:v>112.20327959260266</c:v>
                </c:pt>
                <c:pt idx="63">
                  <c:v>113.07429451392163</c:v>
                </c:pt>
                <c:pt idx="64">
                  <c:v>113.3289008703652</c:v>
                </c:pt>
                <c:pt idx="65">
                  <c:v>113.3289008703652</c:v>
                </c:pt>
                <c:pt idx="66">
                  <c:v>113.3289008703652</c:v>
                </c:pt>
                <c:pt idx="67">
                  <c:v>113.3289008703652</c:v>
                </c:pt>
                <c:pt idx="68">
                  <c:v>113.3289008703652</c:v>
                </c:pt>
                <c:pt idx="69">
                  <c:v>113.3289008703652</c:v>
                </c:pt>
                <c:pt idx="70">
                  <c:v>113.3289008703652</c:v>
                </c:pt>
                <c:pt idx="71">
                  <c:v>113.3289008703652</c:v>
                </c:pt>
                <c:pt idx="72">
                  <c:v>113.3289008703652</c:v>
                </c:pt>
                <c:pt idx="73">
                  <c:v>113.3289008703652</c:v>
                </c:pt>
                <c:pt idx="74">
                  <c:v>113.3289008703652</c:v>
                </c:pt>
                <c:pt idx="75">
                  <c:v>113.3289008703652</c:v>
                </c:pt>
                <c:pt idx="76">
                  <c:v>113.3289008703652</c:v>
                </c:pt>
                <c:pt idx="77">
                  <c:v>113.3289008703652</c:v>
                </c:pt>
                <c:pt idx="78">
                  <c:v>113.3289008703652</c:v>
                </c:pt>
                <c:pt idx="79">
                  <c:v>113.3289008703652</c:v>
                </c:pt>
                <c:pt idx="80">
                  <c:v>113.3289008703652</c:v>
                </c:pt>
                <c:pt idx="81">
                  <c:v>113.3289008703652</c:v>
                </c:pt>
                <c:pt idx="82">
                  <c:v>113.3289008703652</c:v>
                </c:pt>
                <c:pt idx="83">
                  <c:v>113.3289008703652</c:v>
                </c:pt>
                <c:pt idx="84">
                  <c:v>113.3289008703652</c:v>
                </c:pt>
                <c:pt idx="85">
                  <c:v>113.3289008703652</c:v>
                </c:pt>
                <c:pt idx="86">
                  <c:v>113.3289008703652</c:v>
                </c:pt>
                <c:pt idx="87">
                  <c:v>113.3289008703652</c:v>
                </c:pt>
                <c:pt idx="88">
                  <c:v>113.3289008703652</c:v>
                </c:pt>
                <c:pt idx="89">
                  <c:v>113.3289008703652</c:v>
                </c:pt>
                <c:pt idx="90">
                  <c:v>113.3289008703652</c:v>
                </c:pt>
                <c:pt idx="91">
                  <c:v>113.3289008703652</c:v>
                </c:pt>
                <c:pt idx="92">
                  <c:v>113.3289008703652</c:v>
                </c:pt>
                <c:pt idx="93">
                  <c:v>113.3289008703652</c:v>
                </c:pt>
                <c:pt idx="94">
                  <c:v>113.3289008703652</c:v>
                </c:pt>
                <c:pt idx="95">
                  <c:v>112.78791444243583</c:v>
                </c:pt>
                <c:pt idx="96">
                  <c:v>113.94559513483185</c:v>
                </c:pt>
                <c:pt idx="97">
                  <c:v>113.94559513483185</c:v>
                </c:pt>
                <c:pt idx="98">
                  <c:v>113.94559513483185</c:v>
                </c:pt>
                <c:pt idx="99">
                  <c:v>113.94559513483185</c:v>
                </c:pt>
                <c:pt idx="100">
                  <c:v>113.94559513483185</c:v>
                </c:pt>
                <c:pt idx="101">
                  <c:v>115.10434278945853</c:v>
                </c:pt>
                <c:pt idx="102">
                  <c:v>115.10434278945853</c:v>
                </c:pt>
                <c:pt idx="103">
                  <c:v>115.10434278945853</c:v>
                </c:pt>
                <c:pt idx="104">
                  <c:v>115.10434278945853</c:v>
                </c:pt>
                <c:pt idx="105">
                  <c:v>115.10434278945853</c:v>
                </c:pt>
                <c:pt idx="106">
                  <c:v>115.10434278945853</c:v>
                </c:pt>
                <c:pt idx="107">
                  <c:v>115.10434278945853</c:v>
                </c:pt>
                <c:pt idx="108">
                  <c:v>115.10434278945853</c:v>
                </c:pt>
                <c:pt idx="109">
                  <c:v>115.10434278945853</c:v>
                </c:pt>
                <c:pt idx="110">
                  <c:v>115.10434278945853</c:v>
                </c:pt>
                <c:pt idx="111">
                  <c:v>115.10434278945853</c:v>
                </c:pt>
                <c:pt idx="112">
                  <c:v>115.10434278945853</c:v>
                </c:pt>
                <c:pt idx="113">
                  <c:v>115.10434278945853</c:v>
                </c:pt>
                <c:pt idx="114">
                  <c:v>115.2287568627172</c:v>
                </c:pt>
                <c:pt idx="115">
                  <c:v>114.96198681294571</c:v>
                </c:pt>
                <c:pt idx="116">
                  <c:v>114.96198681294571</c:v>
                </c:pt>
                <c:pt idx="117">
                  <c:v>114.96198681294571</c:v>
                </c:pt>
                <c:pt idx="118">
                  <c:v>115.12017793952391</c:v>
                </c:pt>
                <c:pt idx="119">
                  <c:v>114.98128297841693</c:v>
                </c:pt>
                <c:pt idx="120">
                  <c:v>114.98128297841693</c:v>
                </c:pt>
                <c:pt idx="121">
                  <c:v>114.98128297841693</c:v>
                </c:pt>
                <c:pt idx="122">
                  <c:v>114.98128297841693</c:v>
                </c:pt>
                <c:pt idx="123">
                  <c:v>114.98128297841693</c:v>
                </c:pt>
                <c:pt idx="124">
                  <c:v>114.98128297841693</c:v>
                </c:pt>
                <c:pt idx="125">
                  <c:v>114.98128297841693</c:v>
                </c:pt>
                <c:pt idx="126">
                  <c:v>114.98128297841693</c:v>
                </c:pt>
                <c:pt idx="127">
                  <c:v>114.98128297841693</c:v>
                </c:pt>
                <c:pt idx="128">
                  <c:v>114.98128297841693</c:v>
                </c:pt>
                <c:pt idx="129">
                  <c:v>114.98128297841693</c:v>
                </c:pt>
                <c:pt idx="130">
                  <c:v>114.98128297841693</c:v>
                </c:pt>
                <c:pt idx="131">
                  <c:v>114.98128297841693</c:v>
                </c:pt>
                <c:pt idx="132">
                  <c:v>115.56004639822629</c:v>
                </c:pt>
                <c:pt idx="133">
                  <c:v>114.56696382395144</c:v>
                </c:pt>
                <c:pt idx="134">
                  <c:v>114.56696382395144</c:v>
                </c:pt>
                <c:pt idx="135">
                  <c:v>114.56696382395144</c:v>
                </c:pt>
                <c:pt idx="136">
                  <c:v>114.56696382395144</c:v>
                </c:pt>
                <c:pt idx="137">
                  <c:v>114.56696382395144</c:v>
                </c:pt>
                <c:pt idx="138">
                  <c:v>112.52971286836684</c:v>
                </c:pt>
                <c:pt idx="139">
                  <c:v>113.79738422969976</c:v>
                </c:pt>
                <c:pt idx="140">
                  <c:v>113.79738422969976</c:v>
                </c:pt>
                <c:pt idx="141">
                  <c:v>113.79738422969976</c:v>
                </c:pt>
                <c:pt idx="142">
                  <c:v>113.79738422969976</c:v>
                </c:pt>
                <c:pt idx="143">
                  <c:v>113.79738422969976</c:v>
                </c:pt>
                <c:pt idx="144">
                  <c:v>113.79738422969976</c:v>
                </c:pt>
                <c:pt idx="145">
                  <c:v>113.79738422969976</c:v>
                </c:pt>
                <c:pt idx="146">
                  <c:v>113.79738422969976</c:v>
                </c:pt>
                <c:pt idx="147">
                  <c:v>113.79738422969976</c:v>
                </c:pt>
                <c:pt idx="148">
                  <c:v>113.79738422969976</c:v>
                </c:pt>
                <c:pt idx="149">
                  <c:v>113.79738422969976</c:v>
                </c:pt>
                <c:pt idx="150">
                  <c:v>113.79738422969976</c:v>
                </c:pt>
                <c:pt idx="151">
                  <c:v>113.79738422969976</c:v>
                </c:pt>
                <c:pt idx="152">
                  <c:v>112.62294255947666</c:v>
                </c:pt>
                <c:pt idx="153">
                  <c:v>111.23294693469907</c:v>
                </c:pt>
                <c:pt idx="154">
                  <c:v>111.23294693469907</c:v>
                </c:pt>
                <c:pt idx="155">
                  <c:v>111.23294693469907</c:v>
                </c:pt>
                <c:pt idx="156">
                  <c:v>111.02453393533293</c:v>
                </c:pt>
                <c:pt idx="157">
                  <c:v>111.86397186699089</c:v>
                </c:pt>
                <c:pt idx="158">
                  <c:v>111.86397186699089</c:v>
                </c:pt>
                <c:pt idx="159">
                  <c:v>111.86397186699089</c:v>
                </c:pt>
                <c:pt idx="160">
                  <c:v>111.58694376488107</c:v>
                </c:pt>
                <c:pt idx="161">
                  <c:v>111.97365309169301</c:v>
                </c:pt>
                <c:pt idx="162">
                  <c:v>111.97365309169301</c:v>
                </c:pt>
                <c:pt idx="163">
                  <c:v>111.97365309169301</c:v>
                </c:pt>
                <c:pt idx="164">
                  <c:v>112.69675855150234</c:v>
                </c:pt>
                <c:pt idx="165">
                  <c:v>115.46826639223708</c:v>
                </c:pt>
                <c:pt idx="166">
                  <c:v>115.46826639223708</c:v>
                </c:pt>
                <c:pt idx="167">
                  <c:v>115.46826639223708</c:v>
                </c:pt>
                <c:pt idx="168">
                  <c:v>115.46826639223708</c:v>
                </c:pt>
                <c:pt idx="169">
                  <c:v>115.46826639223708</c:v>
                </c:pt>
                <c:pt idx="170">
                  <c:v>115.46826639223708</c:v>
                </c:pt>
                <c:pt idx="171">
                  <c:v>115.46826639223708</c:v>
                </c:pt>
                <c:pt idx="172">
                  <c:v>115.46826639223708</c:v>
                </c:pt>
                <c:pt idx="173">
                  <c:v>115.46826639223708</c:v>
                </c:pt>
                <c:pt idx="174">
                  <c:v>115.46826639223708</c:v>
                </c:pt>
                <c:pt idx="175">
                  <c:v>115.46826639223708</c:v>
                </c:pt>
                <c:pt idx="176">
                  <c:v>115.46826639223708</c:v>
                </c:pt>
                <c:pt idx="177">
                  <c:v>115.46826639223708</c:v>
                </c:pt>
                <c:pt idx="178">
                  <c:v>115.46826639223708</c:v>
                </c:pt>
                <c:pt idx="179">
                  <c:v>115.46826639223708</c:v>
                </c:pt>
                <c:pt idx="180">
                  <c:v>115.46826639223708</c:v>
                </c:pt>
                <c:pt idx="181">
                  <c:v>115.46826639223708</c:v>
                </c:pt>
                <c:pt idx="182">
                  <c:v>115.46826639223708</c:v>
                </c:pt>
                <c:pt idx="183">
                  <c:v>115.46826639223708</c:v>
                </c:pt>
                <c:pt idx="184">
                  <c:v>115.46826639223708</c:v>
                </c:pt>
                <c:pt idx="185">
                  <c:v>115.46826639223708</c:v>
                </c:pt>
                <c:pt idx="186">
                  <c:v>115.46826639223708</c:v>
                </c:pt>
                <c:pt idx="187">
                  <c:v>115.46826639223708</c:v>
                </c:pt>
                <c:pt idx="188">
                  <c:v>115.46826639223708</c:v>
                </c:pt>
                <c:pt idx="189">
                  <c:v>115.46826639223708</c:v>
                </c:pt>
                <c:pt idx="190">
                  <c:v>115.46826639223708</c:v>
                </c:pt>
                <c:pt idx="191">
                  <c:v>115.46826639223708</c:v>
                </c:pt>
                <c:pt idx="192">
                  <c:v>115.46826639223708</c:v>
                </c:pt>
                <c:pt idx="193">
                  <c:v>116.86188663297433</c:v>
                </c:pt>
                <c:pt idx="194">
                  <c:v>117.94051927770261</c:v>
                </c:pt>
                <c:pt idx="195">
                  <c:v>117.94051927770261</c:v>
                </c:pt>
                <c:pt idx="196">
                  <c:v>117.94051927770261</c:v>
                </c:pt>
                <c:pt idx="197">
                  <c:v>117.94051927770261</c:v>
                </c:pt>
                <c:pt idx="198">
                  <c:v>117.94051927770261</c:v>
                </c:pt>
                <c:pt idx="199">
                  <c:v>116.50111594359602</c:v>
                </c:pt>
                <c:pt idx="200">
                  <c:v>116.47661404435885</c:v>
                </c:pt>
                <c:pt idx="201">
                  <c:v>116.47661404435885</c:v>
                </c:pt>
                <c:pt idx="202">
                  <c:v>116.47661404435885</c:v>
                </c:pt>
                <c:pt idx="203">
                  <c:v>116.47661404435885</c:v>
                </c:pt>
                <c:pt idx="204">
                  <c:v>116.47661404435885</c:v>
                </c:pt>
                <c:pt idx="205">
                  <c:v>116.47661404435885</c:v>
                </c:pt>
                <c:pt idx="206">
                  <c:v>116.47661404435885</c:v>
                </c:pt>
                <c:pt idx="207">
                  <c:v>116.47661404435885</c:v>
                </c:pt>
                <c:pt idx="208">
                  <c:v>114.77748784532551</c:v>
                </c:pt>
                <c:pt idx="209">
                  <c:v>114.91814596969184</c:v>
                </c:pt>
                <c:pt idx="210">
                  <c:v>114.91814596969184</c:v>
                </c:pt>
                <c:pt idx="211">
                  <c:v>114.91814596969184</c:v>
                </c:pt>
                <c:pt idx="212">
                  <c:v>114.91814596969184</c:v>
                </c:pt>
                <c:pt idx="213">
                  <c:v>114.91814596969184</c:v>
                </c:pt>
                <c:pt idx="214">
                  <c:v>114.44185653138463</c:v>
                </c:pt>
                <c:pt idx="215">
                  <c:v>111.23463743978623</c:v>
                </c:pt>
                <c:pt idx="216">
                  <c:v>111.23463743978623</c:v>
                </c:pt>
                <c:pt idx="217">
                  <c:v>111.23463743978623</c:v>
                </c:pt>
                <c:pt idx="218">
                  <c:v>111.23463743978623</c:v>
                </c:pt>
                <c:pt idx="219">
                  <c:v>111.23463743978623</c:v>
                </c:pt>
                <c:pt idx="220">
                  <c:v>111.23463743978623</c:v>
                </c:pt>
                <c:pt idx="221">
                  <c:v>111.23463743978623</c:v>
                </c:pt>
                <c:pt idx="222">
                  <c:v>111.02575823914968</c:v>
                </c:pt>
                <c:pt idx="223">
                  <c:v>110.8642661825124</c:v>
                </c:pt>
                <c:pt idx="224">
                  <c:v>110.8642661825124</c:v>
                </c:pt>
                <c:pt idx="225">
                  <c:v>112.88081899899511</c:v>
                </c:pt>
                <c:pt idx="226">
                  <c:v>113.11546114802825</c:v>
                </c:pt>
                <c:pt idx="227">
                  <c:v>113.11546114802825</c:v>
                </c:pt>
                <c:pt idx="228">
                  <c:v>113.11546114802825</c:v>
                </c:pt>
                <c:pt idx="229">
                  <c:v>113.11546114802825</c:v>
                </c:pt>
                <c:pt idx="230">
                  <c:v>113.11546114802825</c:v>
                </c:pt>
                <c:pt idx="231">
                  <c:v>113.75824413816659</c:v>
                </c:pt>
                <c:pt idx="232">
                  <c:v>114.67586130358623</c:v>
                </c:pt>
                <c:pt idx="233">
                  <c:v>114.67586130358623</c:v>
                </c:pt>
                <c:pt idx="234">
                  <c:v>114.67586130358623</c:v>
                </c:pt>
                <c:pt idx="235">
                  <c:v>114.67586130358623</c:v>
                </c:pt>
                <c:pt idx="236">
                  <c:v>114.67586130358623</c:v>
                </c:pt>
                <c:pt idx="237">
                  <c:v>114.67586130358623</c:v>
                </c:pt>
                <c:pt idx="238">
                  <c:v>114.67586130358623</c:v>
                </c:pt>
                <c:pt idx="239">
                  <c:v>112.47059504820864</c:v>
                </c:pt>
                <c:pt idx="240">
                  <c:v>113.97664203575378</c:v>
                </c:pt>
                <c:pt idx="241">
                  <c:v>113.97664203575378</c:v>
                </c:pt>
                <c:pt idx="242">
                  <c:v>113.97664203575378</c:v>
                </c:pt>
                <c:pt idx="243">
                  <c:v>113.97664203575378</c:v>
                </c:pt>
                <c:pt idx="244">
                  <c:v>113.97664203575378</c:v>
                </c:pt>
                <c:pt idx="245">
                  <c:v>113.97664203575378</c:v>
                </c:pt>
                <c:pt idx="246">
                  <c:v>113.97664203575378</c:v>
                </c:pt>
                <c:pt idx="247">
                  <c:v>113.97664203575378</c:v>
                </c:pt>
                <c:pt idx="248">
                  <c:v>113.97664203575378</c:v>
                </c:pt>
                <c:pt idx="249">
                  <c:v>113.97664203575378</c:v>
                </c:pt>
                <c:pt idx="250">
                  <c:v>113.97664203575378</c:v>
                </c:pt>
                <c:pt idx="251">
                  <c:v>113.97664203575378</c:v>
                </c:pt>
                <c:pt idx="252">
                  <c:v>113.97664203575378</c:v>
                </c:pt>
                <c:pt idx="253">
                  <c:v>114.07593258199644</c:v>
                </c:pt>
                <c:pt idx="254">
                  <c:v>115.28797022820102</c:v>
                </c:pt>
                <c:pt idx="255">
                  <c:v>115.28797022820102</c:v>
                </c:pt>
                <c:pt idx="256">
                  <c:v>115.28797022820102</c:v>
                </c:pt>
                <c:pt idx="257">
                  <c:v>114.73694674609409</c:v>
                </c:pt>
                <c:pt idx="258">
                  <c:v>114.02034665253744</c:v>
                </c:pt>
                <c:pt idx="259">
                  <c:v>114.02034665253744</c:v>
                </c:pt>
                <c:pt idx="260">
                  <c:v>114.02034665253744</c:v>
                </c:pt>
                <c:pt idx="261">
                  <c:v>114.02034665253744</c:v>
                </c:pt>
                <c:pt idx="262">
                  <c:v>114.02034665253744</c:v>
                </c:pt>
                <c:pt idx="263">
                  <c:v>113.63732942732678</c:v>
                </c:pt>
                <c:pt idx="264">
                  <c:v>111.75344828458302</c:v>
                </c:pt>
                <c:pt idx="265">
                  <c:v>111.96646298744147</c:v>
                </c:pt>
                <c:pt idx="266">
                  <c:v>111.6742412765127</c:v>
                </c:pt>
                <c:pt idx="267">
                  <c:v>111.6742412765127</c:v>
                </c:pt>
                <c:pt idx="268">
                  <c:v>111.6742412765127</c:v>
                </c:pt>
                <c:pt idx="269">
                  <c:v>111.6742412765127</c:v>
                </c:pt>
                <c:pt idx="270">
                  <c:v>111.6742412765127</c:v>
                </c:pt>
                <c:pt idx="271">
                  <c:v>111.6742412765127</c:v>
                </c:pt>
                <c:pt idx="272">
                  <c:v>111.6742412765127</c:v>
                </c:pt>
                <c:pt idx="273">
                  <c:v>110.20015428202967</c:v>
                </c:pt>
                <c:pt idx="274">
                  <c:v>110.10001653226699</c:v>
                </c:pt>
                <c:pt idx="275">
                  <c:v>110.10001653226699</c:v>
                </c:pt>
                <c:pt idx="276">
                  <c:v>110.10001653226699</c:v>
                </c:pt>
                <c:pt idx="277">
                  <c:v>110.10001653226699</c:v>
                </c:pt>
                <c:pt idx="278">
                  <c:v>110.10001653226699</c:v>
                </c:pt>
                <c:pt idx="279">
                  <c:v>110.10001653226699</c:v>
                </c:pt>
                <c:pt idx="280">
                  <c:v>110.10001653226699</c:v>
                </c:pt>
                <c:pt idx="281">
                  <c:v>110.10001653226699</c:v>
                </c:pt>
                <c:pt idx="282">
                  <c:v>110.10001653226699</c:v>
                </c:pt>
                <c:pt idx="283">
                  <c:v>110.10001653226699</c:v>
                </c:pt>
                <c:pt idx="284">
                  <c:v>110.10001653226699</c:v>
                </c:pt>
                <c:pt idx="285">
                  <c:v>110.10001653226699</c:v>
                </c:pt>
                <c:pt idx="286">
                  <c:v>110.10001653226699</c:v>
                </c:pt>
                <c:pt idx="287">
                  <c:v>110.30661058735031</c:v>
                </c:pt>
                <c:pt idx="288">
                  <c:v>112.02015744049837</c:v>
                </c:pt>
                <c:pt idx="289">
                  <c:v>112.02015744049837</c:v>
                </c:pt>
                <c:pt idx="290">
                  <c:v>112.02015744049837</c:v>
                </c:pt>
                <c:pt idx="291">
                  <c:v>112.41180097985708</c:v>
                </c:pt>
                <c:pt idx="292">
                  <c:v>112.11511796359814</c:v>
                </c:pt>
                <c:pt idx="293">
                  <c:v>112.11511796359814</c:v>
                </c:pt>
                <c:pt idx="294">
                  <c:v>112.11511796359814</c:v>
                </c:pt>
                <c:pt idx="295">
                  <c:v>112.6337915456042</c:v>
                </c:pt>
                <c:pt idx="296">
                  <c:v>114.35343702134077</c:v>
                </c:pt>
                <c:pt idx="297">
                  <c:v>113.21348128736396</c:v>
                </c:pt>
                <c:pt idx="298">
                  <c:v>114.45648541850893</c:v>
                </c:pt>
                <c:pt idx="299">
                  <c:v>114.45648541850893</c:v>
                </c:pt>
                <c:pt idx="300">
                  <c:v>114.45648541850893</c:v>
                </c:pt>
                <c:pt idx="301">
                  <c:v>114.45648541850893</c:v>
                </c:pt>
                <c:pt idx="302">
                  <c:v>114.45648541850893</c:v>
                </c:pt>
                <c:pt idx="303">
                  <c:v>114.45648541850893</c:v>
                </c:pt>
                <c:pt idx="304">
                  <c:v>114.45648541850893</c:v>
                </c:pt>
                <c:pt idx="305">
                  <c:v>114.45648541850893</c:v>
                </c:pt>
                <c:pt idx="306">
                  <c:v>114.45648541850893</c:v>
                </c:pt>
                <c:pt idx="307">
                  <c:v>114.3754706073581</c:v>
                </c:pt>
                <c:pt idx="308">
                  <c:v>114.03217122156524</c:v>
                </c:pt>
                <c:pt idx="309">
                  <c:v>114.03217122156524</c:v>
                </c:pt>
                <c:pt idx="310">
                  <c:v>114.03217122156524</c:v>
                </c:pt>
                <c:pt idx="311">
                  <c:v>113.34522395475111</c:v>
                </c:pt>
                <c:pt idx="312">
                  <c:v>113.11253589290945</c:v>
                </c:pt>
                <c:pt idx="313">
                  <c:v>113.11253589290945</c:v>
                </c:pt>
                <c:pt idx="314">
                  <c:v>113.11253589290945</c:v>
                </c:pt>
                <c:pt idx="315">
                  <c:v>112.18900092199613</c:v>
                </c:pt>
                <c:pt idx="316">
                  <c:v>112.72598869474743</c:v>
                </c:pt>
                <c:pt idx="317">
                  <c:v>112.72598869474743</c:v>
                </c:pt>
                <c:pt idx="318">
                  <c:v>112.72598869474743</c:v>
                </c:pt>
                <c:pt idx="319">
                  <c:v>112.72598869474743</c:v>
                </c:pt>
                <c:pt idx="320">
                  <c:v>112.72598869474743</c:v>
                </c:pt>
                <c:pt idx="321">
                  <c:v>113.28326355801664</c:v>
                </c:pt>
                <c:pt idx="322">
                  <c:v>114.28672695508452</c:v>
                </c:pt>
                <c:pt idx="323">
                  <c:v>119.03274123511106</c:v>
                </c:pt>
                <c:pt idx="324">
                  <c:v>117.7050663726607</c:v>
                </c:pt>
                <c:pt idx="325">
                  <c:v>117.7050663726607</c:v>
                </c:pt>
                <c:pt idx="326">
                  <c:v>117.7050663726607</c:v>
                </c:pt>
                <c:pt idx="327">
                  <c:v>116.94012612009118</c:v>
                </c:pt>
                <c:pt idx="328">
                  <c:v>119.6914574960765</c:v>
                </c:pt>
                <c:pt idx="329">
                  <c:v>119.6914574960765</c:v>
                </c:pt>
                <c:pt idx="330">
                  <c:v>119.6914574960765</c:v>
                </c:pt>
                <c:pt idx="331">
                  <c:v>119.6914574960765</c:v>
                </c:pt>
                <c:pt idx="332">
                  <c:v>119.6914574960765</c:v>
                </c:pt>
                <c:pt idx="333">
                  <c:v>119.6914574960765</c:v>
                </c:pt>
                <c:pt idx="334">
                  <c:v>119.6914574960765</c:v>
                </c:pt>
                <c:pt idx="335">
                  <c:v>119.6914574960765</c:v>
                </c:pt>
                <c:pt idx="336">
                  <c:v>119.6914574960765</c:v>
                </c:pt>
                <c:pt idx="337">
                  <c:v>119.6914574960765</c:v>
                </c:pt>
                <c:pt idx="338">
                  <c:v>118.65018518879403</c:v>
                </c:pt>
                <c:pt idx="339">
                  <c:v>119.89187876247415</c:v>
                </c:pt>
                <c:pt idx="340">
                  <c:v>119.89187876247415</c:v>
                </c:pt>
                <c:pt idx="341">
                  <c:v>119.89187876247415</c:v>
                </c:pt>
                <c:pt idx="342">
                  <c:v>119.89187876247415</c:v>
                </c:pt>
                <c:pt idx="343">
                  <c:v>119.89187876247415</c:v>
                </c:pt>
                <c:pt idx="344">
                  <c:v>119.89187876247415</c:v>
                </c:pt>
                <c:pt idx="345">
                  <c:v>119.89187876247415</c:v>
                </c:pt>
                <c:pt idx="346">
                  <c:v>119.89187876247415</c:v>
                </c:pt>
                <c:pt idx="347">
                  <c:v>119.89187876247415</c:v>
                </c:pt>
                <c:pt idx="348">
                  <c:v>121.42682018788986</c:v>
                </c:pt>
                <c:pt idx="349">
                  <c:v>120.67948879897023</c:v>
                </c:pt>
                <c:pt idx="350">
                  <c:v>120.21003720596664</c:v>
                </c:pt>
                <c:pt idx="351">
                  <c:v>122.20924007576623</c:v>
                </c:pt>
                <c:pt idx="352">
                  <c:v>119.95178291178561</c:v>
                </c:pt>
                <c:pt idx="353">
                  <c:v>119.51170313733628</c:v>
                </c:pt>
                <c:pt idx="354">
                  <c:v>119.51170313733628</c:v>
                </c:pt>
                <c:pt idx="355">
                  <c:v>119.51170313733628</c:v>
                </c:pt>
                <c:pt idx="356">
                  <c:v>119.51170313733628</c:v>
                </c:pt>
                <c:pt idx="357">
                  <c:v>119.51170313733628</c:v>
                </c:pt>
                <c:pt idx="358">
                  <c:v>119.51170313733628</c:v>
                </c:pt>
                <c:pt idx="359">
                  <c:v>119.51170313733628</c:v>
                </c:pt>
                <c:pt idx="360">
                  <c:v>119.51170313733628</c:v>
                </c:pt>
                <c:pt idx="361">
                  <c:v>119.51170313733628</c:v>
                </c:pt>
                <c:pt idx="362">
                  <c:v>119.51170313733628</c:v>
                </c:pt>
                <c:pt idx="363">
                  <c:v>119.51170313733628</c:v>
                </c:pt>
                <c:pt idx="364">
                  <c:v>119.51170313733628</c:v>
                </c:pt>
                <c:pt idx="365">
                  <c:v>119.51170313733628</c:v>
                </c:pt>
                <c:pt idx="366">
                  <c:v>119.51170313733628</c:v>
                </c:pt>
                <c:pt idx="367">
                  <c:v>119.51170313733628</c:v>
                </c:pt>
                <c:pt idx="368">
                  <c:v>119.51170313733628</c:v>
                </c:pt>
                <c:pt idx="369">
                  <c:v>119.51170313733628</c:v>
                </c:pt>
                <c:pt idx="370">
                  <c:v>119.51170313733628</c:v>
                </c:pt>
                <c:pt idx="371">
                  <c:v>119.51170313733628</c:v>
                </c:pt>
                <c:pt idx="372">
                  <c:v>119.51170313733628</c:v>
                </c:pt>
                <c:pt idx="373">
                  <c:v>119.51170313733628</c:v>
                </c:pt>
                <c:pt idx="374">
                  <c:v>119.51170313733628</c:v>
                </c:pt>
                <c:pt idx="375">
                  <c:v>119.51170313733628</c:v>
                </c:pt>
                <c:pt idx="376">
                  <c:v>119.51170313733628</c:v>
                </c:pt>
                <c:pt idx="377">
                  <c:v>119.51170313733628</c:v>
                </c:pt>
                <c:pt idx="378">
                  <c:v>119.51170313733628</c:v>
                </c:pt>
                <c:pt idx="379">
                  <c:v>119.51170313733628</c:v>
                </c:pt>
                <c:pt idx="380">
                  <c:v>119.51170313733628</c:v>
                </c:pt>
                <c:pt idx="381">
                  <c:v>119.51170313733628</c:v>
                </c:pt>
                <c:pt idx="382">
                  <c:v>119.51170313733628</c:v>
                </c:pt>
                <c:pt idx="383">
                  <c:v>119.51170313733628</c:v>
                </c:pt>
                <c:pt idx="384">
                  <c:v>119.51170313733628</c:v>
                </c:pt>
                <c:pt idx="385">
                  <c:v>119.51170313733628</c:v>
                </c:pt>
                <c:pt idx="386">
                  <c:v>119.51170313733628</c:v>
                </c:pt>
                <c:pt idx="387">
                  <c:v>119.51170313733628</c:v>
                </c:pt>
                <c:pt idx="388">
                  <c:v>119.51170313733628</c:v>
                </c:pt>
                <c:pt idx="389">
                  <c:v>119.51170313733628</c:v>
                </c:pt>
                <c:pt idx="390">
                  <c:v>119.51170313733628</c:v>
                </c:pt>
                <c:pt idx="391">
                  <c:v>119.51170313733628</c:v>
                </c:pt>
                <c:pt idx="392">
                  <c:v>119.51170313733628</c:v>
                </c:pt>
                <c:pt idx="393">
                  <c:v>119.51170313733628</c:v>
                </c:pt>
                <c:pt idx="394">
                  <c:v>119.51170313733628</c:v>
                </c:pt>
                <c:pt idx="395">
                  <c:v>119.51170313733628</c:v>
                </c:pt>
                <c:pt idx="396">
                  <c:v>119.51170313733628</c:v>
                </c:pt>
                <c:pt idx="397">
                  <c:v>119.51170313733628</c:v>
                </c:pt>
                <c:pt idx="398">
                  <c:v>119.51170313733628</c:v>
                </c:pt>
                <c:pt idx="399">
                  <c:v>119.51170313733628</c:v>
                </c:pt>
                <c:pt idx="400">
                  <c:v>119.51170313733628</c:v>
                </c:pt>
                <c:pt idx="401">
                  <c:v>119.51170313733628</c:v>
                </c:pt>
                <c:pt idx="402">
                  <c:v>119.51170313733628</c:v>
                </c:pt>
                <c:pt idx="403">
                  <c:v>119.51170313733628</c:v>
                </c:pt>
                <c:pt idx="404">
                  <c:v>119.51170313733628</c:v>
                </c:pt>
                <c:pt idx="405">
                  <c:v>119.51170313733628</c:v>
                </c:pt>
                <c:pt idx="406">
                  <c:v>117.87019762848311</c:v>
                </c:pt>
                <c:pt idx="407">
                  <c:v>118.81909185205512</c:v>
                </c:pt>
                <c:pt idx="408">
                  <c:v>118.81909185205512</c:v>
                </c:pt>
                <c:pt idx="409">
                  <c:v>118.81909185205512</c:v>
                </c:pt>
                <c:pt idx="410">
                  <c:v>118.81909185205512</c:v>
                </c:pt>
                <c:pt idx="411">
                  <c:v>118.81909185205512</c:v>
                </c:pt>
                <c:pt idx="412">
                  <c:v>121.15398798365574</c:v>
                </c:pt>
                <c:pt idx="413">
                  <c:v>121.62268742500925</c:v>
                </c:pt>
                <c:pt idx="414">
                  <c:v>121.62268742500925</c:v>
                </c:pt>
                <c:pt idx="415">
                  <c:v>121.62268742500925</c:v>
                </c:pt>
                <c:pt idx="416">
                  <c:v>120.08806225591677</c:v>
                </c:pt>
                <c:pt idx="417">
                  <c:v>117.94628101987549</c:v>
                </c:pt>
                <c:pt idx="418">
                  <c:v>116.73150392754211</c:v>
                </c:pt>
                <c:pt idx="419">
                  <c:v>116.18684458676223</c:v>
                </c:pt>
                <c:pt idx="420">
                  <c:v>116.01039221949415</c:v>
                </c:pt>
                <c:pt idx="421">
                  <c:v>115.20265313742448</c:v>
                </c:pt>
                <c:pt idx="422">
                  <c:v>115.20265313742448</c:v>
                </c:pt>
                <c:pt idx="423">
                  <c:v>115.20265313742448</c:v>
                </c:pt>
                <c:pt idx="424">
                  <c:v>115.20265313742448</c:v>
                </c:pt>
                <c:pt idx="425">
                  <c:v>115.20265313742448</c:v>
                </c:pt>
                <c:pt idx="426">
                  <c:v>115.97403295897406</c:v>
                </c:pt>
                <c:pt idx="427">
                  <c:v>114.16529417401533</c:v>
                </c:pt>
                <c:pt idx="428">
                  <c:v>112.00124131369992</c:v>
                </c:pt>
                <c:pt idx="429">
                  <c:v>112.04315082649802</c:v>
                </c:pt>
                <c:pt idx="430">
                  <c:v>112.04315082649802</c:v>
                </c:pt>
                <c:pt idx="431">
                  <c:v>112.04315082649802</c:v>
                </c:pt>
                <c:pt idx="432">
                  <c:v>113.43660983793274</c:v>
                </c:pt>
                <c:pt idx="433">
                  <c:v>113.90187435181676</c:v>
                </c:pt>
                <c:pt idx="434">
                  <c:v>115.065308288629</c:v>
                </c:pt>
                <c:pt idx="435">
                  <c:v>114.35435532541109</c:v>
                </c:pt>
                <c:pt idx="436">
                  <c:v>114.35435532541109</c:v>
                </c:pt>
                <c:pt idx="437">
                  <c:v>114.35435532541109</c:v>
                </c:pt>
                <c:pt idx="438">
                  <c:v>114.35435532541109</c:v>
                </c:pt>
                <c:pt idx="439">
                  <c:v>114.35435532541109</c:v>
                </c:pt>
                <c:pt idx="440">
                  <c:v>114.35435532541109</c:v>
                </c:pt>
                <c:pt idx="441">
                  <c:v>114.35435532541109</c:v>
                </c:pt>
                <c:pt idx="442">
                  <c:v>114.35435532541109</c:v>
                </c:pt>
                <c:pt idx="443">
                  <c:v>114.35435532541109</c:v>
                </c:pt>
                <c:pt idx="444">
                  <c:v>113.85891812658865</c:v>
                </c:pt>
                <c:pt idx="445">
                  <c:v>114.40684228822641</c:v>
                </c:pt>
                <c:pt idx="446">
                  <c:v>114.40684228822641</c:v>
                </c:pt>
                <c:pt idx="447">
                  <c:v>114.40684228822641</c:v>
                </c:pt>
                <c:pt idx="448">
                  <c:v>115.62998412494342</c:v>
                </c:pt>
                <c:pt idx="449">
                  <c:v>114.59129381441466</c:v>
                </c:pt>
                <c:pt idx="450">
                  <c:v>114.59129381441466</c:v>
                </c:pt>
                <c:pt idx="451">
                  <c:v>114.59129381441466</c:v>
                </c:pt>
                <c:pt idx="452">
                  <c:v>115.38117309658379</c:v>
                </c:pt>
                <c:pt idx="453">
                  <c:v>114.10864460302504</c:v>
                </c:pt>
                <c:pt idx="454">
                  <c:v>114.10864460302504</c:v>
                </c:pt>
                <c:pt idx="455">
                  <c:v>114.10864460302504</c:v>
                </c:pt>
                <c:pt idx="456">
                  <c:v>114.10864460302504</c:v>
                </c:pt>
                <c:pt idx="457">
                  <c:v>114.10864460302504</c:v>
                </c:pt>
                <c:pt idx="458">
                  <c:v>114.10864460302504</c:v>
                </c:pt>
                <c:pt idx="459">
                  <c:v>114.10864460302504</c:v>
                </c:pt>
                <c:pt idx="460">
                  <c:v>113.25399988062244</c:v>
                </c:pt>
                <c:pt idx="461">
                  <c:v>112.33701513303843</c:v>
                </c:pt>
                <c:pt idx="462">
                  <c:v>112.33701513303843</c:v>
                </c:pt>
                <c:pt idx="463">
                  <c:v>112.33701513303843</c:v>
                </c:pt>
                <c:pt idx="464">
                  <c:v>112.33701513303843</c:v>
                </c:pt>
                <c:pt idx="465">
                  <c:v>112.33701513303843</c:v>
                </c:pt>
                <c:pt idx="466">
                  <c:v>112.33701513303843</c:v>
                </c:pt>
                <c:pt idx="467">
                  <c:v>112.33701513303843</c:v>
                </c:pt>
                <c:pt idx="468">
                  <c:v>111.26555994591628</c:v>
                </c:pt>
                <c:pt idx="469">
                  <c:v>110.59211001201754</c:v>
                </c:pt>
                <c:pt idx="470">
                  <c:v>110.59211001201754</c:v>
                </c:pt>
                <c:pt idx="471">
                  <c:v>110.59211001201754</c:v>
                </c:pt>
                <c:pt idx="472">
                  <c:v>110.55361980993673</c:v>
                </c:pt>
                <c:pt idx="473">
                  <c:v>111.96690755473693</c:v>
                </c:pt>
                <c:pt idx="474">
                  <c:v>111.2920274651762</c:v>
                </c:pt>
                <c:pt idx="475">
                  <c:v>111.96165139371935</c:v>
                </c:pt>
                <c:pt idx="476">
                  <c:v>111.96165139371935</c:v>
                </c:pt>
                <c:pt idx="477">
                  <c:v>111.96165139371935</c:v>
                </c:pt>
                <c:pt idx="478">
                  <c:v>111.96165139371935</c:v>
                </c:pt>
                <c:pt idx="479">
                  <c:v>111.96165139371935</c:v>
                </c:pt>
                <c:pt idx="480">
                  <c:v>111.96165139371935</c:v>
                </c:pt>
                <c:pt idx="481">
                  <c:v>111.96165139371935</c:v>
                </c:pt>
                <c:pt idx="482">
                  <c:v>111.96165139371935</c:v>
                </c:pt>
                <c:pt idx="483">
                  <c:v>111.96165139371935</c:v>
                </c:pt>
                <c:pt idx="484">
                  <c:v>112.68108038477423</c:v>
                </c:pt>
                <c:pt idx="485">
                  <c:v>113.80841523826528</c:v>
                </c:pt>
                <c:pt idx="486">
                  <c:v>113.80841523826528</c:v>
                </c:pt>
                <c:pt idx="487">
                  <c:v>113.80841523826528</c:v>
                </c:pt>
                <c:pt idx="488">
                  <c:v>113.80841523826528</c:v>
                </c:pt>
                <c:pt idx="489">
                  <c:v>113.80841523826528</c:v>
                </c:pt>
                <c:pt idx="490">
                  <c:v>113.80841523826528</c:v>
                </c:pt>
                <c:pt idx="491">
                  <c:v>113.80841523826528</c:v>
                </c:pt>
                <c:pt idx="492">
                  <c:v>115.29212135691897</c:v>
                </c:pt>
                <c:pt idx="493">
                  <c:v>114.88672284814943</c:v>
                </c:pt>
                <c:pt idx="494">
                  <c:v>116.62559904711564</c:v>
                </c:pt>
                <c:pt idx="495">
                  <c:v>115.67422313435212</c:v>
                </c:pt>
                <c:pt idx="496">
                  <c:v>116.4794523887409</c:v>
                </c:pt>
                <c:pt idx="497">
                  <c:v>112.48310679834741</c:v>
                </c:pt>
                <c:pt idx="498">
                  <c:v>112.48310679834741</c:v>
                </c:pt>
                <c:pt idx="499">
                  <c:v>112.48310679834741</c:v>
                </c:pt>
                <c:pt idx="500">
                  <c:v>112.48310679834741</c:v>
                </c:pt>
                <c:pt idx="501">
                  <c:v>112.48310679834741</c:v>
                </c:pt>
                <c:pt idx="502">
                  <c:v>112.48310679834741</c:v>
                </c:pt>
                <c:pt idx="503">
                  <c:v>112.48310679834741</c:v>
                </c:pt>
                <c:pt idx="504">
                  <c:v>112.48310679834741</c:v>
                </c:pt>
                <c:pt idx="505">
                  <c:v>112.48310679834741</c:v>
                </c:pt>
                <c:pt idx="506">
                  <c:v>112.48310679834741</c:v>
                </c:pt>
                <c:pt idx="507">
                  <c:v>112.37437863503925</c:v>
                </c:pt>
                <c:pt idx="508">
                  <c:v>113.46131166684883</c:v>
                </c:pt>
                <c:pt idx="509">
                  <c:v>113.46131166684883</c:v>
                </c:pt>
                <c:pt idx="510">
                  <c:v>113.46131166684883</c:v>
                </c:pt>
                <c:pt idx="511">
                  <c:v>113.46131166684883</c:v>
                </c:pt>
                <c:pt idx="512">
                  <c:v>113.46131166684883</c:v>
                </c:pt>
                <c:pt idx="513">
                  <c:v>114.70468415380692</c:v>
                </c:pt>
                <c:pt idx="514">
                  <c:v>115.24018827230464</c:v>
                </c:pt>
                <c:pt idx="515">
                  <c:v>114.41999709683257</c:v>
                </c:pt>
                <c:pt idx="516">
                  <c:v>114.55700465733739</c:v>
                </c:pt>
                <c:pt idx="517">
                  <c:v>114.55700465733739</c:v>
                </c:pt>
                <c:pt idx="518">
                  <c:v>114.55700465733739</c:v>
                </c:pt>
                <c:pt idx="519">
                  <c:v>114.55700465733739</c:v>
                </c:pt>
                <c:pt idx="520">
                  <c:v>114.55700465733739</c:v>
                </c:pt>
                <c:pt idx="521">
                  <c:v>117.39492842332966</c:v>
                </c:pt>
                <c:pt idx="522">
                  <c:v>117.123478838868</c:v>
                </c:pt>
                <c:pt idx="523">
                  <c:v>117.123478838868</c:v>
                </c:pt>
                <c:pt idx="524">
                  <c:v>117.123478838868</c:v>
                </c:pt>
                <c:pt idx="525">
                  <c:v>117.123478838868</c:v>
                </c:pt>
                <c:pt idx="526">
                  <c:v>117.123478838868</c:v>
                </c:pt>
                <c:pt idx="527">
                  <c:v>117.123478838868</c:v>
                </c:pt>
                <c:pt idx="528">
                  <c:v>117.123478838868</c:v>
                </c:pt>
                <c:pt idx="529">
                  <c:v>116.9187575722336</c:v>
                </c:pt>
                <c:pt idx="530">
                  <c:v>117.49978695184252</c:v>
                </c:pt>
                <c:pt idx="531">
                  <c:v>117.49978695184252</c:v>
                </c:pt>
                <c:pt idx="532">
                  <c:v>117.49978695184252</c:v>
                </c:pt>
                <c:pt idx="533">
                  <c:v>117.49978695184252</c:v>
                </c:pt>
                <c:pt idx="534">
                  <c:v>117.49978695184252</c:v>
                </c:pt>
                <c:pt idx="535">
                  <c:v>117.49978695184252</c:v>
                </c:pt>
                <c:pt idx="536">
                  <c:v>117.49978695184252</c:v>
                </c:pt>
                <c:pt idx="537">
                  <c:v>117.49978695184252</c:v>
                </c:pt>
                <c:pt idx="538">
                  <c:v>117.49978695184252</c:v>
                </c:pt>
                <c:pt idx="539">
                  <c:v>117.49978695184252</c:v>
                </c:pt>
                <c:pt idx="540">
                  <c:v>117.49978695184252</c:v>
                </c:pt>
                <c:pt idx="541">
                  <c:v>117.49978695184252</c:v>
                </c:pt>
                <c:pt idx="542">
                  <c:v>117.49978695184252</c:v>
                </c:pt>
                <c:pt idx="543">
                  <c:v>117.49978695184252</c:v>
                </c:pt>
                <c:pt idx="544">
                  <c:v>117.49978695184252</c:v>
                </c:pt>
                <c:pt idx="545">
                  <c:v>117.49978695184252</c:v>
                </c:pt>
                <c:pt idx="546">
                  <c:v>117.49978695184252</c:v>
                </c:pt>
                <c:pt idx="547">
                  <c:v>117.49978695184252</c:v>
                </c:pt>
                <c:pt idx="548">
                  <c:v>117.49978695184252</c:v>
                </c:pt>
                <c:pt idx="549">
                  <c:v>117.49978695184252</c:v>
                </c:pt>
                <c:pt idx="550">
                  <c:v>117.49978695184252</c:v>
                </c:pt>
                <c:pt idx="551">
                  <c:v>117.49978695184252</c:v>
                </c:pt>
                <c:pt idx="552">
                  <c:v>117.49978695184252</c:v>
                </c:pt>
                <c:pt idx="553">
                  <c:v>117.49978695184252</c:v>
                </c:pt>
                <c:pt idx="554">
                  <c:v>117.49978695184252</c:v>
                </c:pt>
                <c:pt idx="555">
                  <c:v>117.49978695184252</c:v>
                </c:pt>
                <c:pt idx="556">
                  <c:v>117.49978695184252</c:v>
                </c:pt>
                <c:pt idx="557">
                  <c:v>117.49978695184252</c:v>
                </c:pt>
                <c:pt idx="558">
                  <c:v>117.49978695184252</c:v>
                </c:pt>
                <c:pt idx="559">
                  <c:v>117.49978695184252</c:v>
                </c:pt>
                <c:pt idx="560">
                  <c:v>117.49978695184252</c:v>
                </c:pt>
                <c:pt idx="561">
                  <c:v>117.49978695184252</c:v>
                </c:pt>
                <c:pt idx="562">
                  <c:v>117.49978695184252</c:v>
                </c:pt>
                <c:pt idx="563">
                  <c:v>117.49978695184252</c:v>
                </c:pt>
                <c:pt idx="564">
                  <c:v>117.49978695184252</c:v>
                </c:pt>
                <c:pt idx="565">
                  <c:v>117.49978695184252</c:v>
                </c:pt>
                <c:pt idx="566">
                  <c:v>117.49978695184252</c:v>
                </c:pt>
                <c:pt idx="567">
                  <c:v>117.49978695184252</c:v>
                </c:pt>
                <c:pt idx="568">
                  <c:v>117.49978695184252</c:v>
                </c:pt>
                <c:pt idx="569">
                  <c:v>117.49978695184252</c:v>
                </c:pt>
                <c:pt idx="570">
                  <c:v>117.49978695184252</c:v>
                </c:pt>
                <c:pt idx="571">
                  <c:v>117.49978695184252</c:v>
                </c:pt>
                <c:pt idx="572">
                  <c:v>117.49978695184252</c:v>
                </c:pt>
                <c:pt idx="573">
                  <c:v>117.49978695184252</c:v>
                </c:pt>
                <c:pt idx="574">
                  <c:v>117.49978695184252</c:v>
                </c:pt>
                <c:pt idx="575">
                  <c:v>117.49978695184252</c:v>
                </c:pt>
                <c:pt idx="576">
                  <c:v>117.49978695184252</c:v>
                </c:pt>
                <c:pt idx="577">
                  <c:v>117.49978695184252</c:v>
                </c:pt>
                <c:pt idx="578">
                  <c:v>117.49978695184252</c:v>
                </c:pt>
                <c:pt idx="579">
                  <c:v>117.49978695184252</c:v>
                </c:pt>
                <c:pt idx="580">
                  <c:v>117.49978695184252</c:v>
                </c:pt>
                <c:pt idx="581">
                  <c:v>117.49978695184252</c:v>
                </c:pt>
                <c:pt idx="582">
                  <c:v>117.49978695184252</c:v>
                </c:pt>
                <c:pt idx="583">
                  <c:v>117.49978695184252</c:v>
                </c:pt>
                <c:pt idx="584">
                  <c:v>117.49978695184252</c:v>
                </c:pt>
                <c:pt idx="585">
                  <c:v>117.49978695184252</c:v>
                </c:pt>
                <c:pt idx="586">
                  <c:v>117.49978695184252</c:v>
                </c:pt>
                <c:pt idx="587">
                  <c:v>117.49978695184252</c:v>
                </c:pt>
                <c:pt idx="588">
                  <c:v>117.49978695184252</c:v>
                </c:pt>
                <c:pt idx="589">
                  <c:v>117.49978695184252</c:v>
                </c:pt>
                <c:pt idx="590">
                  <c:v>117.49978695184252</c:v>
                </c:pt>
                <c:pt idx="591">
                  <c:v>117.49978695184252</c:v>
                </c:pt>
                <c:pt idx="592">
                  <c:v>117.49978695184252</c:v>
                </c:pt>
                <c:pt idx="593">
                  <c:v>117.49978695184252</c:v>
                </c:pt>
                <c:pt idx="594">
                  <c:v>117.49978695184252</c:v>
                </c:pt>
                <c:pt idx="595">
                  <c:v>117.49978695184252</c:v>
                </c:pt>
                <c:pt idx="596">
                  <c:v>117.49978695184252</c:v>
                </c:pt>
                <c:pt idx="597">
                  <c:v>117.49978695184252</c:v>
                </c:pt>
                <c:pt idx="598">
                  <c:v>117.49978695184252</c:v>
                </c:pt>
                <c:pt idx="599">
                  <c:v>117.49978695184252</c:v>
                </c:pt>
                <c:pt idx="600">
                  <c:v>117.49978695184252</c:v>
                </c:pt>
                <c:pt idx="601">
                  <c:v>117.49978695184252</c:v>
                </c:pt>
                <c:pt idx="602">
                  <c:v>117.49978695184252</c:v>
                </c:pt>
                <c:pt idx="603">
                  <c:v>117.49978695184252</c:v>
                </c:pt>
                <c:pt idx="604">
                  <c:v>117.49978695184252</c:v>
                </c:pt>
                <c:pt idx="605">
                  <c:v>117.49978695184252</c:v>
                </c:pt>
                <c:pt idx="606">
                  <c:v>117.49978695184252</c:v>
                </c:pt>
                <c:pt idx="607">
                  <c:v>117.49978695184252</c:v>
                </c:pt>
                <c:pt idx="608">
                  <c:v>117.49978695184252</c:v>
                </c:pt>
                <c:pt idx="609">
                  <c:v>117.49978695184252</c:v>
                </c:pt>
                <c:pt idx="610">
                  <c:v>117.49978695184252</c:v>
                </c:pt>
                <c:pt idx="611">
                  <c:v>117.49978695184252</c:v>
                </c:pt>
                <c:pt idx="612">
                  <c:v>117.49978695184252</c:v>
                </c:pt>
                <c:pt idx="613">
                  <c:v>117.49978695184252</c:v>
                </c:pt>
                <c:pt idx="614">
                  <c:v>117.49978695184252</c:v>
                </c:pt>
                <c:pt idx="615">
                  <c:v>117.49978695184252</c:v>
                </c:pt>
                <c:pt idx="616">
                  <c:v>117.49978695184252</c:v>
                </c:pt>
                <c:pt idx="617">
                  <c:v>117.49978695184252</c:v>
                </c:pt>
                <c:pt idx="618">
                  <c:v>117.49978695184252</c:v>
                </c:pt>
                <c:pt idx="619">
                  <c:v>117.49978695184252</c:v>
                </c:pt>
                <c:pt idx="620">
                  <c:v>117.49978695184252</c:v>
                </c:pt>
                <c:pt idx="621">
                  <c:v>117.49978695184252</c:v>
                </c:pt>
                <c:pt idx="622">
                  <c:v>117.49978695184252</c:v>
                </c:pt>
                <c:pt idx="623">
                  <c:v>117.49978695184252</c:v>
                </c:pt>
                <c:pt idx="624">
                  <c:v>117.49978695184252</c:v>
                </c:pt>
                <c:pt idx="625">
                  <c:v>117.49978695184252</c:v>
                </c:pt>
                <c:pt idx="626">
                  <c:v>117.49978695184252</c:v>
                </c:pt>
                <c:pt idx="627">
                  <c:v>117.49978695184252</c:v>
                </c:pt>
                <c:pt idx="628">
                  <c:v>117.49978695184252</c:v>
                </c:pt>
                <c:pt idx="629">
                  <c:v>117.49978695184252</c:v>
                </c:pt>
                <c:pt idx="630">
                  <c:v>117.49978695184252</c:v>
                </c:pt>
                <c:pt idx="631">
                  <c:v>117.49978695184252</c:v>
                </c:pt>
                <c:pt idx="632">
                  <c:v>117.49978695184252</c:v>
                </c:pt>
                <c:pt idx="633">
                  <c:v>117.49978695184252</c:v>
                </c:pt>
                <c:pt idx="634">
                  <c:v>117.49978695184252</c:v>
                </c:pt>
                <c:pt idx="635">
                  <c:v>117.49978695184252</c:v>
                </c:pt>
                <c:pt idx="636">
                  <c:v>117.49978695184252</c:v>
                </c:pt>
                <c:pt idx="637">
                  <c:v>117.49978695184252</c:v>
                </c:pt>
                <c:pt idx="638">
                  <c:v>117.49978695184252</c:v>
                </c:pt>
                <c:pt idx="639">
                  <c:v>117.49978695184252</c:v>
                </c:pt>
                <c:pt idx="640">
                  <c:v>117.49978695184252</c:v>
                </c:pt>
                <c:pt idx="641">
                  <c:v>117.49978695184252</c:v>
                </c:pt>
                <c:pt idx="642">
                  <c:v>117.49978695184252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Ranking!$R$3</c:f>
              <c:strCache>
                <c:ptCount val="1"/>
                <c:pt idx="0">
                  <c:v>Rene_P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Ranking!$AF$2:$AF$732</c:f>
              <c:numCache>
                <c:formatCode>General</c:formatCode>
                <c:ptCount val="731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</c:numCache>
            </c:numRef>
          </c:xVal>
          <c:yVal>
            <c:numRef>
              <c:f>Ranking!$AJ$2:$AJ$732</c:f>
              <c:numCache>
                <c:formatCode>General</c:formatCode>
                <c:ptCount val="731"/>
                <c:pt idx="0">
                  <c:v>37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102.17609248896345</c:v>
                </c:pt>
                <c:pt idx="9">
                  <c:v>104.61591054281757</c:v>
                </c:pt>
                <c:pt idx="10">
                  <c:v>101.48900245941834</c:v>
                </c:pt>
                <c:pt idx="11">
                  <c:v>101.93787653231263</c:v>
                </c:pt>
                <c:pt idx="12">
                  <c:v>101.93787653231263</c:v>
                </c:pt>
                <c:pt idx="13">
                  <c:v>101.93787653231263</c:v>
                </c:pt>
                <c:pt idx="14">
                  <c:v>101.93787653231263</c:v>
                </c:pt>
                <c:pt idx="15">
                  <c:v>101.93787653231263</c:v>
                </c:pt>
                <c:pt idx="16">
                  <c:v>101.93787653231263</c:v>
                </c:pt>
                <c:pt idx="17">
                  <c:v>101.93787653231263</c:v>
                </c:pt>
                <c:pt idx="18">
                  <c:v>101.31365206480258</c:v>
                </c:pt>
                <c:pt idx="19">
                  <c:v>97.146605546419963</c:v>
                </c:pt>
                <c:pt idx="20">
                  <c:v>102.03104439537819</c:v>
                </c:pt>
                <c:pt idx="21">
                  <c:v>102.30656657405891</c:v>
                </c:pt>
                <c:pt idx="22">
                  <c:v>102.30656657405891</c:v>
                </c:pt>
                <c:pt idx="23">
                  <c:v>102.30656657405891</c:v>
                </c:pt>
                <c:pt idx="24">
                  <c:v>98.811850330442752</c:v>
                </c:pt>
                <c:pt idx="25">
                  <c:v>96.997769652724728</c:v>
                </c:pt>
                <c:pt idx="26">
                  <c:v>96.997769652724728</c:v>
                </c:pt>
                <c:pt idx="27">
                  <c:v>96.997769652724728</c:v>
                </c:pt>
                <c:pt idx="28">
                  <c:v>96.997769652724728</c:v>
                </c:pt>
                <c:pt idx="29">
                  <c:v>95.915048581280658</c:v>
                </c:pt>
                <c:pt idx="30">
                  <c:v>95.530119180877989</c:v>
                </c:pt>
                <c:pt idx="31">
                  <c:v>95.530119180877989</c:v>
                </c:pt>
                <c:pt idx="32">
                  <c:v>95.530119180877989</c:v>
                </c:pt>
                <c:pt idx="33">
                  <c:v>95.530119180877989</c:v>
                </c:pt>
                <c:pt idx="34">
                  <c:v>95.530119180877989</c:v>
                </c:pt>
                <c:pt idx="35">
                  <c:v>95.530119180877989</c:v>
                </c:pt>
                <c:pt idx="36">
                  <c:v>95.530119180877989</c:v>
                </c:pt>
                <c:pt idx="37">
                  <c:v>95.684773987807901</c:v>
                </c:pt>
                <c:pt idx="38">
                  <c:v>95.805983933534151</c:v>
                </c:pt>
                <c:pt idx="39">
                  <c:v>95.805983933534151</c:v>
                </c:pt>
                <c:pt idx="40">
                  <c:v>95.805983933534151</c:v>
                </c:pt>
                <c:pt idx="41">
                  <c:v>95.805983933534151</c:v>
                </c:pt>
                <c:pt idx="42">
                  <c:v>95.805983933534151</c:v>
                </c:pt>
                <c:pt idx="43">
                  <c:v>97.32797245013559</c:v>
                </c:pt>
                <c:pt idx="44">
                  <c:v>97.275128219979948</c:v>
                </c:pt>
                <c:pt idx="45">
                  <c:v>97.275128219979948</c:v>
                </c:pt>
                <c:pt idx="46">
                  <c:v>97.275128219979948</c:v>
                </c:pt>
                <c:pt idx="47">
                  <c:v>97.275128219979948</c:v>
                </c:pt>
                <c:pt idx="48">
                  <c:v>97.275128219979948</c:v>
                </c:pt>
                <c:pt idx="49">
                  <c:v>97.275128219979948</c:v>
                </c:pt>
                <c:pt idx="50">
                  <c:v>97.275128219979948</c:v>
                </c:pt>
                <c:pt idx="51">
                  <c:v>97.275128219979948</c:v>
                </c:pt>
                <c:pt idx="52">
                  <c:v>97.275128219979948</c:v>
                </c:pt>
                <c:pt idx="53">
                  <c:v>97.275128219979948</c:v>
                </c:pt>
                <c:pt idx="54">
                  <c:v>97.275128219979948</c:v>
                </c:pt>
                <c:pt idx="55">
                  <c:v>97.275128219979948</c:v>
                </c:pt>
                <c:pt idx="56">
                  <c:v>97.275128219979948</c:v>
                </c:pt>
                <c:pt idx="57">
                  <c:v>97.275128219979948</c:v>
                </c:pt>
                <c:pt idx="58">
                  <c:v>97.275128219979948</c:v>
                </c:pt>
                <c:pt idx="59">
                  <c:v>97.275128219979948</c:v>
                </c:pt>
                <c:pt idx="60">
                  <c:v>97.275128219979948</c:v>
                </c:pt>
                <c:pt idx="61">
                  <c:v>97.275128219979948</c:v>
                </c:pt>
                <c:pt idx="62">
                  <c:v>97.275128219979948</c:v>
                </c:pt>
                <c:pt idx="63">
                  <c:v>98.279811868662179</c:v>
                </c:pt>
                <c:pt idx="64">
                  <c:v>98.572745214648748</c:v>
                </c:pt>
                <c:pt idx="65">
                  <c:v>98.572745214648748</c:v>
                </c:pt>
                <c:pt idx="66">
                  <c:v>98.572745214648748</c:v>
                </c:pt>
                <c:pt idx="67">
                  <c:v>99.084034996863892</c:v>
                </c:pt>
                <c:pt idx="68">
                  <c:v>96.563695811885282</c:v>
                </c:pt>
                <c:pt idx="69">
                  <c:v>97.060040016964933</c:v>
                </c:pt>
                <c:pt idx="70">
                  <c:v>95.407311303458698</c:v>
                </c:pt>
                <c:pt idx="71">
                  <c:v>95.407311303458698</c:v>
                </c:pt>
                <c:pt idx="72">
                  <c:v>95.407311303458698</c:v>
                </c:pt>
                <c:pt idx="73">
                  <c:v>95.474563620985066</c:v>
                </c:pt>
                <c:pt idx="74">
                  <c:v>94.442143983388689</c:v>
                </c:pt>
                <c:pt idx="75">
                  <c:v>93.817313755269367</c:v>
                </c:pt>
                <c:pt idx="76">
                  <c:v>92.260893012035694</c:v>
                </c:pt>
                <c:pt idx="77">
                  <c:v>92.260893012035694</c:v>
                </c:pt>
                <c:pt idx="78">
                  <c:v>92.260893012035694</c:v>
                </c:pt>
                <c:pt idx="79">
                  <c:v>91.846559693684327</c:v>
                </c:pt>
                <c:pt idx="80">
                  <c:v>92.127908063259142</c:v>
                </c:pt>
                <c:pt idx="81">
                  <c:v>92.127908063259142</c:v>
                </c:pt>
                <c:pt idx="82">
                  <c:v>92.127908063259142</c:v>
                </c:pt>
                <c:pt idx="83">
                  <c:v>92.127908063259142</c:v>
                </c:pt>
                <c:pt idx="84">
                  <c:v>92.127908063259142</c:v>
                </c:pt>
                <c:pt idx="85">
                  <c:v>92.127908063259142</c:v>
                </c:pt>
                <c:pt idx="86">
                  <c:v>92.127908063259142</c:v>
                </c:pt>
                <c:pt idx="87">
                  <c:v>92.415860305230041</c:v>
                </c:pt>
                <c:pt idx="88">
                  <c:v>91.776020823630162</c:v>
                </c:pt>
                <c:pt idx="89">
                  <c:v>91.776020823630162</c:v>
                </c:pt>
                <c:pt idx="90">
                  <c:v>91.776020823630162</c:v>
                </c:pt>
                <c:pt idx="91">
                  <c:v>93.060774050093528</c:v>
                </c:pt>
                <c:pt idx="92">
                  <c:v>91.884582809774884</c:v>
                </c:pt>
                <c:pt idx="93">
                  <c:v>91.884582809774884</c:v>
                </c:pt>
                <c:pt idx="94">
                  <c:v>91.884582809774884</c:v>
                </c:pt>
                <c:pt idx="95">
                  <c:v>91.445962900340646</c:v>
                </c:pt>
                <c:pt idx="96">
                  <c:v>92.873826818487814</c:v>
                </c:pt>
                <c:pt idx="97">
                  <c:v>92.873826818487814</c:v>
                </c:pt>
                <c:pt idx="98">
                  <c:v>92.873826818487814</c:v>
                </c:pt>
                <c:pt idx="99">
                  <c:v>94.080809289464426</c:v>
                </c:pt>
                <c:pt idx="100">
                  <c:v>94.655590368962422</c:v>
                </c:pt>
                <c:pt idx="101">
                  <c:v>94.655590368962422</c:v>
                </c:pt>
                <c:pt idx="102">
                  <c:v>94.592913276284676</c:v>
                </c:pt>
                <c:pt idx="103">
                  <c:v>93.972607776623789</c:v>
                </c:pt>
                <c:pt idx="104">
                  <c:v>93.972607776623789</c:v>
                </c:pt>
                <c:pt idx="105">
                  <c:v>93.972607776623789</c:v>
                </c:pt>
                <c:pt idx="106">
                  <c:v>93.972607776623789</c:v>
                </c:pt>
                <c:pt idx="107">
                  <c:v>93.972607776623789</c:v>
                </c:pt>
                <c:pt idx="108">
                  <c:v>93.972607776623789</c:v>
                </c:pt>
                <c:pt idx="109">
                  <c:v>93.972607776623789</c:v>
                </c:pt>
                <c:pt idx="110">
                  <c:v>94.656766845083979</c:v>
                </c:pt>
                <c:pt idx="111">
                  <c:v>94.429978479483339</c:v>
                </c:pt>
                <c:pt idx="112">
                  <c:v>94.429978479483339</c:v>
                </c:pt>
                <c:pt idx="113">
                  <c:v>94.429978479483339</c:v>
                </c:pt>
                <c:pt idx="114">
                  <c:v>94.429978479483339</c:v>
                </c:pt>
                <c:pt idx="115">
                  <c:v>94.429978479483339</c:v>
                </c:pt>
                <c:pt idx="116">
                  <c:v>94.429978479483339</c:v>
                </c:pt>
                <c:pt idx="117">
                  <c:v>94.429978479483339</c:v>
                </c:pt>
                <c:pt idx="118">
                  <c:v>94.429978479483339</c:v>
                </c:pt>
                <c:pt idx="119">
                  <c:v>94.429978479483339</c:v>
                </c:pt>
                <c:pt idx="120">
                  <c:v>93.485300827800813</c:v>
                </c:pt>
                <c:pt idx="121">
                  <c:v>94.122758132868739</c:v>
                </c:pt>
                <c:pt idx="122">
                  <c:v>94.122758132868739</c:v>
                </c:pt>
                <c:pt idx="123">
                  <c:v>94.122758132868739</c:v>
                </c:pt>
                <c:pt idx="124">
                  <c:v>94.122758132868739</c:v>
                </c:pt>
                <c:pt idx="125">
                  <c:v>94.122758132868739</c:v>
                </c:pt>
                <c:pt idx="126">
                  <c:v>94.122758132868739</c:v>
                </c:pt>
                <c:pt idx="127">
                  <c:v>94.122758132868739</c:v>
                </c:pt>
                <c:pt idx="128">
                  <c:v>93.716489896778157</c:v>
                </c:pt>
                <c:pt idx="129">
                  <c:v>91.676658801437512</c:v>
                </c:pt>
                <c:pt idx="130">
                  <c:v>91.676658801437512</c:v>
                </c:pt>
                <c:pt idx="131">
                  <c:v>91.676658801437512</c:v>
                </c:pt>
                <c:pt idx="132">
                  <c:v>91.676658801437512</c:v>
                </c:pt>
                <c:pt idx="133">
                  <c:v>91.676658801437512</c:v>
                </c:pt>
                <c:pt idx="134">
                  <c:v>91.781542577769429</c:v>
                </c:pt>
                <c:pt idx="135">
                  <c:v>92.272477692232357</c:v>
                </c:pt>
                <c:pt idx="136">
                  <c:v>92.272477692232357</c:v>
                </c:pt>
                <c:pt idx="137">
                  <c:v>92.272477692232357</c:v>
                </c:pt>
                <c:pt idx="138">
                  <c:v>92.272477692232357</c:v>
                </c:pt>
                <c:pt idx="139">
                  <c:v>92.272477692232357</c:v>
                </c:pt>
                <c:pt idx="140">
                  <c:v>92.485016378993279</c:v>
                </c:pt>
                <c:pt idx="141">
                  <c:v>93.260046036511824</c:v>
                </c:pt>
                <c:pt idx="142">
                  <c:v>93.260046036511824</c:v>
                </c:pt>
                <c:pt idx="143">
                  <c:v>93.260046036511824</c:v>
                </c:pt>
                <c:pt idx="144">
                  <c:v>94.850432820757391</c:v>
                </c:pt>
                <c:pt idx="145">
                  <c:v>93.775343307918618</c:v>
                </c:pt>
                <c:pt idx="146">
                  <c:v>93.775343307918618</c:v>
                </c:pt>
                <c:pt idx="147">
                  <c:v>93.775343307918618</c:v>
                </c:pt>
                <c:pt idx="148">
                  <c:v>93.775343307918618</c:v>
                </c:pt>
                <c:pt idx="149">
                  <c:v>93.775343307918618</c:v>
                </c:pt>
                <c:pt idx="150">
                  <c:v>93.775343307918618</c:v>
                </c:pt>
                <c:pt idx="151">
                  <c:v>93.775343307918618</c:v>
                </c:pt>
                <c:pt idx="152">
                  <c:v>93.775343307918618</c:v>
                </c:pt>
                <c:pt idx="153">
                  <c:v>93.775343307918618</c:v>
                </c:pt>
                <c:pt idx="154">
                  <c:v>93.775343307918618</c:v>
                </c:pt>
                <c:pt idx="155">
                  <c:v>93.775343307918618</c:v>
                </c:pt>
                <c:pt idx="156">
                  <c:v>93.966745188693196</c:v>
                </c:pt>
                <c:pt idx="157">
                  <c:v>93.043087193034467</c:v>
                </c:pt>
                <c:pt idx="158">
                  <c:v>93.043087193034467</c:v>
                </c:pt>
                <c:pt idx="159">
                  <c:v>93.043087193034467</c:v>
                </c:pt>
                <c:pt idx="160">
                  <c:v>93.319814333059526</c:v>
                </c:pt>
                <c:pt idx="161">
                  <c:v>92.932502579021659</c:v>
                </c:pt>
                <c:pt idx="162">
                  <c:v>92.775887633136506</c:v>
                </c:pt>
                <c:pt idx="163">
                  <c:v>92.33212835037989</c:v>
                </c:pt>
                <c:pt idx="164">
                  <c:v>93.209057771936614</c:v>
                </c:pt>
                <c:pt idx="165">
                  <c:v>96.560019120726452</c:v>
                </c:pt>
                <c:pt idx="166">
                  <c:v>96.560019120726452</c:v>
                </c:pt>
                <c:pt idx="167">
                  <c:v>96.560019120726452</c:v>
                </c:pt>
                <c:pt idx="168">
                  <c:v>96.560019120726452</c:v>
                </c:pt>
                <c:pt idx="169">
                  <c:v>96.560019120726452</c:v>
                </c:pt>
                <c:pt idx="170">
                  <c:v>96.560019120726452</c:v>
                </c:pt>
                <c:pt idx="171">
                  <c:v>96.560019120726452</c:v>
                </c:pt>
                <c:pt idx="172">
                  <c:v>96.331235389289319</c:v>
                </c:pt>
                <c:pt idx="173">
                  <c:v>96.820677942116262</c:v>
                </c:pt>
                <c:pt idx="174">
                  <c:v>96.172973061543473</c:v>
                </c:pt>
                <c:pt idx="175">
                  <c:v>96.172973061543473</c:v>
                </c:pt>
                <c:pt idx="176">
                  <c:v>96.172973061543473</c:v>
                </c:pt>
                <c:pt idx="177">
                  <c:v>96.172973061543473</c:v>
                </c:pt>
                <c:pt idx="178">
                  <c:v>96.172973061543473</c:v>
                </c:pt>
                <c:pt idx="179">
                  <c:v>96.172973061543473</c:v>
                </c:pt>
                <c:pt idx="180">
                  <c:v>96.172973061543473</c:v>
                </c:pt>
                <c:pt idx="181">
                  <c:v>95.746837280263904</c:v>
                </c:pt>
                <c:pt idx="182">
                  <c:v>95.418701778261266</c:v>
                </c:pt>
                <c:pt idx="183">
                  <c:v>96.38614968970569</c:v>
                </c:pt>
                <c:pt idx="184">
                  <c:v>97.137225577706403</c:v>
                </c:pt>
                <c:pt idx="185">
                  <c:v>97.137225577706403</c:v>
                </c:pt>
                <c:pt idx="186">
                  <c:v>97.137225577706403</c:v>
                </c:pt>
                <c:pt idx="187">
                  <c:v>97.137225577706403</c:v>
                </c:pt>
                <c:pt idx="188">
                  <c:v>97.137225577706403</c:v>
                </c:pt>
                <c:pt idx="189">
                  <c:v>96.450113158684488</c:v>
                </c:pt>
                <c:pt idx="190">
                  <c:v>95.914959583871322</c:v>
                </c:pt>
                <c:pt idx="191">
                  <c:v>95.914959583871322</c:v>
                </c:pt>
                <c:pt idx="192">
                  <c:v>95.914959583871322</c:v>
                </c:pt>
                <c:pt idx="193">
                  <c:v>95.914959583871322</c:v>
                </c:pt>
                <c:pt idx="194">
                  <c:v>95.914959583871322</c:v>
                </c:pt>
                <c:pt idx="195">
                  <c:v>95.71984927432095</c:v>
                </c:pt>
                <c:pt idx="196">
                  <c:v>95.917768502176742</c:v>
                </c:pt>
                <c:pt idx="197">
                  <c:v>95.917768502176742</c:v>
                </c:pt>
                <c:pt idx="198">
                  <c:v>95.917768502176742</c:v>
                </c:pt>
                <c:pt idx="199">
                  <c:v>95.917768502176742</c:v>
                </c:pt>
                <c:pt idx="200">
                  <c:v>95.917768502176742</c:v>
                </c:pt>
                <c:pt idx="201">
                  <c:v>96.715761214766104</c:v>
                </c:pt>
                <c:pt idx="202">
                  <c:v>97.979228323532269</c:v>
                </c:pt>
                <c:pt idx="203">
                  <c:v>97.979228323532269</c:v>
                </c:pt>
                <c:pt idx="204">
                  <c:v>97.979228323532269</c:v>
                </c:pt>
                <c:pt idx="205">
                  <c:v>97.979228323532269</c:v>
                </c:pt>
                <c:pt idx="206">
                  <c:v>97.979228323532269</c:v>
                </c:pt>
                <c:pt idx="207">
                  <c:v>97.979228323532269</c:v>
                </c:pt>
                <c:pt idx="208">
                  <c:v>97.979228323532269</c:v>
                </c:pt>
                <c:pt idx="209">
                  <c:v>97.979228323532269</c:v>
                </c:pt>
                <c:pt idx="210">
                  <c:v>97.478441177444367</c:v>
                </c:pt>
                <c:pt idx="211">
                  <c:v>96.356640245356616</c:v>
                </c:pt>
                <c:pt idx="212">
                  <c:v>96.356640245356616</c:v>
                </c:pt>
                <c:pt idx="213">
                  <c:v>96.356640245356616</c:v>
                </c:pt>
                <c:pt idx="214">
                  <c:v>96.356640245356616</c:v>
                </c:pt>
                <c:pt idx="215">
                  <c:v>96.356640245356616</c:v>
                </c:pt>
                <c:pt idx="216">
                  <c:v>96.356640245356616</c:v>
                </c:pt>
                <c:pt idx="217">
                  <c:v>96.356640245356616</c:v>
                </c:pt>
                <c:pt idx="218">
                  <c:v>96.976441830557292</c:v>
                </c:pt>
                <c:pt idx="219">
                  <c:v>96.69505571782534</c:v>
                </c:pt>
                <c:pt idx="220">
                  <c:v>96.69505571782534</c:v>
                </c:pt>
                <c:pt idx="221">
                  <c:v>96.69505571782534</c:v>
                </c:pt>
                <c:pt idx="222">
                  <c:v>96.69505571782534</c:v>
                </c:pt>
                <c:pt idx="223">
                  <c:v>96.69505571782534</c:v>
                </c:pt>
                <c:pt idx="224">
                  <c:v>96.69505571782534</c:v>
                </c:pt>
                <c:pt idx="225">
                  <c:v>99.007104111178947</c:v>
                </c:pt>
                <c:pt idx="226">
                  <c:v>99.274626307614483</c:v>
                </c:pt>
                <c:pt idx="227">
                  <c:v>99.274626307614483</c:v>
                </c:pt>
                <c:pt idx="228">
                  <c:v>99.274626307614483</c:v>
                </c:pt>
                <c:pt idx="229">
                  <c:v>99.044991735974662</c:v>
                </c:pt>
                <c:pt idx="230">
                  <c:v>98.222343669569312</c:v>
                </c:pt>
                <c:pt idx="231">
                  <c:v>97.507553213074303</c:v>
                </c:pt>
                <c:pt idx="232">
                  <c:v>96.488847893146854</c:v>
                </c:pt>
                <c:pt idx="233">
                  <c:v>95.899607708276164</c:v>
                </c:pt>
                <c:pt idx="234">
                  <c:v>94.051556337954494</c:v>
                </c:pt>
                <c:pt idx="235">
                  <c:v>93.716841913751097</c:v>
                </c:pt>
                <c:pt idx="236">
                  <c:v>93.069035981716212</c:v>
                </c:pt>
                <c:pt idx="237">
                  <c:v>93.069035981716212</c:v>
                </c:pt>
                <c:pt idx="238">
                  <c:v>93.069035981716212</c:v>
                </c:pt>
                <c:pt idx="239">
                  <c:v>93.069035981716212</c:v>
                </c:pt>
                <c:pt idx="240">
                  <c:v>93.069035981716212</c:v>
                </c:pt>
                <c:pt idx="241">
                  <c:v>93.069035981716212</c:v>
                </c:pt>
                <c:pt idx="242">
                  <c:v>93.069035981716212</c:v>
                </c:pt>
                <c:pt idx="243">
                  <c:v>93.069035981716212</c:v>
                </c:pt>
                <c:pt idx="244">
                  <c:v>93.069035981716212</c:v>
                </c:pt>
                <c:pt idx="245">
                  <c:v>93.069035981716212</c:v>
                </c:pt>
                <c:pt idx="246">
                  <c:v>93.069035981716212</c:v>
                </c:pt>
                <c:pt idx="247">
                  <c:v>92.423017387826661</c:v>
                </c:pt>
                <c:pt idx="248">
                  <c:v>91.310352209869691</c:v>
                </c:pt>
                <c:pt idx="249">
                  <c:v>91.027864376356746</c:v>
                </c:pt>
                <c:pt idx="250">
                  <c:v>90.803233822585213</c:v>
                </c:pt>
                <c:pt idx="251">
                  <c:v>90.803233822585213</c:v>
                </c:pt>
                <c:pt idx="252">
                  <c:v>90.803233822585213</c:v>
                </c:pt>
                <c:pt idx="253">
                  <c:v>90.927863778702701</c:v>
                </c:pt>
                <c:pt idx="254">
                  <c:v>92.448457346718101</c:v>
                </c:pt>
                <c:pt idx="255">
                  <c:v>92.448457346718101</c:v>
                </c:pt>
                <c:pt idx="256">
                  <c:v>92.448457346718101</c:v>
                </c:pt>
                <c:pt idx="257">
                  <c:v>92.006596233353278</c:v>
                </c:pt>
                <c:pt idx="258">
                  <c:v>91.43196062260661</c:v>
                </c:pt>
                <c:pt idx="259">
                  <c:v>91.43196062260661</c:v>
                </c:pt>
                <c:pt idx="260">
                  <c:v>91.43196062260661</c:v>
                </c:pt>
                <c:pt idx="261">
                  <c:v>91.43196062260661</c:v>
                </c:pt>
                <c:pt idx="262">
                  <c:v>91.43196062260661</c:v>
                </c:pt>
                <c:pt idx="263">
                  <c:v>91.124822318949626</c:v>
                </c:pt>
                <c:pt idx="264">
                  <c:v>89.614153815319128</c:v>
                </c:pt>
                <c:pt idx="265">
                  <c:v>89.614153815319128</c:v>
                </c:pt>
                <c:pt idx="266">
                  <c:v>89.614153815319128</c:v>
                </c:pt>
                <c:pt idx="267">
                  <c:v>89.255342100988642</c:v>
                </c:pt>
                <c:pt idx="268">
                  <c:v>89.587975074729883</c:v>
                </c:pt>
                <c:pt idx="269">
                  <c:v>89.587975074729883</c:v>
                </c:pt>
                <c:pt idx="270">
                  <c:v>89.587975074729883</c:v>
                </c:pt>
                <c:pt idx="271">
                  <c:v>89.587975074729883</c:v>
                </c:pt>
                <c:pt idx="272">
                  <c:v>89.587975074729883</c:v>
                </c:pt>
                <c:pt idx="273">
                  <c:v>91.045345328368953</c:v>
                </c:pt>
                <c:pt idx="274">
                  <c:v>91.144204380009242</c:v>
                </c:pt>
                <c:pt idx="275">
                  <c:v>91.144204380009242</c:v>
                </c:pt>
                <c:pt idx="276">
                  <c:v>91.144204380009242</c:v>
                </c:pt>
                <c:pt idx="277">
                  <c:v>91.144204380009242</c:v>
                </c:pt>
                <c:pt idx="278">
                  <c:v>91.144204380009242</c:v>
                </c:pt>
                <c:pt idx="279">
                  <c:v>94.787248867423443</c:v>
                </c:pt>
                <c:pt idx="280">
                  <c:v>94.446410988605749</c:v>
                </c:pt>
                <c:pt idx="281">
                  <c:v>94.446410988605749</c:v>
                </c:pt>
                <c:pt idx="282">
                  <c:v>94.446410988605749</c:v>
                </c:pt>
                <c:pt idx="283">
                  <c:v>94.446410988605749</c:v>
                </c:pt>
                <c:pt idx="284">
                  <c:v>94.446410988605749</c:v>
                </c:pt>
                <c:pt idx="285">
                  <c:v>94.27173282599334</c:v>
                </c:pt>
                <c:pt idx="286">
                  <c:v>94.136638157776773</c:v>
                </c:pt>
                <c:pt idx="287">
                  <c:v>94.37826574641042</c:v>
                </c:pt>
                <c:pt idx="288">
                  <c:v>96.381010170229956</c:v>
                </c:pt>
                <c:pt idx="289">
                  <c:v>96.381010170229956</c:v>
                </c:pt>
                <c:pt idx="290">
                  <c:v>96.381010170229956</c:v>
                </c:pt>
                <c:pt idx="291">
                  <c:v>96.381010170229956</c:v>
                </c:pt>
                <c:pt idx="292">
                  <c:v>96.381010170229956</c:v>
                </c:pt>
                <c:pt idx="293">
                  <c:v>96.381010170229956</c:v>
                </c:pt>
                <c:pt idx="294">
                  <c:v>96.381010170229956</c:v>
                </c:pt>
                <c:pt idx="295">
                  <c:v>96.381010170229956</c:v>
                </c:pt>
                <c:pt idx="296">
                  <c:v>96.381010170229956</c:v>
                </c:pt>
                <c:pt idx="297">
                  <c:v>96.381010170229956</c:v>
                </c:pt>
                <c:pt idx="298">
                  <c:v>96.381010170229956</c:v>
                </c:pt>
                <c:pt idx="299">
                  <c:v>96.381010170229956</c:v>
                </c:pt>
                <c:pt idx="300">
                  <c:v>96.381010170229956</c:v>
                </c:pt>
                <c:pt idx="301">
                  <c:v>96.381010170229956</c:v>
                </c:pt>
                <c:pt idx="302">
                  <c:v>96.381010170229956</c:v>
                </c:pt>
                <c:pt idx="303">
                  <c:v>96.381010170229956</c:v>
                </c:pt>
                <c:pt idx="304">
                  <c:v>96.381010170229956</c:v>
                </c:pt>
                <c:pt idx="305">
                  <c:v>96.381010170229956</c:v>
                </c:pt>
                <c:pt idx="306">
                  <c:v>96.381010170229956</c:v>
                </c:pt>
                <c:pt idx="307">
                  <c:v>96.381010170229956</c:v>
                </c:pt>
                <c:pt idx="308">
                  <c:v>96.381010170229956</c:v>
                </c:pt>
                <c:pt idx="309">
                  <c:v>96.030728869336258</c:v>
                </c:pt>
                <c:pt idx="310">
                  <c:v>94.37119861086498</c:v>
                </c:pt>
                <c:pt idx="311">
                  <c:v>94.37119861086498</c:v>
                </c:pt>
                <c:pt idx="312">
                  <c:v>94.37119861086498</c:v>
                </c:pt>
                <c:pt idx="313">
                  <c:v>94.37119861086498</c:v>
                </c:pt>
                <c:pt idx="314">
                  <c:v>94.37119861086498</c:v>
                </c:pt>
                <c:pt idx="315">
                  <c:v>95.272776637036912</c:v>
                </c:pt>
                <c:pt idx="316">
                  <c:v>94.721417865250757</c:v>
                </c:pt>
                <c:pt idx="317">
                  <c:v>94.721417865250757</c:v>
                </c:pt>
                <c:pt idx="318">
                  <c:v>94.721417865250757</c:v>
                </c:pt>
                <c:pt idx="319">
                  <c:v>94.721417865250757</c:v>
                </c:pt>
                <c:pt idx="320">
                  <c:v>94.721417865250757</c:v>
                </c:pt>
                <c:pt idx="321">
                  <c:v>94.120056662927411</c:v>
                </c:pt>
                <c:pt idx="322">
                  <c:v>93.038314803041018</c:v>
                </c:pt>
                <c:pt idx="323">
                  <c:v>93.038314803041018</c:v>
                </c:pt>
                <c:pt idx="324">
                  <c:v>93.038314803041018</c:v>
                </c:pt>
                <c:pt idx="325">
                  <c:v>93.038314803041018</c:v>
                </c:pt>
                <c:pt idx="326">
                  <c:v>93.038314803041018</c:v>
                </c:pt>
                <c:pt idx="327">
                  <c:v>93.72996507121826</c:v>
                </c:pt>
                <c:pt idx="328">
                  <c:v>90.627580042518218</c:v>
                </c:pt>
                <c:pt idx="329">
                  <c:v>90.627580042518218</c:v>
                </c:pt>
                <c:pt idx="330">
                  <c:v>90.627580042518218</c:v>
                </c:pt>
                <c:pt idx="331">
                  <c:v>90.055028420309071</c:v>
                </c:pt>
                <c:pt idx="332">
                  <c:v>89.937920750970918</c:v>
                </c:pt>
                <c:pt idx="333">
                  <c:v>89.937920750970918</c:v>
                </c:pt>
                <c:pt idx="334">
                  <c:v>89.937920750970918</c:v>
                </c:pt>
                <c:pt idx="335">
                  <c:v>89.937920750970918</c:v>
                </c:pt>
                <c:pt idx="336">
                  <c:v>89.937920750970918</c:v>
                </c:pt>
                <c:pt idx="337">
                  <c:v>89.937920750970918</c:v>
                </c:pt>
                <c:pt idx="338">
                  <c:v>90.956704506216639</c:v>
                </c:pt>
                <c:pt idx="339">
                  <c:v>89.683216007337776</c:v>
                </c:pt>
                <c:pt idx="340">
                  <c:v>89.683216007337776</c:v>
                </c:pt>
                <c:pt idx="341">
                  <c:v>89.683216007337776</c:v>
                </c:pt>
                <c:pt idx="342">
                  <c:v>89.683216007337776</c:v>
                </c:pt>
                <c:pt idx="343">
                  <c:v>89.683216007337776</c:v>
                </c:pt>
                <c:pt idx="344">
                  <c:v>89.683216007337776</c:v>
                </c:pt>
                <c:pt idx="345">
                  <c:v>89.683216007337776</c:v>
                </c:pt>
                <c:pt idx="346">
                  <c:v>90.636108327362095</c:v>
                </c:pt>
                <c:pt idx="347">
                  <c:v>91.372110379125303</c:v>
                </c:pt>
                <c:pt idx="348">
                  <c:v>91.372110379125303</c:v>
                </c:pt>
                <c:pt idx="349">
                  <c:v>91.372110379125303</c:v>
                </c:pt>
                <c:pt idx="350">
                  <c:v>91.016666523665876</c:v>
                </c:pt>
                <c:pt idx="351">
                  <c:v>93.657108769464841</c:v>
                </c:pt>
                <c:pt idx="352">
                  <c:v>93.657108769464841</c:v>
                </c:pt>
                <c:pt idx="353">
                  <c:v>93.657108769464841</c:v>
                </c:pt>
                <c:pt idx="354">
                  <c:v>93.657108769464841</c:v>
                </c:pt>
                <c:pt idx="355">
                  <c:v>93.657108769464841</c:v>
                </c:pt>
                <c:pt idx="356">
                  <c:v>93.657108769464841</c:v>
                </c:pt>
                <c:pt idx="357">
                  <c:v>93.657108769464841</c:v>
                </c:pt>
                <c:pt idx="358">
                  <c:v>93.657108769464841</c:v>
                </c:pt>
                <c:pt idx="359">
                  <c:v>93.657108769464841</c:v>
                </c:pt>
                <c:pt idx="360">
                  <c:v>93.657108769464841</c:v>
                </c:pt>
                <c:pt idx="361">
                  <c:v>93.657108769464841</c:v>
                </c:pt>
                <c:pt idx="362">
                  <c:v>93.657108769464841</c:v>
                </c:pt>
                <c:pt idx="363">
                  <c:v>93.657108769464841</c:v>
                </c:pt>
                <c:pt idx="364">
                  <c:v>93.657108769464841</c:v>
                </c:pt>
                <c:pt idx="365">
                  <c:v>93.657108769464841</c:v>
                </c:pt>
                <c:pt idx="366">
                  <c:v>93.657108769464841</c:v>
                </c:pt>
                <c:pt idx="367">
                  <c:v>93.657108769464841</c:v>
                </c:pt>
                <c:pt idx="368">
                  <c:v>93.657108769464841</c:v>
                </c:pt>
                <c:pt idx="369">
                  <c:v>93.657108769464841</c:v>
                </c:pt>
                <c:pt idx="370">
                  <c:v>92.099865406162351</c:v>
                </c:pt>
                <c:pt idx="371">
                  <c:v>90.872841510233741</c:v>
                </c:pt>
                <c:pt idx="372">
                  <c:v>90.654057897542273</c:v>
                </c:pt>
                <c:pt idx="373">
                  <c:v>90.94910125907063</c:v>
                </c:pt>
                <c:pt idx="374">
                  <c:v>90.978075177732336</c:v>
                </c:pt>
                <c:pt idx="375">
                  <c:v>93.061921023575309</c:v>
                </c:pt>
                <c:pt idx="376">
                  <c:v>93.061921023575309</c:v>
                </c:pt>
                <c:pt idx="377">
                  <c:v>93.061921023575309</c:v>
                </c:pt>
                <c:pt idx="378">
                  <c:v>93.061921023575309</c:v>
                </c:pt>
                <c:pt idx="379">
                  <c:v>93.061921023575309</c:v>
                </c:pt>
                <c:pt idx="380">
                  <c:v>93.061921023575309</c:v>
                </c:pt>
                <c:pt idx="381">
                  <c:v>93.061921023575309</c:v>
                </c:pt>
                <c:pt idx="382">
                  <c:v>93.638238826059791</c:v>
                </c:pt>
                <c:pt idx="383">
                  <c:v>92.892445928251206</c:v>
                </c:pt>
                <c:pt idx="384">
                  <c:v>92.892445928251206</c:v>
                </c:pt>
                <c:pt idx="385">
                  <c:v>92.892445928251206</c:v>
                </c:pt>
                <c:pt idx="386">
                  <c:v>92.892445928251206</c:v>
                </c:pt>
                <c:pt idx="387">
                  <c:v>92.892445928251206</c:v>
                </c:pt>
                <c:pt idx="388">
                  <c:v>92.892584001544677</c:v>
                </c:pt>
                <c:pt idx="389">
                  <c:v>93.819714568772383</c:v>
                </c:pt>
                <c:pt idx="390">
                  <c:v>93.819714568772383</c:v>
                </c:pt>
                <c:pt idx="391">
                  <c:v>93.819714568772383</c:v>
                </c:pt>
                <c:pt idx="392">
                  <c:v>93.819714568772383</c:v>
                </c:pt>
                <c:pt idx="393">
                  <c:v>93.819714568772383</c:v>
                </c:pt>
                <c:pt idx="394">
                  <c:v>91.096570936188471</c:v>
                </c:pt>
                <c:pt idx="395">
                  <c:v>91.241792238998869</c:v>
                </c:pt>
                <c:pt idx="396">
                  <c:v>91.241792238998869</c:v>
                </c:pt>
                <c:pt idx="397">
                  <c:v>91.241792238998869</c:v>
                </c:pt>
                <c:pt idx="398">
                  <c:v>91.801787556499235</c:v>
                </c:pt>
                <c:pt idx="399">
                  <c:v>91.429490320893578</c:v>
                </c:pt>
                <c:pt idx="400">
                  <c:v>91.429490320893578</c:v>
                </c:pt>
                <c:pt idx="401">
                  <c:v>91.429490320893578</c:v>
                </c:pt>
                <c:pt idx="402">
                  <c:v>91.429490320893578</c:v>
                </c:pt>
                <c:pt idx="403">
                  <c:v>91.429490320893578</c:v>
                </c:pt>
                <c:pt idx="404">
                  <c:v>91.429490320893578</c:v>
                </c:pt>
                <c:pt idx="405">
                  <c:v>91.429490320893578</c:v>
                </c:pt>
                <c:pt idx="406">
                  <c:v>93.023426125875659</c:v>
                </c:pt>
                <c:pt idx="407">
                  <c:v>92.040210029376837</c:v>
                </c:pt>
                <c:pt idx="408">
                  <c:v>92.040210029376837</c:v>
                </c:pt>
                <c:pt idx="409">
                  <c:v>92.040210029376837</c:v>
                </c:pt>
                <c:pt idx="410">
                  <c:v>92.040210029376837</c:v>
                </c:pt>
                <c:pt idx="411">
                  <c:v>92.040210029376837</c:v>
                </c:pt>
                <c:pt idx="412">
                  <c:v>89.511319889284138</c:v>
                </c:pt>
                <c:pt idx="413">
                  <c:v>89.006621162538096</c:v>
                </c:pt>
                <c:pt idx="414">
                  <c:v>89.006621162538096</c:v>
                </c:pt>
                <c:pt idx="415">
                  <c:v>89.006621162538096</c:v>
                </c:pt>
                <c:pt idx="416">
                  <c:v>90.524414173617473</c:v>
                </c:pt>
                <c:pt idx="417">
                  <c:v>92.638975858968294</c:v>
                </c:pt>
                <c:pt idx="418">
                  <c:v>92.638975858968294</c:v>
                </c:pt>
                <c:pt idx="419">
                  <c:v>92.638975858968294</c:v>
                </c:pt>
                <c:pt idx="420">
                  <c:v>92.638975858968294</c:v>
                </c:pt>
                <c:pt idx="421">
                  <c:v>92.638975858968294</c:v>
                </c:pt>
                <c:pt idx="422">
                  <c:v>92.638975858968294</c:v>
                </c:pt>
                <c:pt idx="423">
                  <c:v>92.638975858968294</c:v>
                </c:pt>
                <c:pt idx="424">
                  <c:v>92.638975858968294</c:v>
                </c:pt>
                <c:pt idx="425">
                  <c:v>92.638975858968294</c:v>
                </c:pt>
                <c:pt idx="426">
                  <c:v>92.638975858968294</c:v>
                </c:pt>
                <c:pt idx="427">
                  <c:v>92.638975858968294</c:v>
                </c:pt>
                <c:pt idx="428">
                  <c:v>92.638975858968294</c:v>
                </c:pt>
                <c:pt idx="429">
                  <c:v>92.638975858968294</c:v>
                </c:pt>
                <c:pt idx="430">
                  <c:v>92.638975858968294</c:v>
                </c:pt>
                <c:pt idx="431">
                  <c:v>92.638975858968294</c:v>
                </c:pt>
                <c:pt idx="432">
                  <c:v>91.226696927811716</c:v>
                </c:pt>
                <c:pt idx="433">
                  <c:v>90.75550745525544</c:v>
                </c:pt>
                <c:pt idx="434">
                  <c:v>89.556975391004684</c:v>
                </c:pt>
                <c:pt idx="435">
                  <c:v>90.251316496189787</c:v>
                </c:pt>
                <c:pt idx="436">
                  <c:v>90.251316496189787</c:v>
                </c:pt>
                <c:pt idx="437">
                  <c:v>90.251316496189787</c:v>
                </c:pt>
                <c:pt idx="438">
                  <c:v>90.251316496189787</c:v>
                </c:pt>
                <c:pt idx="439">
                  <c:v>90.251316496189787</c:v>
                </c:pt>
                <c:pt idx="440">
                  <c:v>90.347937261792566</c:v>
                </c:pt>
                <c:pt idx="441">
                  <c:v>91.086166565362092</c:v>
                </c:pt>
                <c:pt idx="442">
                  <c:v>91.086166565362092</c:v>
                </c:pt>
                <c:pt idx="443">
                  <c:v>91.086166565362092</c:v>
                </c:pt>
                <c:pt idx="444">
                  <c:v>90.691538174635738</c:v>
                </c:pt>
                <c:pt idx="445">
                  <c:v>91.379430931944185</c:v>
                </c:pt>
                <c:pt idx="446">
                  <c:v>91.379430931944185</c:v>
                </c:pt>
                <c:pt idx="447">
                  <c:v>91.379430931944185</c:v>
                </c:pt>
                <c:pt idx="448">
                  <c:v>90.147561847675718</c:v>
                </c:pt>
                <c:pt idx="449">
                  <c:v>91.181797910444487</c:v>
                </c:pt>
                <c:pt idx="450">
                  <c:v>91.181797910444487</c:v>
                </c:pt>
                <c:pt idx="451">
                  <c:v>91.181797910444487</c:v>
                </c:pt>
                <c:pt idx="452">
                  <c:v>92.174466304523122</c:v>
                </c:pt>
                <c:pt idx="453">
                  <c:v>91.157882475436111</c:v>
                </c:pt>
                <c:pt idx="454">
                  <c:v>91.922403070242112</c:v>
                </c:pt>
                <c:pt idx="455">
                  <c:v>91.645387383491979</c:v>
                </c:pt>
                <c:pt idx="456">
                  <c:v>92.839852510202803</c:v>
                </c:pt>
                <c:pt idx="457">
                  <c:v>93.13668358503061</c:v>
                </c:pt>
                <c:pt idx="458">
                  <c:v>93.13668358503061</c:v>
                </c:pt>
                <c:pt idx="459">
                  <c:v>93.13668358503061</c:v>
                </c:pt>
                <c:pt idx="460">
                  <c:v>93.13668358503061</c:v>
                </c:pt>
                <c:pt idx="461">
                  <c:v>93.13668358503061</c:v>
                </c:pt>
                <c:pt idx="462">
                  <c:v>93.13668358503061</c:v>
                </c:pt>
                <c:pt idx="463">
                  <c:v>93.13668358503061</c:v>
                </c:pt>
                <c:pt idx="464">
                  <c:v>93.13668358503061</c:v>
                </c:pt>
                <c:pt idx="465">
                  <c:v>93.13668358503061</c:v>
                </c:pt>
                <c:pt idx="466">
                  <c:v>93.13668358503061</c:v>
                </c:pt>
                <c:pt idx="467">
                  <c:v>93.13668358503061</c:v>
                </c:pt>
                <c:pt idx="468">
                  <c:v>92.248358551466609</c:v>
                </c:pt>
                <c:pt idx="469">
                  <c:v>91.690012815383042</c:v>
                </c:pt>
                <c:pt idx="470">
                  <c:v>91.690012815383042</c:v>
                </c:pt>
                <c:pt idx="471">
                  <c:v>91.690012815383042</c:v>
                </c:pt>
                <c:pt idx="472">
                  <c:v>91.690012815383042</c:v>
                </c:pt>
                <c:pt idx="473">
                  <c:v>91.690012815383042</c:v>
                </c:pt>
                <c:pt idx="474">
                  <c:v>91.137351628144131</c:v>
                </c:pt>
                <c:pt idx="475">
                  <c:v>91.955060320742888</c:v>
                </c:pt>
                <c:pt idx="476">
                  <c:v>91.955060320742888</c:v>
                </c:pt>
                <c:pt idx="477">
                  <c:v>91.955060320742888</c:v>
                </c:pt>
                <c:pt idx="478">
                  <c:v>91.955060320742888</c:v>
                </c:pt>
                <c:pt idx="479">
                  <c:v>91.955060320742888</c:v>
                </c:pt>
                <c:pt idx="480">
                  <c:v>91.955060320742888</c:v>
                </c:pt>
                <c:pt idx="481">
                  <c:v>91.955060320742888</c:v>
                </c:pt>
                <c:pt idx="482">
                  <c:v>91.955060320742888</c:v>
                </c:pt>
                <c:pt idx="483">
                  <c:v>91.955060320742888</c:v>
                </c:pt>
                <c:pt idx="484">
                  <c:v>91.209760954173973</c:v>
                </c:pt>
                <c:pt idx="485">
                  <c:v>90.043430461731532</c:v>
                </c:pt>
                <c:pt idx="486">
                  <c:v>90.043430461731532</c:v>
                </c:pt>
                <c:pt idx="487">
                  <c:v>90.043430461731532</c:v>
                </c:pt>
                <c:pt idx="488">
                  <c:v>90.043430461731532</c:v>
                </c:pt>
                <c:pt idx="489">
                  <c:v>90.043430461731532</c:v>
                </c:pt>
                <c:pt idx="490">
                  <c:v>90.043430461731532</c:v>
                </c:pt>
                <c:pt idx="491">
                  <c:v>90.043430461731532</c:v>
                </c:pt>
                <c:pt idx="492">
                  <c:v>91.91872820613564</c:v>
                </c:pt>
                <c:pt idx="493">
                  <c:v>91.595516915509805</c:v>
                </c:pt>
                <c:pt idx="494">
                  <c:v>89.784263410104344</c:v>
                </c:pt>
                <c:pt idx="495">
                  <c:v>90.704997420314484</c:v>
                </c:pt>
                <c:pt idx="496">
                  <c:v>90.704997420314484</c:v>
                </c:pt>
                <c:pt idx="497">
                  <c:v>90.704997420314484</c:v>
                </c:pt>
                <c:pt idx="498">
                  <c:v>90.704997420314484</c:v>
                </c:pt>
                <c:pt idx="499">
                  <c:v>90.704997420314484</c:v>
                </c:pt>
                <c:pt idx="500">
                  <c:v>90.704997420314484</c:v>
                </c:pt>
                <c:pt idx="501">
                  <c:v>90.704997420314484</c:v>
                </c:pt>
                <c:pt idx="502">
                  <c:v>90.704997420314484</c:v>
                </c:pt>
                <c:pt idx="503">
                  <c:v>90.704997420314484</c:v>
                </c:pt>
                <c:pt idx="504">
                  <c:v>90.704997420314484</c:v>
                </c:pt>
                <c:pt idx="505">
                  <c:v>90.704997420314484</c:v>
                </c:pt>
                <c:pt idx="506">
                  <c:v>90.704997420314484</c:v>
                </c:pt>
                <c:pt idx="507">
                  <c:v>90.704997420314484</c:v>
                </c:pt>
                <c:pt idx="508">
                  <c:v>90.704997420314484</c:v>
                </c:pt>
                <c:pt idx="509">
                  <c:v>90.704997420314484</c:v>
                </c:pt>
                <c:pt idx="510">
                  <c:v>90.704997420314484</c:v>
                </c:pt>
                <c:pt idx="511">
                  <c:v>90.704997420314484</c:v>
                </c:pt>
                <c:pt idx="512">
                  <c:v>90.704997420314484</c:v>
                </c:pt>
                <c:pt idx="513">
                  <c:v>90.704997420314484</c:v>
                </c:pt>
                <c:pt idx="514">
                  <c:v>90.704997420314484</c:v>
                </c:pt>
                <c:pt idx="515">
                  <c:v>90.704997420314484</c:v>
                </c:pt>
                <c:pt idx="516">
                  <c:v>90.704997420314484</c:v>
                </c:pt>
                <c:pt idx="517">
                  <c:v>90.704997420314484</c:v>
                </c:pt>
                <c:pt idx="518">
                  <c:v>90.704997420314484</c:v>
                </c:pt>
                <c:pt idx="519">
                  <c:v>90.704997420314484</c:v>
                </c:pt>
                <c:pt idx="520">
                  <c:v>90.704997420314484</c:v>
                </c:pt>
                <c:pt idx="521">
                  <c:v>87.871569528869884</c:v>
                </c:pt>
                <c:pt idx="522">
                  <c:v>88.144559936538329</c:v>
                </c:pt>
                <c:pt idx="523">
                  <c:v>88.144559936538329</c:v>
                </c:pt>
                <c:pt idx="524">
                  <c:v>88.144559936538329</c:v>
                </c:pt>
                <c:pt idx="525">
                  <c:v>88.144559936538329</c:v>
                </c:pt>
                <c:pt idx="526">
                  <c:v>88.144559936538329</c:v>
                </c:pt>
                <c:pt idx="527">
                  <c:v>88.144559936538329</c:v>
                </c:pt>
                <c:pt idx="528">
                  <c:v>88.144559936538329</c:v>
                </c:pt>
                <c:pt idx="529">
                  <c:v>87.990491203812553</c:v>
                </c:pt>
                <c:pt idx="530">
                  <c:v>88.762543186332877</c:v>
                </c:pt>
                <c:pt idx="531">
                  <c:v>88.762543186332877</c:v>
                </c:pt>
                <c:pt idx="532">
                  <c:v>88.762543186332877</c:v>
                </c:pt>
                <c:pt idx="533">
                  <c:v>88.762543186332877</c:v>
                </c:pt>
                <c:pt idx="534">
                  <c:v>88.762543186332877</c:v>
                </c:pt>
                <c:pt idx="535">
                  <c:v>88.762543186332877</c:v>
                </c:pt>
                <c:pt idx="536">
                  <c:v>88.762543186332877</c:v>
                </c:pt>
                <c:pt idx="537">
                  <c:v>88.762543186332877</c:v>
                </c:pt>
                <c:pt idx="538">
                  <c:v>88.762543186332877</c:v>
                </c:pt>
                <c:pt idx="539">
                  <c:v>88.762543186332877</c:v>
                </c:pt>
                <c:pt idx="540">
                  <c:v>88.762543186332877</c:v>
                </c:pt>
                <c:pt idx="541">
                  <c:v>88.762543186332877</c:v>
                </c:pt>
                <c:pt idx="542">
                  <c:v>88.762543186332877</c:v>
                </c:pt>
                <c:pt idx="543">
                  <c:v>88.762543186332877</c:v>
                </c:pt>
                <c:pt idx="544">
                  <c:v>88.762543186332877</c:v>
                </c:pt>
                <c:pt idx="545">
                  <c:v>88.762543186332877</c:v>
                </c:pt>
                <c:pt idx="546">
                  <c:v>88.762543186332877</c:v>
                </c:pt>
                <c:pt idx="547">
                  <c:v>88.762543186332877</c:v>
                </c:pt>
                <c:pt idx="548">
                  <c:v>88.762543186332877</c:v>
                </c:pt>
                <c:pt idx="549">
                  <c:v>88.762543186332877</c:v>
                </c:pt>
                <c:pt idx="550">
                  <c:v>88.762543186332877</c:v>
                </c:pt>
                <c:pt idx="551">
                  <c:v>88.762543186332877</c:v>
                </c:pt>
                <c:pt idx="552">
                  <c:v>88.762543186332877</c:v>
                </c:pt>
                <c:pt idx="553">
                  <c:v>88.762543186332877</c:v>
                </c:pt>
                <c:pt idx="554">
                  <c:v>88.762543186332877</c:v>
                </c:pt>
                <c:pt idx="555">
                  <c:v>88.762543186332877</c:v>
                </c:pt>
                <c:pt idx="556">
                  <c:v>88.762543186332877</c:v>
                </c:pt>
                <c:pt idx="557">
                  <c:v>88.762543186332877</c:v>
                </c:pt>
                <c:pt idx="558">
                  <c:v>88.762543186332877</c:v>
                </c:pt>
                <c:pt idx="559">
                  <c:v>88.762543186332877</c:v>
                </c:pt>
                <c:pt idx="560">
                  <c:v>88.762543186332877</c:v>
                </c:pt>
                <c:pt idx="561">
                  <c:v>88.762543186332877</c:v>
                </c:pt>
                <c:pt idx="562">
                  <c:v>88.762543186332877</c:v>
                </c:pt>
                <c:pt idx="563">
                  <c:v>88.762543186332877</c:v>
                </c:pt>
                <c:pt idx="564">
                  <c:v>88.762543186332877</c:v>
                </c:pt>
                <c:pt idx="565">
                  <c:v>88.762543186332877</c:v>
                </c:pt>
                <c:pt idx="566">
                  <c:v>88.762543186332877</c:v>
                </c:pt>
                <c:pt idx="567">
                  <c:v>88.762543186332877</c:v>
                </c:pt>
                <c:pt idx="568">
                  <c:v>88.762543186332877</c:v>
                </c:pt>
                <c:pt idx="569">
                  <c:v>88.762543186332877</c:v>
                </c:pt>
                <c:pt idx="570">
                  <c:v>88.762543186332877</c:v>
                </c:pt>
                <c:pt idx="571">
                  <c:v>88.762543186332877</c:v>
                </c:pt>
                <c:pt idx="572">
                  <c:v>88.762543186332877</c:v>
                </c:pt>
                <c:pt idx="573">
                  <c:v>88.762543186332877</c:v>
                </c:pt>
                <c:pt idx="574">
                  <c:v>88.762543186332877</c:v>
                </c:pt>
                <c:pt idx="575">
                  <c:v>88.762543186332877</c:v>
                </c:pt>
                <c:pt idx="576">
                  <c:v>88.762543186332877</c:v>
                </c:pt>
                <c:pt idx="577">
                  <c:v>88.762543186332877</c:v>
                </c:pt>
                <c:pt idx="578">
                  <c:v>88.762543186332877</c:v>
                </c:pt>
                <c:pt idx="579">
                  <c:v>88.762543186332877</c:v>
                </c:pt>
                <c:pt idx="580">
                  <c:v>88.762543186332877</c:v>
                </c:pt>
                <c:pt idx="581">
                  <c:v>88.762543186332877</c:v>
                </c:pt>
                <c:pt idx="582">
                  <c:v>88.762543186332877</c:v>
                </c:pt>
                <c:pt idx="583">
                  <c:v>88.762543186332877</c:v>
                </c:pt>
                <c:pt idx="584">
                  <c:v>88.762543186332877</c:v>
                </c:pt>
                <c:pt idx="585">
                  <c:v>88.762543186332877</c:v>
                </c:pt>
                <c:pt idx="586">
                  <c:v>88.762543186332877</c:v>
                </c:pt>
                <c:pt idx="587">
                  <c:v>88.762543186332877</c:v>
                </c:pt>
                <c:pt idx="588">
                  <c:v>88.762543186332877</c:v>
                </c:pt>
                <c:pt idx="589">
                  <c:v>88.762543186332877</c:v>
                </c:pt>
                <c:pt idx="590">
                  <c:v>88.762543186332877</c:v>
                </c:pt>
                <c:pt idx="591">
                  <c:v>88.762543186332877</c:v>
                </c:pt>
                <c:pt idx="592">
                  <c:v>88.762543186332877</c:v>
                </c:pt>
                <c:pt idx="593">
                  <c:v>88.762543186332877</c:v>
                </c:pt>
                <c:pt idx="594">
                  <c:v>88.762543186332877</c:v>
                </c:pt>
                <c:pt idx="595">
                  <c:v>88.762543186332877</c:v>
                </c:pt>
                <c:pt idx="596">
                  <c:v>88.762543186332877</c:v>
                </c:pt>
                <c:pt idx="597">
                  <c:v>88.762543186332877</c:v>
                </c:pt>
                <c:pt idx="598">
                  <c:v>88.762543186332877</c:v>
                </c:pt>
                <c:pt idx="599">
                  <c:v>88.762543186332877</c:v>
                </c:pt>
                <c:pt idx="600">
                  <c:v>88.762543186332877</c:v>
                </c:pt>
                <c:pt idx="601">
                  <c:v>88.762543186332877</c:v>
                </c:pt>
                <c:pt idx="602">
                  <c:v>88.762543186332877</c:v>
                </c:pt>
                <c:pt idx="603">
                  <c:v>88.762543186332877</c:v>
                </c:pt>
                <c:pt idx="604">
                  <c:v>88.762543186332877</c:v>
                </c:pt>
                <c:pt idx="605">
                  <c:v>88.762543186332877</c:v>
                </c:pt>
                <c:pt idx="606">
                  <c:v>88.762543186332877</c:v>
                </c:pt>
                <c:pt idx="607">
                  <c:v>88.762543186332877</c:v>
                </c:pt>
                <c:pt idx="608">
                  <c:v>88.762543186332877</c:v>
                </c:pt>
                <c:pt idx="609">
                  <c:v>88.762543186332877</c:v>
                </c:pt>
                <c:pt idx="610">
                  <c:v>88.762543186332877</c:v>
                </c:pt>
                <c:pt idx="611">
                  <c:v>88.762543186332877</c:v>
                </c:pt>
                <c:pt idx="612">
                  <c:v>88.762543186332877</c:v>
                </c:pt>
                <c:pt idx="613">
                  <c:v>88.762543186332877</c:v>
                </c:pt>
                <c:pt idx="614">
                  <c:v>88.762543186332877</c:v>
                </c:pt>
                <c:pt idx="615">
                  <c:v>88.762543186332877</c:v>
                </c:pt>
                <c:pt idx="616">
                  <c:v>88.762543186332877</c:v>
                </c:pt>
                <c:pt idx="617">
                  <c:v>88.762543186332877</c:v>
                </c:pt>
                <c:pt idx="618">
                  <c:v>88.762543186332877</c:v>
                </c:pt>
                <c:pt idx="619">
                  <c:v>88.762543186332877</c:v>
                </c:pt>
                <c:pt idx="620">
                  <c:v>88.762543186332877</c:v>
                </c:pt>
                <c:pt idx="621">
                  <c:v>88.762543186332877</c:v>
                </c:pt>
                <c:pt idx="622">
                  <c:v>88.762543186332877</c:v>
                </c:pt>
                <c:pt idx="623">
                  <c:v>88.762543186332877</c:v>
                </c:pt>
                <c:pt idx="624">
                  <c:v>88.762543186332877</c:v>
                </c:pt>
                <c:pt idx="625">
                  <c:v>88.762543186332877</c:v>
                </c:pt>
                <c:pt idx="626">
                  <c:v>88.762543186332877</c:v>
                </c:pt>
                <c:pt idx="627">
                  <c:v>88.762543186332877</c:v>
                </c:pt>
                <c:pt idx="628">
                  <c:v>88.762543186332877</c:v>
                </c:pt>
                <c:pt idx="629">
                  <c:v>88.762543186332877</c:v>
                </c:pt>
                <c:pt idx="630">
                  <c:v>88.762543186332877</c:v>
                </c:pt>
                <c:pt idx="631">
                  <c:v>88.762543186332877</c:v>
                </c:pt>
                <c:pt idx="632">
                  <c:v>88.762543186332877</c:v>
                </c:pt>
                <c:pt idx="633">
                  <c:v>88.762543186332877</c:v>
                </c:pt>
                <c:pt idx="634">
                  <c:v>88.762543186332877</c:v>
                </c:pt>
                <c:pt idx="635">
                  <c:v>88.762543186332877</c:v>
                </c:pt>
                <c:pt idx="636">
                  <c:v>88.762543186332877</c:v>
                </c:pt>
                <c:pt idx="637">
                  <c:v>88.762543186332877</c:v>
                </c:pt>
                <c:pt idx="638">
                  <c:v>88.762543186332877</c:v>
                </c:pt>
                <c:pt idx="639">
                  <c:v>88.762543186332877</c:v>
                </c:pt>
                <c:pt idx="640">
                  <c:v>88.762543186332877</c:v>
                </c:pt>
                <c:pt idx="641">
                  <c:v>88.762543186332877</c:v>
                </c:pt>
                <c:pt idx="642">
                  <c:v>88.762543186332877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703152"/>
        <c:axId val="371703544"/>
        <c:extLst/>
      </c:scatterChart>
      <c:valAx>
        <c:axId val="371703152"/>
        <c:scaling>
          <c:orientation val="minMax"/>
          <c:max val="600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1703544"/>
        <c:crosses val="autoZero"/>
        <c:crossBetween val="midCat"/>
      </c:valAx>
      <c:valAx>
        <c:axId val="371703544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170315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1424984920363213E-2"/>
          <c:y val="2.321184757802389E-2"/>
          <c:w val="0.42319557881351788"/>
          <c:h val="2.82310633379108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explosion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layout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(Matchanalyse!$H$5,Matchanalyse!$M$5)</c:f>
              <c:numCache>
                <c:formatCode>0.00</c:formatCode>
                <c:ptCount val="2"/>
                <c:pt idx="0">
                  <c:v>188.51174273767339</c:v>
                </c:pt>
                <c:pt idx="1">
                  <c:v>205.26803877540632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18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7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Matchanalyse!$F$4:$G$4</c:f>
              <c:strCache>
                <c:ptCount val="2"/>
                <c:pt idx="0">
                  <c:v>Carsten_H</c:v>
                </c:pt>
                <c:pt idx="1">
                  <c:v>Marvin_W</c:v>
                </c:pt>
              </c:strCache>
            </c:strRef>
          </c:cat>
          <c:val>
            <c:numRef>
              <c:f>Matchanalyse!$F$5:$G$5</c:f>
              <c:numCache>
                <c:formatCode>0.00</c:formatCode>
                <c:ptCount val="2"/>
                <c:pt idx="0">
                  <c:v>91.287455601467229</c:v>
                </c:pt>
                <c:pt idx="1">
                  <c:v>97.224287136206158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18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shade val="7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Matchanalyse!$K$4:$L$4</c:f>
              <c:strCache>
                <c:ptCount val="2"/>
                <c:pt idx="0">
                  <c:v>Bastian_G</c:v>
                </c:pt>
                <c:pt idx="1">
                  <c:v>Rene_P</c:v>
                </c:pt>
              </c:strCache>
            </c:strRef>
          </c:cat>
          <c:val>
            <c:numRef>
              <c:f>Matchanalyse!$K$5:$L$5</c:f>
              <c:numCache>
                <c:formatCode>0.00</c:formatCode>
                <c:ptCount val="2"/>
                <c:pt idx="0">
                  <c:v>117.123478838868</c:v>
                </c:pt>
                <c:pt idx="1">
                  <c:v>88.144559936538329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18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Siegchance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Matchanalyse!$Q$6:$Q$7</c:f>
              <c:numCache>
                <c:formatCode>General</c:formatCode>
                <c:ptCount val="2"/>
                <c:pt idx="0">
                  <c:v>31.612100006398343</c:v>
                </c:pt>
                <c:pt idx="1">
                  <c:v>68.38789999360165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18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Ergebnisbewertung SA in Abhängingkeit der Tordifferenz GD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Ergebnisbewertung!$C$14</c:f>
              <c:strCache>
                <c:ptCount val="1"/>
                <c:pt idx="0">
                  <c:v>linear SA(GD)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Ergebnisbewertung!$B$15:$B$35</c:f>
              <c:numCache>
                <c:formatCode>General</c:formatCode>
                <c:ptCount val="2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-1</c:v>
                </c:pt>
                <c:pt idx="12">
                  <c:v>-2</c:v>
                </c:pt>
                <c:pt idx="13">
                  <c:v>-3</c:v>
                </c:pt>
                <c:pt idx="14">
                  <c:v>-4</c:v>
                </c:pt>
                <c:pt idx="15">
                  <c:v>-5</c:v>
                </c:pt>
                <c:pt idx="16">
                  <c:v>-6</c:v>
                </c:pt>
                <c:pt idx="17">
                  <c:v>-7</c:v>
                </c:pt>
                <c:pt idx="18">
                  <c:v>-8</c:v>
                </c:pt>
                <c:pt idx="19">
                  <c:v>-9</c:v>
                </c:pt>
                <c:pt idx="20">
                  <c:v>-10</c:v>
                </c:pt>
              </c:numCache>
            </c:numRef>
          </c:xVal>
          <c:yVal>
            <c:numRef>
              <c:f>Ergebnisbewertung!$C$15:$C$35</c:f>
              <c:numCache>
                <c:formatCode>0.00</c:formatCode>
                <c:ptCount val="21"/>
                <c:pt idx="0">
                  <c:v>1</c:v>
                </c:pt>
                <c:pt idx="1">
                  <c:v>0.95</c:v>
                </c:pt>
                <c:pt idx="2">
                  <c:v>0.9</c:v>
                </c:pt>
                <c:pt idx="3">
                  <c:v>0.85000000000000009</c:v>
                </c:pt>
                <c:pt idx="4">
                  <c:v>0.8</c:v>
                </c:pt>
                <c:pt idx="5">
                  <c:v>0.75</c:v>
                </c:pt>
                <c:pt idx="6">
                  <c:v>0.7</c:v>
                </c:pt>
                <c:pt idx="7">
                  <c:v>0.65</c:v>
                </c:pt>
                <c:pt idx="8">
                  <c:v>0.6</c:v>
                </c:pt>
                <c:pt idx="9">
                  <c:v>0.55000000000000004</c:v>
                </c:pt>
                <c:pt idx="10">
                  <c:v>0.5</c:v>
                </c:pt>
                <c:pt idx="11">
                  <c:v>0.45</c:v>
                </c:pt>
                <c:pt idx="12">
                  <c:v>0.4</c:v>
                </c:pt>
                <c:pt idx="13">
                  <c:v>0.35</c:v>
                </c:pt>
                <c:pt idx="14">
                  <c:v>0.3</c:v>
                </c:pt>
                <c:pt idx="15">
                  <c:v>0.25</c:v>
                </c:pt>
                <c:pt idx="16">
                  <c:v>0.19999999999999996</c:v>
                </c:pt>
                <c:pt idx="17">
                  <c:v>0.14999999999999997</c:v>
                </c:pt>
                <c:pt idx="18">
                  <c:v>9.9999999999999978E-2</c:v>
                </c:pt>
                <c:pt idx="19">
                  <c:v>4.9999999999999989E-2</c:v>
                </c:pt>
                <c:pt idx="20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Ergebnisbewertung!$D$14</c:f>
              <c:strCache>
                <c:ptCount val="1"/>
                <c:pt idx="0">
                  <c:v>polynom SA(GD)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Ergebnisbewertung!$B$15:$B$35</c:f>
              <c:numCache>
                <c:formatCode>General</c:formatCode>
                <c:ptCount val="2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-1</c:v>
                </c:pt>
                <c:pt idx="12">
                  <c:v>-2</c:v>
                </c:pt>
                <c:pt idx="13">
                  <c:v>-3</c:v>
                </c:pt>
                <c:pt idx="14">
                  <c:v>-4</c:v>
                </c:pt>
                <c:pt idx="15">
                  <c:v>-5</c:v>
                </c:pt>
                <c:pt idx="16">
                  <c:v>-6</c:v>
                </c:pt>
                <c:pt idx="17">
                  <c:v>-7</c:v>
                </c:pt>
                <c:pt idx="18">
                  <c:v>-8</c:v>
                </c:pt>
                <c:pt idx="19">
                  <c:v>-9</c:v>
                </c:pt>
                <c:pt idx="20">
                  <c:v>-10</c:v>
                </c:pt>
              </c:numCache>
            </c:numRef>
          </c:xVal>
          <c:yVal>
            <c:numRef>
              <c:f>Ergebnisbewertung!$D$15:$D$35</c:f>
              <c:numCache>
                <c:formatCode>0.00</c:formatCode>
                <c:ptCount val="21"/>
                <c:pt idx="0">
                  <c:v>1.5</c:v>
                </c:pt>
                <c:pt idx="1">
                  <c:v>1.2717499999999999</c:v>
                </c:pt>
                <c:pt idx="2">
                  <c:v>1.0840000000000001</c:v>
                </c:pt>
                <c:pt idx="3">
                  <c:v>0.93224999999999991</c:v>
                </c:pt>
                <c:pt idx="4">
                  <c:v>0.81200000000000006</c:v>
                </c:pt>
                <c:pt idx="5">
                  <c:v>0.71875</c:v>
                </c:pt>
                <c:pt idx="6">
                  <c:v>0.64800000000000002</c:v>
                </c:pt>
                <c:pt idx="7">
                  <c:v>0.59525000000000006</c:v>
                </c:pt>
                <c:pt idx="8">
                  <c:v>0.55600000000000005</c:v>
                </c:pt>
                <c:pt idx="9">
                  <c:v>0.52575000000000005</c:v>
                </c:pt>
                <c:pt idx="10">
                  <c:v>0.5</c:v>
                </c:pt>
                <c:pt idx="11">
                  <c:v>0.47425</c:v>
                </c:pt>
                <c:pt idx="12">
                  <c:v>0.44400000000000001</c:v>
                </c:pt>
                <c:pt idx="13">
                  <c:v>0.40475</c:v>
                </c:pt>
                <c:pt idx="14">
                  <c:v>0.35199999999999998</c:v>
                </c:pt>
                <c:pt idx="15">
                  <c:v>0.28125</c:v>
                </c:pt>
                <c:pt idx="16">
                  <c:v>0.18799999999999994</c:v>
                </c:pt>
                <c:pt idx="17">
                  <c:v>6.7749999999999977E-2</c:v>
                </c:pt>
                <c:pt idx="18">
                  <c:v>-8.4000000000000075E-2</c:v>
                </c:pt>
                <c:pt idx="19">
                  <c:v>-0.27175000000000005</c:v>
                </c:pt>
                <c:pt idx="20">
                  <c:v>-0.5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705504"/>
        <c:axId val="371705896"/>
      </c:scatterChart>
      <c:valAx>
        <c:axId val="371705504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dR</a:t>
                </a:r>
              </a:p>
            </c:rich>
          </c:tx>
          <c:layout>
            <c:manualLayout>
              <c:xMode val="edge"/>
              <c:yMode val="edge"/>
              <c:x val="0.91191969081891788"/>
              <c:y val="0.952719820712532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1705896"/>
        <c:crosses val="autoZero"/>
        <c:crossBetween val="midCat"/>
      </c:valAx>
      <c:valAx>
        <c:axId val="371705896"/>
        <c:scaling>
          <c:orientation val="minMax"/>
          <c:max val="2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1705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Gewinnwahrscheinlichkeit EA</a:t>
            </a:r>
            <a:r>
              <a:rPr lang="en-US" baseline="0"/>
              <a:t> in Abhängigkeit der ELO-Differenz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Ergebnisvorhersage!$C$9</c:f>
              <c:strCache>
                <c:ptCount val="1"/>
                <c:pt idx="0">
                  <c:v>EA(dR)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Ergebnisvorhersage!$B$10:$B$90</c:f>
              <c:numCache>
                <c:formatCode>0.0</c:formatCode>
                <c:ptCount val="81"/>
                <c:pt idx="0">
                  <c:v>-100</c:v>
                </c:pt>
                <c:pt idx="1">
                  <c:v>-97.5</c:v>
                </c:pt>
                <c:pt idx="2">
                  <c:v>-95</c:v>
                </c:pt>
                <c:pt idx="3">
                  <c:v>-92.5</c:v>
                </c:pt>
                <c:pt idx="4">
                  <c:v>-90</c:v>
                </c:pt>
                <c:pt idx="5">
                  <c:v>-87.5</c:v>
                </c:pt>
                <c:pt idx="6">
                  <c:v>-85</c:v>
                </c:pt>
                <c:pt idx="7">
                  <c:v>-82.5</c:v>
                </c:pt>
                <c:pt idx="8">
                  <c:v>-80</c:v>
                </c:pt>
                <c:pt idx="9">
                  <c:v>-77.5</c:v>
                </c:pt>
                <c:pt idx="10">
                  <c:v>-75</c:v>
                </c:pt>
                <c:pt idx="11">
                  <c:v>-72.5</c:v>
                </c:pt>
                <c:pt idx="12">
                  <c:v>-70</c:v>
                </c:pt>
                <c:pt idx="13">
                  <c:v>-67.5</c:v>
                </c:pt>
                <c:pt idx="14">
                  <c:v>-65</c:v>
                </c:pt>
                <c:pt idx="15">
                  <c:v>-62.5</c:v>
                </c:pt>
                <c:pt idx="16">
                  <c:v>-60</c:v>
                </c:pt>
                <c:pt idx="17">
                  <c:v>-57.5</c:v>
                </c:pt>
                <c:pt idx="18">
                  <c:v>-55</c:v>
                </c:pt>
                <c:pt idx="19">
                  <c:v>-52.5</c:v>
                </c:pt>
                <c:pt idx="20">
                  <c:v>-50</c:v>
                </c:pt>
                <c:pt idx="21">
                  <c:v>-47.5</c:v>
                </c:pt>
                <c:pt idx="22">
                  <c:v>-45</c:v>
                </c:pt>
                <c:pt idx="23">
                  <c:v>-42.5</c:v>
                </c:pt>
                <c:pt idx="24">
                  <c:v>-40</c:v>
                </c:pt>
                <c:pt idx="25">
                  <c:v>-37.5</c:v>
                </c:pt>
                <c:pt idx="26">
                  <c:v>-35</c:v>
                </c:pt>
                <c:pt idx="27">
                  <c:v>-32.5</c:v>
                </c:pt>
                <c:pt idx="28">
                  <c:v>-30</c:v>
                </c:pt>
                <c:pt idx="29">
                  <c:v>-27.5</c:v>
                </c:pt>
                <c:pt idx="30">
                  <c:v>-25</c:v>
                </c:pt>
                <c:pt idx="31">
                  <c:v>-22.5</c:v>
                </c:pt>
                <c:pt idx="32">
                  <c:v>-20</c:v>
                </c:pt>
                <c:pt idx="33">
                  <c:v>-17.5</c:v>
                </c:pt>
                <c:pt idx="34">
                  <c:v>-15</c:v>
                </c:pt>
                <c:pt idx="35">
                  <c:v>-12.5</c:v>
                </c:pt>
                <c:pt idx="36">
                  <c:v>-10</c:v>
                </c:pt>
                <c:pt idx="37">
                  <c:v>-7.5</c:v>
                </c:pt>
                <c:pt idx="38">
                  <c:v>-5</c:v>
                </c:pt>
                <c:pt idx="39">
                  <c:v>-2.5</c:v>
                </c:pt>
                <c:pt idx="40">
                  <c:v>0</c:v>
                </c:pt>
                <c:pt idx="41">
                  <c:v>2.5</c:v>
                </c:pt>
                <c:pt idx="42">
                  <c:v>5</c:v>
                </c:pt>
                <c:pt idx="43">
                  <c:v>7.5</c:v>
                </c:pt>
                <c:pt idx="44">
                  <c:v>10</c:v>
                </c:pt>
                <c:pt idx="45">
                  <c:v>12.5</c:v>
                </c:pt>
                <c:pt idx="46">
                  <c:v>15</c:v>
                </c:pt>
                <c:pt idx="47">
                  <c:v>17.5</c:v>
                </c:pt>
                <c:pt idx="48">
                  <c:v>20</c:v>
                </c:pt>
                <c:pt idx="49">
                  <c:v>22.5</c:v>
                </c:pt>
                <c:pt idx="50">
                  <c:v>25</c:v>
                </c:pt>
                <c:pt idx="51">
                  <c:v>27.5</c:v>
                </c:pt>
                <c:pt idx="52">
                  <c:v>30</c:v>
                </c:pt>
                <c:pt idx="53">
                  <c:v>32.5</c:v>
                </c:pt>
                <c:pt idx="54">
                  <c:v>35</c:v>
                </c:pt>
                <c:pt idx="55">
                  <c:v>37.5</c:v>
                </c:pt>
                <c:pt idx="56">
                  <c:v>40</c:v>
                </c:pt>
                <c:pt idx="57">
                  <c:v>42.5</c:v>
                </c:pt>
                <c:pt idx="58">
                  <c:v>45</c:v>
                </c:pt>
                <c:pt idx="59">
                  <c:v>47.5</c:v>
                </c:pt>
                <c:pt idx="60">
                  <c:v>50</c:v>
                </c:pt>
                <c:pt idx="61">
                  <c:v>52.5</c:v>
                </c:pt>
                <c:pt idx="62">
                  <c:v>55</c:v>
                </c:pt>
                <c:pt idx="63">
                  <c:v>57.5</c:v>
                </c:pt>
                <c:pt idx="64">
                  <c:v>60</c:v>
                </c:pt>
                <c:pt idx="65">
                  <c:v>62.5</c:v>
                </c:pt>
                <c:pt idx="66">
                  <c:v>65</c:v>
                </c:pt>
                <c:pt idx="67">
                  <c:v>67.5</c:v>
                </c:pt>
                <c:pt idx="68">
                  <c:v>70</c:v>
                </c:pt>
                <c:pt idx="69">
                  <c:v>72.5</c:v>
                </c:pt>
                <c:pt idx="70">
                  <c:v>75</c:v>
                </c:pt>
                <c:pt idx="71">
                  <c:v>77.5</c:v>
                </c:pt>
                <c:pt idx="72">
                  <c:v>80</c:v>
                </c:pt>
                <c:pt idx="73">
                  <c:v>82.5</c:v>
                </c:pt>
                <c:pt idx="74">
                  <c:v>85</c:v>
                </c:pt>
                <c:pt idx="75">
                  <c:v>87.5</c:v>
                </c:pt>
                <c:pt idx="76">
                  <c:v>90</c:v>
                </c:pt>
                <c:pt idx="77">
                  <c:v>92.5</c:v>
                </c:pt>
                <c:pt idx="78">
                  <c:v>95</c:v>
                </c:pt>
                <c:pt idx="79">
                  <c:v>97.5</c:v>
                </c:pt>
                <c:pt idx="80">
                  <c:v>100</c:v>
                </c:pt>
              </c:numCache>
            </c:numRef>
          </c:xVal>
          <c:yVal>
            <c:numRef>
              <c:f>Ergebnisvorhersage!$C$10:$C$90</c:f>
              <c:numCache>
                <c:formatCode>0.00</c:formatCode>
                <c:ptCount val="81"/>
                <c:pt idx="0">
                  <c:v>0.99009900990099009</c:v>
                </c:pt>
                <c:pt idx="1">
                  <c:v>0.98890431113369237</c:v>
                </c:pt>
                <c:pt idx="2">
                  <c:v>0.98756726474555756</c:v>
                </c:pt>
                <c:pt idx="3">
                  <c:v>0.98607137165854641</c:v>
                </c:pt>
                <c:pt idx="4">
                  <c:v>0.98439833775817043</c:v>
                </c:pt>
                <c:pt idx="5">
                  <c:v>0.98252790850516658</c:v>
                </c:pt>
                <c:pt idx="6">
                  <c:v>0.9804376961274206</c:v>
                </c:pt>
                <c:pt idx="7">
                  <c:v>0.97810300135176664</c:v>
                </c:pt>
                <c:pt idx="8">
                  <c:v>0.97549663244966411</c:v>
                </c:pt>
                <c:pt idx="9">
                  <c:v>0.97258872537269336</c:v>
                </c:pt>
                <c:pt idx="10">
                  <c:v>0.96934656996828439</c:v>
                </c:pt>
                <c:pt idx="11">
                  <c:v>0.96573444871517511</c:v>
                </c:pt>
                <c:pt idx="12">
                  <c:v>0.96171349611774537</c:v>
                </c:pt>
                <c:pt idx="13">
                  <c:v>0.957241588853464</c:v>
                </c:pt>
                <c:pt idx="14">
                  <c:v>0.95227327896579617</c:v>
                </c:pt>
                <c:pt idx="15">
                  <c:v>0.94675978479797751</c:v>
                </c:pt>
                <c:pt idx="16">
                  <c:v>0.94064905689723233</c:v>
                </c:pt>
                <c:pt idx="17">
                  <c:v>0.93388593866280434</c:v>
                </c:pt>
                <c:pt idx="18">
                  <c:v>0.92641244388242638</c:v>
                </c:pt>
                <c:pt idx="19">
                  <c:v>0.91816817524484806</c:v>
                </c:pt>
                <c:pt idx="20">
                  <c:v>0.90909090909090906</c:v>
                </c:pt>
                <c:pt idx="21">
                  <c:v>0.89911737164327676</c:v>
                </c:pt>
                <c:pt idx="22">
                  <c:v>0.88818423022188309</c:v>
                </c:pt>
                <c:pt idx="23">
                  <c:v>0.87622931893106459</c:v>
                </c:pt>
                <c:pt idx="24">
                  <c:v>0.86319311139679011</c:v>
                </c:pt>
                <c:pt idx="25">
                  <c:v>0.84902044278867672</c:v>
                </c:pt>
                <c:pt idx="26">
                  <c:v>0.83366246918343812</c:v>
                </c:pt>
                <c:pt idx="27">
                  <c:v>0.81707883419997429</c:v>
                </c:pt>
                <c:pt idx="28">
                  <c:v>0.79923999108689825</c:v>
                </c:pt>
                <c:pt idx="29">
                  <c:v>0.78012960399315845</c:v>
                </c:pt>
                <c:pt idx="30">
                  <c:v>0.75974692664795784</c:v>
                </c:pt>
                <c:pt idx="31">
                  <c:v>0.73810903254041871</c:v>
                </c:pt>
                <c:pt idx="32">
                  <c:v>0.71525275104919872</c:v>
                </c:pt>
                <c:pt idx="33">
                  <c:v>0.69123615241476299</c:v>
                </c:pt>
                <c:pt idx="34">
                  <c:v>0.66613942458312214</c:v>
                </c:pt>
                <c:pt idx="35">
                  <c:v>0.64006499980288512</c:v>
                </c:pt>
                <c:pt idx="36">
                  <c:v>0.61313682015314308</c:v>
                </c:pt>
                <c:pt idx="37">
                  <c:v>0.58549867867180949</c:v>
                </c:pt>
                <c:pt idx="38">
                  <c:v>0.55731163376229276</c:v>
                </c:pt>
                <c:pt idx="39">
                  <c:v>0.5287505638922686</c:v>
                </c:pt>
                <c:pt idx="40">
                  <c:v>0.5</c:v>
                </c:pt>
                <c:pt idx="41">
                  <c:v>0.47124943610773129</c:v>
                </c:pt>
                <c:pt idx="42">
                  <c:v>0.44268836623770724</c:v>
                </c:pt>
                <c:pt idx="43">
                  <c:v>0.41450132132819051</c:v>
                </c:pt>
                <c:pt idx="44">
                  <c:v>0.38686317984685692</c:v>
                </c:pt>
                <c:pt idx="45">
                  <c:v>0.35993500019711488</c:v>
                </c:pt>
                <c:pt idx="46">
                  <c:v>0.33386057541687791</c:v>
                </c:pt>
                <c:pt idx="47">
                  <c:v>0.30876384758523701</c:v>
                </c:pt>
                <c:pt idx="48">
                  <c:v>0.28474724895080139</c:v>
                </c:pt>
                <c:pt idx="49">
                  <c:v>0.26189096745958135</c:v>
                </c:pt>
                <c:pt idx="50">
                  <c:v>0.2402530733520421</c:v>
                </c:pt>
                <c:pt idx="51">
                  <c:v>0.2198703960068415</c:v>
                </c:pt>
                <c:pt idx="52">
                  <c:v>0.20076000891310175</c:v>
                </c:pt>
                <c:pt idx="53">
                  <c:v>0.18292116580002576</c:v>
                </c:pt>
                <c:pt idx="54">
                  <c:v>0.16633753081656188</c:v>
                </c:pt>
                <c:pt idx="55">
                  <c:v>0.15097955721132328</c:v>
                </c:pt>
                <c:pt idx="56">
                  <c:v>0.13680688860320997</c:v>
                </c:pt>
                <c:pt idx="57">
                  <c:v>0.12377068106893543</c:v>
                </c:pt>
                <c:pt idx="58">
                  <c:v>0.11181576977811693</c:v>
                </c:pt>
                <c:pt idx="59">
                  <c:v>0.10088262835672331</c:v>
                </c:pt>
                <c:pt idx="60">
                  <c:v>9.0909090909090912E-2</c:v>
                </c:pt>
                <c:pt idx="61">
                  <c:v>8.1831824755151994E-2</c:v>
                </c:pt>
                <c:pt idx="62">
                  <c:v>7.3587556117573491E-2</c:v>
                </c:pt>
                <c:pt idx="63">
                  <c:v>6.6114061337195593E-2</c:v>
                </c:pt>
                <c:pt idx="64">
                  <c:v>5.9350943102767589E-2</c:v>
                </c:pt>
                <c:pt idx="65">
                  <c:v>5.324021520202242E-2</c:v>
                </c:pt>
                <c:pt idx="66">
                  <c:v>4.7726721034203889E-2</c:v>
                </c:pt>
                <c:pt idx="67">
                  <c:v>4.2758411146536043E-2</c:v>
                </c:pt>
                <c:pt idx="68">
                  <c:v>3.8286503882254734E-2</c:v>
                </c:pt>
                <c:pt idx="69">
                  <c:v>3.4265551284824967E-2</c:v>
                </c:pt>
                <c:pt idx="70">
                  <c:v>3.0653430031715501E-2</c:v>
                </c:pt>
                <c:pt idx="71">
                  <c:v>2.7411274627306501E-2</c:v>
                </c:pt>
                <c:pt idx="72">
                  <c:v>2.4503367550335973E-2</c:v>
                </c:pt>
                <c:pt idx="73">
                  <c:v>2.1896998648233367E-2</c:v>
                </c:pt>
                <c:pt idx="74">
                  <c:v>1.9562303872579515E-2</c:v>
                </c:pt>
                <c:pt idx="75">
                  <c:v>1.747209149483344E-2</c:v>
                </c:pt>
                <c:pt idx="76">
                  <c:v>1.5601662241829593E-2</c:v>
                </c:pt>
                <c:pt idx="77">
                  <c:v>1.3928628341453532E-2</c:v>
                </c:pt>
                <c:pt idx="78">
                  <c:v>1.2432735254442398E-2</c:v>
                </c:pt>
                <c:pt idx="79">
                  <c:v>1.1095688866307732E-2</c:v>
                </c:pt>
                <c:pt idx="80">
                  <c:v>9.9009900990099011E-3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706680"/>
        <c:axId val="386766480"/>
      </c:scatterChart>
      <c:valAx>
        <c:axId val="371706680"/>
        <c:scaling>
          <c:orientation val="minMax"/>
          <c:max val="10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dR</a:t>
                </a:r>
              </a:p>
            </c:rich>
          </c:tx>
          <c:layout>
            <c:manualLayout>
              <c:xMode val="edge"/>
              <c:yMode val="edge"/>
              <c:x val="0.91191969081891788"/>
              <c:y val="0.952719820712532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6766480"/>
        <c:crosses val="autoZero"/>
        <c:crossBetween val="midCat"/>
      </c:valAx>
      <c:valAx>
        <c:axId val="38676648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1706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13</xdr:row>
      <xdr:rowOff>0</xdr:rowOff>
    </xdr:from>
    <xdr:to>
      <xdr:col>22</xdr:col>
      <xdr:colOff>466725</xdr:colOff>
      <xdr:row>52</xdr:row>
      <xdr:rowOff>161925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742951</xdr:colOff>
      <xdr:row>9</xdr:row>
      <xdr:rowOff>19050</xdr:rowOff>
    </xdr:from>
    <xdr:to>
      <xdr:col>8</xdr:col>
      <xdr:colOff>574951</xdr:colOff>
      <xdr:row>24</xdr:row>
      <xdr:rowOff>41550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600075</xdr:colOff>
      <xdr:row>8</xdr:row>
      <xdr:rowOff>180974</xdr:rowOff>
    </xdr:from>
    <xdr:to>
      <xdr:col>4</xdr:col>
      <xdr:colOff>260625</xdr:colOff>
      <xdr:row>24</xdr:row>
      <xdr:rowOff>12974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295275</xdr:colOff>
      <xdr:row>9</xdr:row>
      <xdr:rowOff>9525</xdr:rowOff>
    </xdr:from>
    <xdr:to>
      <xdr:col>13</xdr:col>
      <xdr:colOff>127275</xdr:colOff>
      <xdr:row>24</xdr:row>
      <xdr:rowOff>32025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733425</xdr:colOff>
      <xdr:row>25</xdr:row>
      <xdr:rowOff>19050</xdr:rowOff>
    </xdr:from>
    <xdr:to>
      <xdr:col>8</xdr:col>
      <xdr:colOff>565425</xdr:colOff>
      <xdr:row>40</xdr:row>
      <xdr:rowOff>41550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19051</xdr:colOff>
      <xdr:row>11</xdr:row>
      <xdr:rowOff>180976</xdr:rowOff>
    </xdr:from>
    <xdr:to>
      <xdr:col>23</xdr:col>
      <xdr:colOff>171451</xdr:colOff>
      <xdr:row>44</xdr:row>
      <xdr:rowOff>180976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9</xdr:row>
      <xdr:rowOff>19049</xdr:rowOff>
    </xdr:from>
    <xdr:to>
      <xdr:col>23</xdr:col>
      <xdr:colOff>9525</xdr:colOff>
      <xdr:row>46</xdr:row>
      <xdr:rowOff>9524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6" name="Tabelle6" displayName="Tabelle6" ref="B1:H693" totalsRowShown="0" headerRowDxfId="150">
  <autoFilter ref="B1:H693"/>
  <tableColumns count="7">
    <tableColumn id="1" name="player_A1"/>
    <tableColumn id="2" name="player_A2"/>
    <tableColumn id="3" name="player_B1"/>
    <tableColumn id="4" name="player_B2"/>
    <tableColumn id="5" name="Tore A"/>
    <tableColumn id="6" name="Tore B"/>
    <tableColumn id="7" name="match_number" dataDxfId="26">
      <calculatedColumnFormula>H1+1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J2:W12" totalsRowShown="0">
  <autoFilter ref="J2:W12"/>
  <tableColumns count="14">
    <tableColumn id="1" name="Match" dataDxfId="149"/>
    <tableColumn id="2" name="Spieler 1 " dataDxfId="148">
      <calculatedColumnFormula>INDEX(Tabelle6[#All],Tabelle1[[#This Row],[Match]]+1,1)</calculatedColumnFormula>
    </tableColumn>
    <tableColumn id="12" name="ELO" dataDxfId="147">
      <calculatedColumnFormula>INDEX(Tabelle12[#All],Tabelle1[[#This Row],[Match]]+2,28)</calculatedColumnFormula>
    </tableColumn>
    <tableColumn id="3" name="Spieler 2" dataDxfId="146">
      <calculatedColumnFormula>INDEX(Tabelle6[#All],Tabelle1[[#This Row],[Match]]+1,2)</calculatedColumnFormula>
    </tableColumn>
    <tableColumn id="11" name="ELO2" dataDxfId="145">
      <calculatedColumnFormula>INDEX(Tabelle12[#All],Tabelle1[[#This Row],[Match]]+2,29)</calculatedColumnFormula>
    </tableColumn>
    <tableColumn id="8" name="vs." dataDxfId="144" totalsRowDxfId="143"/>
    <tableColumn id="4" name="Spieler 3" dataDxfId="142">
      <calculatedColumnFormula>INDEX(Tabelle6[#All],Tabelle1[[#This Row],[Match]]+1,3)</calculatedColumnFormula>
    </tableColumn>
    <tableColumn id="13" name="ELO3" dataDxfId="141">
      <calculatedColumnFormula>INDEX(Tabelle12[#All],Tabelle1[[#This Row],[Match]]+2,30)</calculatedColumnFormula>
    </tableColumn>
    <tableColumn id="5" name="Spieler 4" dataDxfId="140">
      <calculatedColumnFormula>INDEX(Tabelle6[#All],Tabelle1[[#This Row],[Match]]+1,4)</calculatedColumnFormula>
    </tableColumn>
    <tableColumn id="14" name="ELO4" dataDxfId="139">
      <calculatedColumnFormula>INDEX(Tabelle12[#All],Tabelle1[[#This Row],[Match]]+2,31)</calculatedColumnFormula>
    </tableColumn>
    <tableColumn id="10" name="zu" dataDxfId="138" totalsRowDxfId="137"/>
    <tableColumn id="6" name="Tore 1" dataDxfId="136" totalsRowDxfId="135">
      <calculatedColumnFormula>INDEX(Tabelle6[#All],Tabelle1[[#This Row],[Match]]+1,5)</calculatedColumnFormula>
    </tableColumn>
    <tableColumn id="9" name=":" dataDxfId="134" totalsRowDxfId="133">
      <calculatedColumnFormula>Tabelle1[[#Headers],[:]]</calculatedColumnFormula>
    </tableColumn>
    <tableColumn id="7" name="Tore 2" dataDxfId="132" totalsRowDxfId="131">
      <calculatedColumnFormula>INDEX(Tabelle6[#All],Tabelle1[[#This Row],[Match]]+1,6)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C2:H50" totalsRowCount="1">
  <autoFilter ref="C2:H49"/>
  <sortState ref="C3:H49">
    <sortCondition descending="1" ref="D2:D49"/>
  </sortState>
  <tableColumns count="6">
    <tableColumn id="2" name="Name" dataDxfId="130">
      <calculatedColumnFormula>IF(Tabelle2[[#This Row],[ID]]&gt;1,INDEX(SpielerDaten!$1:$1,1,Tabelle2[[#This Row],[ID]]),"")</calculatedColumnFormula>
    </tableColumn>
    <tableColumn id="3" name="ELO" totalsRowFunction="average" dataDxfId="129" totalsRowDxfId="128">
      <calculatedColumnFormula>IF(Tabelle2[[#This Row],[ID]]&gt;1,INDEX(Tabelle11[#All],2,$H3),0)</calculatedColumnFormula>
    </tableColumn>
    <tableColumn id="4" name="Max" totalsRowFunction="max" dataDxfId="127" totalsRowDxfId="126">
      <calculatedColumnFormula>IF(Tabelle2[[#This Row],[ID]]&gt;1,INDEX(Tabelle11[#All],3,$H3),0)</calculatedColumnFormula>
    </tableColumn>
    <tableColumn id="5" name="Min" totalsRowFunction="min" dataDxfId="125" totalsRowDxfId="124">
      <calculatedColumnFormula>IF(Tabelle2[[#This Row],[ID]]&gt;1,INDEX(Tabelle11[#All],4,$H3),0)</calculatedColumnFormula>
    </tableColumn>
    <tableColumn id="1" name="Team" dataDxfId="123">
      <calculatedColumnFormula>IF(Tabelle2[[#This Row],[ID]]&gt;1,INDEX(Tabelle11[#All],9,$H3),"")</calculatedColumnFormula>
    </tableColumn>
    <tableColumn id="8" name="ID" dataDxfId="122" totalsRowDxfId="12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Tabelle5" displayName="Tabelle5" ref="A2:B49" totalsRowShown="0" headerRowDxfId="120" dataDxfId="118" headerRowBorderDxfId="119" tableBorderDxfId="117" totalsRowBorderDxfId="116">
  <autoFilter ref="A2:B49"/>
  <tableColumns count="2">
    <tableColumn id="1" name="Platz" dataDxfId="115"/>
    <tableColumn id="2" name="Spalte1" dataDxfId="11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10" name="Tabelle10" displayName="Tabelle10" ref="AF1:AJ732" totalsRowShown="0" headerRowDxfId="113" dataDxfId="112">
  <autoFilter ref="AF1:AJ732"/>
  <tableColumns count="5">
    <tableColumn id="1" name="Spalte1" dataDxfId="111">
      <calculatedColumnFormula>IF(IFERROR(Tabelle12[[#This Row],[Spiel]],0)=0,AF1+1,Tabelle12[[#This Row],[Spiel]])</calculatedColumnFormula>
    </tableColumn>
    <tableColumn id="2" name="Spalte2" dataDxfId="110">
      <calculatedColumnFormula>INDEX(Tabelle11[#All],Tabelle10[[#This Row],[Spalte1]]+14,Ranking!$AG$2)</calculatedColumnFormula>
    </tableColumn>
    <tableColumn id="3" name="Spalte3" dataDxfId="109">
      <calculatedColumnFormula>INDEX(Tabelle11[#All],Tabelle10[[#This Row],[Spalte1]]+14,$AH$2)</calculatedColumnFormula>
    </tableColumn>
    <tableColumn id="4" name="Spalte4" dataDxfId="108">
      <calculatedColumnFormula>INDEX(Tabelle11[#All],Tabelle10[[#This Row],[Spalte1]]+14,$AI$2)</calculatedColumnFormula>
    </tableColumn>
    <tableColumn id="5" name="Spalte5" dataDxfId="107">
      <calculatedColumnFormula>INDEX(Tabelle11[#All],Tabelle10[[#This Row],[Spalte1]]+14,Ranking!$AJ$2)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2" name="Tabelle12" displayName="Tabelle12" ref="A1:AK581" totalsRowShown="0">
  <tableColumns count="37">
    <tableColumn id="1" name="Spiel"/>
    <tableColumn id="2" name="Team A"/>
    <tableColumn id="3" name="Team A2"/>
    <tableColumn id="4" name="Team B"/>
    <tableColumn id="5" name="Team B3"/>
    <tableColumn id="6" name="Tore A"/>
    <tableColumn id="7" name="Tore B"/>
    <tableColumn id="32" name=" " dataDxfId="106"/>
    <tableColumn id="27" name="ELO vorher A1" dataDxfId="105">
      <calculatedColumnFormula>INDEX(Tabelle11[#All],(Tabelle12[[#This Row],[Spiel]]+13),Tabelle12[[#This Row],[ID A1]])</calculatedColumnFormula>
    </tableColumn>
    <tableColumn id="26" name="ELO vorher A2" dataDxfId="104">
      <calculatedColumnFormula>INDEX(Tabelle11[#All],(Tabelle12[[#This Row],[Spiel]]+13),Tabelle12[[#This Row],[ID A2]])</calculatedColumnFormula>
    </tableColumn>
    <tableColumn id="25" name="ELO A gesamt"/>
    <tableColumn id="33" name="Anteil A1"/>
    <tableColumn id="34" name="Anteil A2"/>
    <tableColumn id="35" name=" 4" dataDxfId="103"/>
    <tableColumn id="24" name="ELO vorher B1" dataDxfId="102">
      <calculatedColumnFormula>INDEX(Tabelle11[#All],(Tabelle12[[#This Row],[Spiel]]+13),Tabelle12[[#This Row],[ID B1]])</calculatedColumnFormula>
    </tableColumn>
    <tableColumn id="30" name="ELO vorher B2" dataDxfId="101">
      <calculatedColumnFormula>INDEX(Tabelle11[#All],(Tabelle12[[#This Row],[Spiel]]+13),Tabelle12[[#This Row],[ID B2]])</calculatedColumnFormula>
    </tableColumn>
    <tableColumn id="31" name="ELO B gesamt"/>
    <tableColumn id="36" name="Anteil B1"/>
    <tableColumn id="37" name="Anteil B2"/>
    <tableColumn id="10" name=" 2" dataDxfId="100"/>
    <tableColumn id="11" name="Erwartung A"/>
    <tableColumn id="12" name="Erwartung B"/>
    <tableColumn id="8" name="Bewertung A"/>
    <tableColumn id="9" name="Bewertung B"/>
    <tableColumn id="13" name=" 3" dataDxfId="99"/>
    <tableColumn id="20" name="Änderung A">
      <calculatedColumnFormula>#REF!*(AD1-U2)</calculatedColumnFormula>
    </tableColumn>
    <tableColumn id="22" name="Änderung B">
      <calculatedColumnFormula>#REF!*(AE1-V2)</calculatedColumnFormula>
    </tableColumn>
    <tableColumn id="23" name="Änderung A1">
      <calculatedColumnFormula>AA2</calculatedColumnFormula>
    </tableColumn>
    <tableColumn id="14" name="Änderung A2"/>
    <tableColumn id="15" name="Änderung B1"/>
    <tableColumn id="16" name="Änderung B2"/>
    <tableColumn id="17" name=" 32" dataDxfId="98"/>
    <tableColumn id="18" name="0"/>
    <tableColumn id="21" name="ID A1" dataDxfId="97">
      <calculatedColumnFormula>MATCH(Tabelle12[[#This Row],[Team A]],SpielerDaten!$1:$1,0)</calculatedColumnFormula>
    </tableColumn>
    <tableColumn id="28" name="ID A2" dataDxfId="96">
      <calculatedColumnFormula>MATCH(Tabelle12[[#This Row],[Team A2]],SpielerDaten!$1:$1,0)</calculatedColumnFormula>
    </tableColumn>
    <tableColumn id="29" name="ID B1" dataDxfId="95">
      <calculatedColumnFormula>MATCH(Tabelle12[[#This Row],[Team B]],SpielerDaten!$1:$1,0)</calculatedColumnFormula>
    </tableColumn>
    <tableColumn id="38" name="ID B2" dataDxfId="94">
      <calculatedColumnFormula>MATCH(Tabelle12[[#This Row],[Team B3]],SpielerDaten!$1:$1,0)</calculatedColumnFormula>
    </tableColumn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11" name="Tabelle11" displayName="Tabelle11" ref="A1:BH656" totalsRowShown="0" headerRowDxfId="93">
  <autoFilter ref="A1:BH656"/>
  <tableColumns count="60">
    <tableColumn id="1" name="Name"/>
    <tableColumn id="2" name="Aleix_V" dataDxfId="92">
      <calculatedColumnFormula>IF(IFERROR(MATCH(B$13,$C2:$F2,0),0)=0,B1,INDEX($S2:$V2,MATCH(B$13,$C2:$F2,0))+B1)</calculatedColumnFormula>
    </tableColumn>
    <tableColumn id="3" name="Andres_H" dataDxfId="91">
      <calculatedColumnFormula>IF(IFERROR(MATCH(C$13,$C2:$F2,0),0)=0,C1,INDEX($S2:$V2,MATCH(C$13,$C2:$F2,0))+C1)</calculatedColumnFormula>
    </tableColumn>
    <tableColumn id="4" name="Anton_K" dataDxfId="90">
      <calculatedColumnFormula>IF(IFERROR(MATCH(D$13,$C2:$F2,0),0)=0,D1,INDEX($S2:$V2,MATCH(D$13,$C2:$F2,0))+D1)</calculatedColumnFormula>
    </tableColumn>
    <tableColumn id="5" name="Bastian_G" dataDxfId="89">
      <calculatedColumnFormula>IF(IFERROR(MATCH(E$13,$C2:$F2,0),0)=0,E1,INDEX($S2:$V2,MATCH(E$13,$C2:$F2,0))+E1)</calculatedColumnFormula>
    </tableColumn>
    <tableColumn id="6" name="Ben_S" dataDxfId="88">
      <calculatedColumnFormula>IF(IFERROR(MATCH(F$13,$C2:$F2,0),0)=0,F1,INDEX($S2:$V2,MATCH(F$13,$C2:$F2,0))+F1)</calculatedColumnFormula>
    </tableColumn>
    <tableColumn id="7" name="Benedikt_K" dataDxfId="87">
      <calculatedColumnFormula>IF(IFERROR(MATCH(G$13,$C2:$F2,0),0)=0,G1,INDEX($S2:$V2,MATCH(G$13,$C2:$F2,0))+G1)</calculatedColumnFormula>
    </tableColumn>
    <tableColumn id="8" name="Benedikt_R" dataDxfId="86">
      <calculatedColumnFormula>IF(IFERROR(MATCH(H$13,$C2:$F2,0),0)=0,H1,INDEX($S2:$V2,MATCH(H$13,$C2:$F2,0))+H1)</calculatedColumnFormula>
    </tableColumn>
    <tableColumn id="9" name="Carsten_H" dataDxfId="85">
      <calculatedColumnFormula>IF(IFERROR(MATCH(I$13,$C2:$F2,0),0)=0,I1,INDEX($S2:$V2,MATCH(I$13,$C2:$F2,0))+I1)</calculatedColumnFormula>
    </tableColumn>
    <tableColumn id="10" name="Christoph_R" dataDxfId="84">
      <calculatedColumnFormula>IF(IFERROR(MATCH(J$13,$C2:$F2,0),0)=0,J1,INDEX($S2:$V2,MATCH(J$13,$C2:$F2,0))+J1)</calculatedColumnFormula>
    </tableColumn>
    <tableColumn id="11" name="Claudius_J" dataDxfId="83">
      <calculatedColumnFormula>IF(IFERROR(MATCH(K$13,$C2:$F2,0),0)=0,K1,INDEX($S2:$V2,MATCH(K$13,$C2:$F2,0))+K1)</calculatedColumnFormula>
    </tableColumn>
    <tableColumn id="12" name="Daniel_D" dataDxfId="82">
      <calculatedColumnFormula>IF(IFERROR(MATCH(L$13,$C2:$F2,0),0)=0,L1,INDEX($S2:$V2,MATCH(L$13,$C2:$F2,0))+L1)</calculatedColumnFormula>
    </tableColumn>
    <tableColumn id="13" name="David_R" dataDxfId="81">
      <calculatedColumnFormula>IF(IFERROR(MATCH(M$13,$C2:$F2,0),0)=0,M1,INDEX($S2:$V2,MATCH(M$13,$C2:$F2,0))+M1)</calculatedColumnFormula>
    </tableColumn>
    <tableColumn id="14" name="Dennis_P" dataDxfId="80"/>
    <tableColumn id="15" name="Dennis_R" dataDxfId="79"/>
    <tableColumn id="16" name="Detlef_R" dataDxfId="78"/>
    <tableColumn id="17" name="Dmitrij_M" dataDxfId="77"/>
    <tableColumn id="18" name="Fabian_M" dataDxfId="76"/>
    <tableColumn id="19" name="Hannes_S" dataDxfId="75"/>
    <tableColumn id="20" name="Jan_B" dataDxfId="74"/>
    <tableColumn id="21" name="Jan_Hendrik_B" dataDxfId="73"/>
    <tableColumn id="22" name="Jens_N" dataDxfId="72"/>
    <tableColumn id="23" name="Johannes_S" dataDxfId="71"/>
    <tableColumn id="24" name="Jonathan_F" dataDxfId="70"/>
    <tableColumn id="25" name="Julius_P" dataDxfId="69"/>
    <tableColumn id="26" name="Louis_W" dataDxfId="68"/>
    <tableColumn id="27" name="Lukas_L" dataDxfId="67"/>
    <tableColumn id="28" name="Marcin_S" dataDxfId="66"/>
    <tableColumn id="29" name="Marco_K" dataDxfId="65"/>
    <tableColumn id="30" name="Marius_M" dataDxfId="64"/>
    <tableColumn id="31" name="Marvin_W" dataDxfId="63"/>
    <tableColumn id="32" name="Matthias_H" dataDxfId="62"/>
    <tableColumn id="33" name="Michael_D" dataDxfId="61"/>
    <tableColumn id="34" name="Patrick_S" dataDxfId="60"/>
    <tableColumn id="35" name="Rano_M" dataDxfId="59"/>
    <tableColumn id="36" name="Rene_N" dataDxfId="58"/>
    <tableColumn id="37" name="Rene_P" dataDxfId="57"/>
    <tableColumn id="38" name="Richard_D" dataDxfId="56"/>
    <tableColumn id="39" name="Rodrigo_R" dataDxfId="55"/>
    <tableColumn id="40" name="Sebastian_A" dataDxfId="54"/>
    <tableColumn id="41" name="Sebastian_St" dataDxfId="53"/>
    <tableColumn id="42" name="Simon_U" dataDxfId="52"/>
    <tableColumn id="43" name="Steffen_R" dataDxfId="51"/>
    <tableColumn id="44" name="Tim_R" dataDxfId="50"/>
    <tableColumn id="45" name="Tobias_S" dataDxfId="49"/>
    <tableColumn id="46" name="Tom_R" dataDxfId="48"/>
    <tableColumn id="47" name="Ton_L" dataDxfId="47"/>
    <tableColumn id="48" name="Yixin_G" dataDxfId="46"/>
    <tableColumn id="49" name="Spalte36" dataDxfId="45"/>
    <tableColumn id="50" name="Spalte37" dataDxfId="44"/>
    <tableColumn id="51" name="Spalte38" dataDxfId="43"/>
    <tableColumn id="52" name="Spalte39" dataDxfId="42"/>
    <tableColumn id="53" name="Spalte40" dataDxfId="41"/>
    <tableColumn id="54" name="Spalte41" dataDxfId="40"/>
    <tableColumn id="55" name="Spalte42" dataDxfId="39"/>
    <tableColumn id="56" name="Spalte43" dataDxfId="38"/>
    <tableColumn id="57" name="Spalte44" dataDxfId="37"/>
    <tableColumn id="58" name="Spalte45" dataDxfId="36"/>
    <tableColumn id="59" name="Spalte46" dataDxfId="35"/>
    <tableColumn id="60" name="Spalte47" dataDxfId="34"/>
  </tableColumns>
  <tableStyleInfo name="TableStyleMedium13" showFirstColumn="0" showLastColumn="0" showRowStripes="1" showColumnStripes="0"/>
</table>
</file>

<file path=xl/tables/table8.xml><?xml version="1.0" encoding="utf-8"?>
<table xmlns="http://schemas.openxmlformats.org/spreadsheetml/2006/main" id="9" name="Tabelle9" displayName="Tabelle9" ref="B14:D35" totalsRowShown="0">
  <autoFilter ref="B14:D35"/>
  <tableColumns count="3">
    <tableColumn id="1" name="GD"/>
    <tableColumn id="2" name="linear SA(GD)" dataDxfId="33">
      <calculatedColumnFormula>$S$3*B15^3+$S$4*B15^2+$S$5*B15+$S$6</calculatedColumnFormula>
    </tableColumn>
    <tableColumn id="3" name="polynom SA(GD)" dataDxfId="32">
      <calculatedColumnFormula>$R$3*B15^3+$R$4*B15^2+$R$5*B15+$R$6</calculatedColumn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3" name="Tabelle3" displayName="Tabelle3" ref="B9:C90" totalsRowShown="0">
  <autoFilter ref="B9:C90"/>
  <tableColumns count="2">
    <tableColumn id="1" name="dR" dataDxfId="31"/>
    <tableColumn id="2" name="EA(dR)" dataDxfId="30">
      <calculatedColumnFormula>1/(1+$C$5^(B10/$C$6))</calculatedColumn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8" name="Tabelle8" displayName="Tabelle8" ref="B2:F9" totalsRowShown="0">
  <autoFilter ref="B2:F9"/>
  <tableColumns count="5">
    <tableColumn id="1" name="vor dem Spiel"/>
    <tableColumn id="2" name="Rating vorher"/>
    <tableColumn id="3" name="Anteil" dataDxfId="29"/>
    <tableColumn id="4" name="Änderung" dataDxfId="28">
      <calculatedColumnFormula>C10*(1-Tabelle8[[#This Row],[Anteil]])</calculatedColumnFormula>
    </tableColumn>
    <tableColumn id="5" name="Rating nachher" dataDxfId="27">
      <calculatedColumnFormula>Tabelle8[[#This Row],[Rating vorher]]+Tabelle8[[#This Row],[Anteil]]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25"/>
  <sheetViews>
    <sheetView tabSelected="1" zoomScaleNormal="100" workbookViewId="0">
      <selection activeCell="B1" sqref="B1:G1048576"/>
    </sheetView>
  </sheetViews>
  <sheetFormatPr baseColWidth="10" defaultColWidth="13.42578125" defaultRowHeight="15" x14ac:dyDescent="0.25"/>
  <cols>
    <col min="8" max="8" width="16.7109375" bestFit="1" customWidth="1"/>
  </cols>
  <sheetData>
    <row r="1" spans="2:8" x14ac:dyDescent="0.25">
      <c r="B1" s="9" t="s">
        <v>238</v>
      </c>
      <c r="C1" s="10" t="s">
        <v>239</v>
      </c>
      <c r="D1" s="9" t="s">
        <v>240</v>
      </c>
      <c r="E1" s="10" t="s">
        <v>241</v>
      </c>
      <c r="F1" s="9" t="s">
        <v>40</v>
      </c>
      <c r="G1" s="9" t="s">
        <v>41</v>
      </c>
      <c r="H1" s="9" t="s">
        <v>237</v>
      </c>
    </row>
    <row r="2" spans="2:8" x14ac:dyDescent="0.25">
      <c r="B2" t="s">
        <v>208</v>
      </c>
      <c r="C2" s="11" t="s">
        <v>225</v>
      </c>
      <c r="D2" t="s">
        <v>196</v>
      </c>
      <c r="E2" s="11" t="s">
        <v>230</v>
      </c>
      <c r="F2">
        <v>10</v>
      </c>
      <c r="G2">
        <v>8</v>
      </c>
      <c r="H2">
        <v>1</v>
      </c>
    </row>
    <row r="3" spans="2:8" x14ac:dyDescent="0.25">
      <c r="B3" t="s">
        <v>208</v>
      </c>
      <c r="C3" s="11" t="s">
        <v>225</v>
      </c>
      <c r="D3" t="s">
        <v>196</v>
      </c>
      <c r="E3" s="11" t="s">
        <v>230</v>
      </c>
      <c r="F3">
        <v>7</v>
      </c>
      <c r="G3">
        <v>10</v>
      </c>
      <c r="H3">
        <f>H2+1</f>
        <v>2</v>
      </c>
    </row>
    <row r="4" spans="2:8" x14ac:dyDescent="0.25">
      <c r="B4" t="s">
        <v>227</v>
      </c>
      <c r="C4" s="11" t="s">
        <v>230</v>
      </c>
      <c r="D4" t="s">
        <v>217</v>
      </c>
      <c r="E4" s="11" t="s">
        <v>199</v>
      </c>
      <c r="F4">
        <v>4</v>
      </c>
      <c r="G4">
        <v>10</v>
      </c>
      <c r="H4">
        <f>H3+1</f>
        <v>3</v>
      </c>
    </row>
    <row r="5" spans="2:8" x14ac:dyDescent="0.25">
      <c r="B5" t="s">
        <v>227</v>
      </c>
      <c r="C5" s="11" t="s">
        <v>230</v>
      </c>
      <c r="D5" t="s">
        <v>217</v>
      </c>
      <c r="E5" s="11" t="s">
        <v>199</v>
      </c>
      <c r="F5">
        <v>10</v>
      </c>
      <c r="G5">
        <v>8</v>
      </c>
      <c r="H5">
        <f>H4+1</f>
        <v>4</v>
      </c>
    </row>
    <row r="6" spans="2:8" x14ac:dyDescent="0.25">
      <c r="B6" t="s">
        <v>227</v>
      </c>
      <c r="C6" s="11" t="s">
        <v>208</v>
      </c>
      <c r="D6" t="s">
        <v>225</v>
      </c>
      <c r="E6" s="11" t="s">
        <v>196</v>
      </c>
      <c r="F6">
        <v>10</v>
      </c>
      <c r="G6">
        <v>4</v>
      </c>
      <c r="H6">
        <f>H5+1</f>
        <v>5</v>
      </c>
    </row>
    <row r="7" spans="2:8" x14ac:dyDescent="0.25">
      <c r="B7" t="s">
        <v>227</v>
      </c>
      <c r="C7" s="11" t="s">
        <v>208</v>
      </c>
      <c r="D7" t="s">
        <v>225</v>
      </c>
      <c r="E7" s="11" t="s">
        <v>196</v>
      </c>
      <c r="F7">
        <v>10</v>
      </c>
      <c r="G7">
        <v>6</v>
      </c>
      <c r="H7">
        <f>H6+1</f>
        <v>6</v>
      </c>
    </row>
    <row r="8" spans="2:8" x14ac:dyDescent="0.25">
      <c r="B8" t="s">
        <v>199</v>
      </c>
      <c r="C8" s="11" t="s">
        <v>230</v>
      </c>
      <c r="D8" t="s">
        <v>222</v>
      </c>
      <c r="E8" s="11" t="s">
        <v>192</v>
      </c>
      <c r="F8">
        <v>3</v>
      </c>
      <c r="G8">
        <v>10</v>
      </c>
      <c r="H8">
        <f>H7+1</f>
        <v>7</v>
      </c>
    </row>
    <row r="9" spans="2:8" x14ac:dyDescent="0.25">
      <c r="B9" t="s">
        <v>199</v>
      </c>
      <c r="C9" s="11" t="s">
        <v>230</v>
      </c>
      <c r="D9" t="s">
        <v>222</v>
      </c>
      <c r="E9" s="11" t="s">
        <v>192</v>
      </c>
      <c r="F9">
        <v>2</v>
      </c>
      <c r="G9">
        <v>10</v>
      </c>
      <c r="H9">
        <f>H8+1</f>
        <v>8</v>
      </c>
    </row>
    <row r="10" spans="2:8" x14ac:dyDescent="0.25">
      <c r="B10" t="s">
        <v>208</v>
      </c>
      <c r="C10" s="11" t="s">
        <v>225</v>
      </c>
      <c r="D10" t="s">
        <v>222</v>
      </c>
      <c r="E10" s="11" t="s">
        <v>199</v>
      </c>
      <c r="F10">
        <v>10</v>
      </c>
      <c r="G10">
        <v>2</v>
      </c>
      <c r="H10">
        <f>H9+1</f>
        <v>9</v>
      </c>
    </row>
    <row r="11" spans="2:8" x14ac:dyDescent="0.25">
      <c r="B11" t="s">
        <v>208</v>
      </c>
      <c r="C11" s="11" t="s">
        <v>225</v>
      </c>
      <c r="D11" t="s">
        <v>222</v>
      </c>
      <c r="E11" s="11" t="s">
        <v>199</v>
      </c>
      <c r="F11">
        <v>10</v>
      </c>
      <c r="G11">
        <v>9</v>
      </c>
      <c r="H11">
        <f>H10+1</f>
        <v>10</v>
      </c>
    </row>
    <row r="12" spans="2:8" x14ac:dyDescent="0.25">
      <c r="B12" t="s">
        <v>208</v>
      </c>
      <c r="C12" s="11" t="s">
        <v>227</v>
      </c>
      <c r="D12" t="s">
        <v>225</v>
      </c>
      <c r="E12" s="11" t="s">
        <v>204</v>
      </c>
      <c r="F12">
        <v>10</v>
      </c>
      <c r="G12">
        <v>2</v>
      </c>
      <c r="H12">
        <f>H11+1</f>
        <v>11</v>
      </c>
    </row>
    <row r="13" spans="2:8" x14ac:dyDescent="0.25">
      <c r="B13" t="s">
        <v>208</v>
      </c>
      <c r="C13" s="11" t="s">
        <v>227</v>
      </c>
      <c r="D13" t="s">
        <v>225</v>
      </c>
      <c r="E13" s="11" t="s">
        <v>204</v>
      </c>
      <c r="F13">
        <v>9</v>
      </c>
      <c r="G13">
        <v>10</v>
      </c>
      <c r="H13">
        <f>H12+1</f>
        <v>12</v>
      </c>
    </row>
    <row r="14" spans="2:8" x14ac:dyDescent="0.25">
      <c r="B14" t="s">
        <v>230</v>
      </c>
      <c r="C14" s="11" t="s">
        <v>224</v>
      </c>
      <c r="D14" t="s">
        <v>212</v>
      </c>
      <c r="E14" s="11" t="s">
        <v>192</v>
      </c>
      <c r="F14">
        <v>10</v>
      </c>
      <c r="G14">
        <v>6</v>
      </c>
      <c r="H14">
        <f>H13+1</f>
        <v>13</v>
      </c>
    </row>
    <row r="15" spans="2:8" x14ac:dyDescent="0.25">
      <c r="B15" t="s">
        <v>230</v>
      </c>
      <c r="C15" s="11" t="s">
        <v>224</v>
      </c>
      <c r="D15" t="s">
        <v>212</v>
      </c>
      <c r="E15" s="11" t="s">
        <v>192</v>
      </c>
      <c r="F15">
        <v>6</v>
      </c>
      <c r="G15">
        <v>10</v>
      </c>
      <c r="H15">
        <f>H14+1</f>
        <v>14</v>
      </c>
    </row>
    <row r="16" spans="2:8" x14ac:dyDescent="0.25">
      <c r="B16" t="s">
        <v>227</v>
      </c>
      <c r="C16" s="11" t="s">
        <v>196</v>
      </c>
      <c r="D16" t="s">
        <v>225</v>
      </c>
      <c r="E16" s="11" t="s">
        <v>214</v>
      </c>
      <c r="F16">
        <v>9</v>
      </c>
      <c r="G16">
        <v>10</v>
      </c>
      <c r="H16">
        <f>H15+1</f>
        <v>15</v>
      </c>
    </row>
    <row r="17" spans="2:8" x14ac:dyDescent="0.25">
      <c r="B17" t="s">
        <v>227</v>
      </c>
      <c r="C17" s="11" t="s">
        <v>196</v>
      </c>
      <c r="D17" t="s">
        <v>225</v>
      </c>
      <c r="E17" s="11" t="s">
        <v>214</v>
      </c>
      <c r="F17">
        <v>10</v>
      </c>
      <c r="G17">
        <v>3</v>
      </c>
      <c r="H17">
        <f>H16+1</f>
        <v>16</v>
      </c>
    </row>
    <row r="18" spans="2:8" x14ac:dyDescent="0.25">
      <c r="B18" t="s">
        <v>227</v>
      </c>
      <c r="C18" s="11" t="s">
        <v>222</v>
      </c>
      <c r="D18" t="s">
        <v>192</v>
      </c>
      <c r="E18" s="11" t="s">
        <v>199</v>
      </c>
      <c r="F18">
        <v>9</v>
      </c>
      <c r="G18">
        <v>10</v>
      </c>
      <c r="H18">
        <f>H17+1</f>
        <v>17</v>
      </c>
    </row>
    <row r="19" spans="2:8" x14ac:dyDescent="0.25">
      <c r="B19" t="s">
        <v>227</v>
      </c>
      <c r="C19" s="11" t="s">
        <v>222</v>
      </c>
      <c r="D19" t="s">
        <v>192</v>
      </c>
      <c r="E19" s="11" t="s">
        <v>199</v>
      </c>
      <c r="F19">
        <v>1</v>
      </c>
      <c r="G19">
        <v>10</v>
      </c>
      <c r="H19">
        <f>H18+1</f>
        <v>18</v>
      </c>
    </row>
    <row r="20" spans="2:8" x14ac:dyDescent="0.25">
      <c r="B20" t="s">
        <v>199</v>
      </c>
      <c r="C20" s="11" t="s">
        <v>196</v>
      </c>
      <c r="D20" t="s">
        <v>222</v>
      </c>
      <c r="E20" s="11" t="s">
        <v>192</v>
      </c>
      <c r="F20">
        <v>0</v>
      </c>
      <c r="G20">
        <v>10</v>
      </c>
      <c r="H20">
        <f>H19+1</f>
        <v>19</v>
      </c>
    </row>
    <row r="21" spans="2:8" x14ac:dyDescent="0.25">
      <c r="B21" t="s">
        <v>199</v>
      </c>
      <c r="C21" s="11" t="s">
        <v>196</v>
      </c>
      <c r="D21" t="s">
        <v>222</v>
      </c>
      <c r="E21" s="11" t="s">
        <v>192</v>
      </c>
      <c r="F21">
        <v>4</v>
      </c>
      <c r="G21">
        <v>10</v>
      </c>
      <c r="H21">
        <f>H20+1</f>
        <v>20</v>
      </c>
    </row>
    <row r="22" spans="2:8" x14ac:dyDescent="0.25">
      <c r="B22" t="s">
        <v>225</v>
      </c>
      <c r="C22" s="11" t="s">
        <v>224</v>
      </c>
      <c r="D22" t="s">
        <v>227</v>
      </c>
      <c r="E22" s="11" t="s">
        <v>208</v>
      </c>
      <c r="F22">
        <v>10</v>
      </c>
      <c r="G22">
        <v>8</v>
      </c>
      <c r="H22">
        <f>H21+1</f>
        <v>21</v>
      </c>
    </row>
    <row r="23" spans="2:8" x14ac:dyDescent="0.25">
      <c r="B23" t="s">
        <v>225</v>
      </c>
      <c r="C23" s="11" t="s">
        <v>224</v>
      </c>
      <c r="D23" t="s">
        <v>227</v>
      </c>
      <c r="E23" s="11" t="s">
        <v>208</v>
      </c>
      <c r="F23">
        <v>4</v>
      </c>
      <c r="G23">
        <v>10</v>
      </c>
      <c r="H23">
        <f>H22+1</f>
        <v>22</v>
      </c>
    </row>
    <row r="24" spans="2:8" x14ac:dyDescent="0.25">
      <c r="B24" t="s">
        <v>208</v>
      </c>
      <c r="C24" s="11" t="s">
        <v>216</v>
      </c>
      <c r="D24" t="s">
        <v>222</v>
      </c>
      <c r="E24" s="11" t="s">
        <v>230</v>
      </c>
      <c r="F24">
        <v>10</v>
      </c>
      <c r="G24">
        <v>1</v>
      </c>
      <c r="H24">
        <f>H23+1</f>
        <v>23</v>
      </c>
    </row>
    <row r="25" spans="2:8" x14ac:dyDescent="0.25">
      <c r="B25" t="s">
        <v>208</v>
      </c>
      <c r="C25" s="11" t="s">
        <v>216</v>
      </c>
      <c r="D25" t="s">
        <v>222</v>
      </c>
      <c r="E25" s="11" t="s">
        <v>230</v>
      </c>
      <c r="F25">
        <v>10</v>
      </c>
      <c r="G25">
        <v>2</v>
      </c>
      <c r="H25">
        <f>H24+1</f>
        <v>24</v>
      </c>
    </row>
    <row r="26" spans="2:8" x14ac:dyDescent="0.25">
      <c r="B26" t="s">
        <v>208</v>
      </c>
      <c r="C26" s="11" t="s">
        <v>192</v>
      </c>
      <c r="D26" t="s">
        <v>216</v>
      </c>
      <c r="E26" s="11" t="s">
        <v>196</v>
      </c>
      <c r="F26">
        <v>5</v>
      </c>
      <c r="G26">
        <v>10</v>
      </c>
      <c r="H26">
        <f>H25+1</f>
        <v>25</v>
      </c>
    </row>
    <row r="27" spans="2:8" x14ac:dyDescent="0.25">
      <c r="B27" t="s">
        <v>208</v>
      </c>
      <c r="C27" s="11" t="s">
        <v>192</v>
      </c>
      <c r="D27" t="s">
        <v>216</v>
      </c>
      <c r="E27" s="11" t="s">
        <v>196</v>
      </c>
      <c r="F27">
        <v>9</v>
      </c>
      <c r="G27">
        <v>10</v>
      </c>
      <c r="H27">
        <f>H26+1</f>
        <v>26</v>
      </c>
    </row>
    <row r="28" spans="2:8" x14ac:dyDescent="0.25">
      <c r="B28" t="s">
        <v>227</v>
      </c>
      <c r="C28" s="11" t="s">
        <v>215</v>
      </c>
      <c r="D28" t="s">
        <v>208</v>
      </c>
      <c r="E28" s="11" t="s">
        <v>190</v>
      </c>
      <c r="F28">
        <v>10</v>
      </c>
      <c r="G28">
        <v>9</v>
      </c>
      <c r="H28">
        <f>H27+1</f>
        <v>27</v>
      </c>
    </row>
    <row r="29" spans="2:8" x14ac:dyDescent="0.25">
      <c r="B29" t="s">
        <v>199</v>
      </c>
      <c r="C29" s="11" t="s">
        <v>192</v>
      </c>
      <c r="D29" t="s">
        <v>222</v>
      </c>
      <c r="E29" s="11" t="s">
        <v>196</v>
      </c>
      <c r="F29">
        <v>10</v>
      </c>
      <c r="G29">
        <v>4</v>
      </c>
      <c r="H29">
        <f>H28+1</f>
        <v>28</v>
      </c>
    </row>
    <row r="30" spans="2:8" x14ac:dyDescent="0.25">
      <c r="B30" t="s">
        <v>199</v>
      </c>
      <c r="C30" s="11" t="s">
        <v>192</v>
      </c>
      <c r="D30" t="s">
        <v>222</v>
      </c>
      <c r="E30" s="11" t="s">
        <v>196</v>
      </c>
      <c r="F30">
        <v>10</v>
      </c>
      <c r="G30">
        <v>5</v>
      </c>
      <c r="H30">
        <f>H29+1</f>
        <v>29</v>
      </c>
    </row>
    <row r="31" spans="2:8" x14ac:dyDescent="0.25">
      <c r="B31" t="s">
        <v>225</v>
      </c>
      <c r="C31" s="11" t="s">
        <v>230</v>
      </c>
      <c r="D31" t="s">
        <v>212</v>
      </c>
      <c r="E31" s="11" t="s">
        <v>199</v>
      </c>
      <c r="F31">
        <v>10</v>
      </c>
      <c r="G31">
        <v>5</v>
      </c>
      <c r="H31">
        <f>H30+1</f>
        <v>30</v>
      </c>
    </row>
    <row r="32" spans="2:8" x14ac:dyDescent="0.25">
      <c r="B32" t="s">
        <v>225</v>
      </c>
      <c r="C32" s="11" t="s">
        <v>230</v>
      </c>
      <c r="D32" t="s">
        <v>212</v>
      </c>
      <c r="E32" s="11" t="s">
        <v>199</v>
      </c>
      <c r="F32">
        <v>10</v>
      </c>
      <c r="G32">
        <v>6</v>
      </c>
      <c r="H32">
        <f>H31+1</f>
        <v>31</v>
      </c>
    </row>
    <row r="33" spans="2:8" x14ac:dyDescent="0.25">
      <c r="B33" t="s">
        <v>225</v>
      </c>
      <c r="C33" s="11" t="s">
        <v>227</v>
      </c>
      <c r="D33" t="s">
        <v>204</v>
      </c>
      <c r="E33" s="11" t="s">
        <v>208</v>
      </c>
      <c r="F33">
        <v>10</v>
      </c>
      <c r="G33">
        <v>5</v>
      </c>
      <c r="H33">
        <f>H32+1</f>
        <v>32</v>
      </c>
    </row>
    <row r="34" spans="2:8" x14ac:dyDescent="0.25">
      <c r="B34" t="s">
        <v>225</v>
      </c>
      <c r="C34" s="11" t="s">
        <v>227</v>
      </c>
      <c r="D34" t="s">
        <v>204</v>
      </c>
      <c r="E34" s="11" t="s">
        <v>208</v>
      </c>
      <c r="F34">
        <v>10</v>
      </c>
      <c r="G34">
        <v>6</v>
      </c>
      <c r="H34">
        <f>H33+1</f>
        <v>33</v>
      </c>
    </row>
    <row r="35" spans="2:8" x14ac:dyDescent="0.25">
      <c r="B35" t="s">
        <v>225</v>
      </c>
      <c r="C35" s="11" t="s">
        <v>208</v>
      </c>
      <c r="D35" t="s">
        <v>214</v>
      </c>
      <c r="E35" s="11" t="s">
        <v>192</v>
      </c>
      <c r="F35">
        <v>5</v>
      </c>
      <c r="G35">
        <v>10</v>
      </c>
      <c r="H35">
        <f>H34+1</f>
        <v>34</v>
      </c>
    </row>
    <row r="36" spans="2:8" x14ac:dyDescent="0.25">
      <c r="B36" t="s">
        <v>225</v>
      </c>
      <c r="C36" s="11" t="s">
        <v>208</v>
      </c>
      <c r="D36" t="s">
        <v>214</v>
      </c>
      <c r="E36" s="11" t="s">
        <v>192</v>
      </c>
      <c r="F36">
        <v>9</v>
      </c>
      <c r="G36">
        <v>10</v>
      </c>
      <c r="H36">
        <f>H35+1</f>
        <v>35</v>
      </c>
    </row>
    <row r="37" spans="2:8" x14ac:dyDescent="0.25">
      <c r="B37" t="s">
        <v>196</v>
      </c>
      <c r="C37" s="11" t="s">
        <v>227</v>
      </c>
      <c r="D37" t="s">
        <v>199</v>
      </c>
      <c r="E37" s="11" t="s">
        <v>222</v>
      </c>
      <c r="F37">
        <v>10</v>
      </c>
      <c r="G37">
        <v>7</v>
      </c>
      <c r="H37">
        <f>H36+1</f>
        <v>36</v>
      </c>
    </row>
    <row r="38" spans="2:8" x14ac:dyDescent="0.25">
      <c r="B38" t="s">
        <v>196</v>
      </c>
      <c r="C38" s="11" t="s">
        <v>227</v>
      </c>
      <c r="D38" t="s">
        <v>199</v>
      </c>
      <c r="E38" s="11" t="s">
        <v>222</v>
      </c>
      <c r="F38">
        <v>10</v>
      </c>
      <c r="G38">
        <v>7</v>
      </c>
      <c r="H38">
        <f>H37+1</f>
        <v>37</v>
      </c>
    </row>
    <row r="39" spans="2:8" x14ac:dyDescent="0.25">
      <c r="B39" t="s">
        <v>208</v>
      </c>
      <c r="C39" s="11" t="s">
        <v>225</v>
      </c>
      <c r="D39" t="s">
        <v>192</v>
      </c>
      <c r="E39" s="11" t="s">
        <v>199</v>
      </c>
      <c r="F39">
        <v>5</v>
      </c>
      <c r="G39">
        <v>10</v>
      </c>
      <c r="H39">
        <f>H38+1</f>
        <v>38</v>
      </c>
    </row>
    <row r="40" spans="2:8" x14ac:dyDescent="0.25">
      <c r="B40" t="s">
        <v>208</v>
      </c>
      <c r="C40" s="11" t="s">
        <v>225</v>
      </c>
      <c r="D40" t="s">
        <v>192</v>
      </c>
      <c r="E40" s="11" t="s">
        <v>199</v>
      </c>
      <c r="F40">
        <v>6</v>
      </c>
      <c r="G40">
        <v>10</v>
      </c>
      <c r="H40">
        <f>H39+1</f>
        <v>39</v>
      </c>
    </row>
    <row r="41" spans="2:8" x14ac:dyDescent="0.25">
      <c r="B41" t="s">
        <v>214</v>
      </c>
      <c r="C41" s="11" t="s">
        <v>224</v>
      </c>
      <c r="D41" t="s">
        <v>199</v>
      </c>
      <c r="E41" s="11" t="s">
        <v>190</v>
      </c>
      <c r="F41">
        <v>10</v>
      </c>
      <c r="G41">
        <v>6</v>
      </c>
      <c r="H41">
        <f>H40+1</f>
        <v>40</v>
      </c>
    </row>
    <row r="42" spans="2:8" x14ac:dyDescent="0.25">
      <c r="B42" t="s">
        <v>214</v>
      </c>
      <c r="C42" s="11" t="s">
        <v>224</v>
      </c>
      <c r="D42" t="s">
        <v>199</v>
      </c>
      <c r="E42" s="11" t="s">
        <v>190</v>
      </c>
      <c r="F42">
        <v>10</v>
      </c>
      <c r="G42">
        <v>7</v>
      </c>
      <c r="H42">
        <f>H41+1</f>
        <v>41</v>
      </c>
    </row>
    <row r="43" spans="2:8" x14ac:dyDescent="0.25">
      <c r="B43" t="s">
        <v>196</v>
      </c>
      <c r="C43" s="11" t="s">
        <v>222</v>
      </c>
      <c r="D43" t="s">
        <v>213</v>
      </c>
      <c r="E43" s="11" t="s">
        <v>206</v>
      </c>
      <c r="F43">
        <v>10</v>
      </c>
      <c r="G43">
        <v>5</v>
      </c>
      <c r="H43">
        <f>H42+1</f>
        <v>42</v>
      </c>
    </row>
    <row r="44" spans="2:8" x14ac:dyDescent="0.25">
      <c r="B44" t="s">
        <v>196</v>
      </c>
      <c r="C44" s="11" t="s">
        <v>222</v>
      </c>
      <c r="D44" t="s">
        <v>213</v>
      </c>
      <c r="E44" s="11" t="s">
        <v>206</v>
      </c>
      <c r="F44">
        <v>9</v>
      </c>
      <c r="G44">
        <v>10</v>
      </c>
      <c r="H44">
        <f>H43+1</f>
        <v>43</v>
      </c>
    </row>
    <row r="45" spans="2:8" x14ac:dyDescent="0.25">
      <c r="B45" t="s">
        <v>227</v>
      </c>
      <c r="C45" s="11" t="s">
        <v>204</v>
      </c>
      <c r="D45" t="s">
        <v>225</v>
      </c>
      <c r="E45" s="11" t="s">
        <v>208</v>
      </c>
      <c r="F45">
        <v>5</v>
      </c>
      <c r="G45">
        <v>10</v>
      </c>
      <c r="H45">
        <f>H44+1</f>
        <v>44</v>
      </c>
    </row>
    <row r="46" spans="2:8" x14ac:dyDescent="0.25">
      <c r="B46" t="s">
        <v>227</v>
      </c>
      <c r="C46" s="11" t="s">
        <v>204</v>
      </c>
      <c r="D46" t="s">
        <v>225</v>
      </c>
      <c r="E46" s="11" t="s">
        <v>208</v>
      </c>
      <c r="F46">
        <v>10</v>
      </c>
      <c r="G46">
        <v>9</v>
      </c>
      <c r="H46">
        <f>H45+1</f>
        <v>45</v>
      </c>
    </row>
    <row r="47" spans="2:8" x14ac:dyDescent="0.25">
      <c r="B47" t="s">
        <v>227</v>
      </c>
      <c r="C47" s="11" t="s">
        <v>225</v>
      </c>
      <c r="D47" t="s">
        <v>199</v>
      </c>
      <c r="E47" s="11" t="s">
        <v>192</v>
      </c>
      <c r="F47">
        <v>5</v>
      </c>
      <c r="G47">
        <v>10</v>
      </c>
      <c r="H47">
        <f>H46+1</f>
        <v>46</v>
      </c>
    </row>
    <row r="48" spans="2:8" x14ac:dyDescent="0.25">
      <c r="B48" t="s">
        <v>227</v>
      </c>
      <c r="C48" s="11" t="s">
        <v>225</v>
      </c>
      <c r="D48" t="s">
        <v>199</v>
      </c>
      <c r="E48" s="11" t="s">
        <v>192</v>
      </c>
      <c r="F48">
        <v>5</v>
      </c>
      <c r="G48">
        <v>10</v>
      </c>
      <c r="H48">
        <f>H47+1</f>
        <v>47</v>
      </c>
    </row>
    <row r="49" spans="2:8" x14ac:dyDescent="0.25">
      <c r="B49" t="s">
        <v>192</v>
      </c>
      <c r="C49" s="11" t="s">
        <v>196</v>
      </c>
      <c r="D49" t="s">
        <v>224</v>
      </c>
      <c r="E49" s="11" t="s">
        <v>199</v>
      </c>
      <c r="F49">
        <v>8</v>
      </c>
      <c r="G49">
        <v>10</v>
      </c>
      <c r="H49">
        <f>H48+1</f>
        <v>48</v>
      </c>
    </row>
    <row r="50" spans="2:8" x14ac:dyDescent="0.25">
      <c r="B50" t="s">
        <v>192</v>
      </c>
      <c r="C50" s="11" t="s">
        <v>196</v>
      </c>
      <c r="D50" t="s">
        <v>224</v>
      </c>
      <c r="E50" s="11" t="s">
        <v>199</v>
      </c>
      <c r="F50">
        <v>7</v>
      </c>
      <c r="G50">
        <v>10</v>
      </c>
      <c r="H50">
        <f>H49+1</f>
        <v>49</v>
      </c>
    </row>
    <row r="51" spans="2:8" x14ac:dyDescent="0.25">
      <c r="B51" t="s">
        <v>208</v>
      </c>
      <c r="C51" s="11" t="s">
        <v>196</v>
      </c>
      <c r="D51" t="s">
        <v>199</v>
      </c>
      <c r="E51" s="11" t="s">
        <v>225</v>
      </c>
      <c r="F51">
        <v>10</v>
      </c>
      <c r="G51">
        <v>9</v>
      </c>
      <c r="H51">
        <f>H50+1</f>
        <v>50</v>
      </c>
    </row>
    <row r="52" spans="2:8" x14ac:dyDescent="0.25">
      <c r="B52" t="s">
        <v>208</v>
      </c>
      <c r="C52" s="11" t="s">
        <v>196</v>
      </c>
      <c r="D52" t="s">
        <v>199</v>
      </c>
      <c r="E52" s="11" t="s">
        <v>225</v>
      </c>
      <c r="F52">
        <v>9</v>
      </c>
      <c r="G52">
        <v>10</v>
      </c>
      <c r="H52">
        <f>H51+1</f>
        <v>51</v>
      </c>
    </row>
    <row r="53" spans="2:8" x14ac:dyDescent="0.25">
      <c r="B53" t="s">
        <v>208</v>
      </c>
      <c r="C53" s="11" t="s">
        <v>190</v>
      </c>
      <c r="D53" t="s">
        <v>227</v>
      </c>
      <c r="E53" s="11" t="s">
        <v>192</v>
      </c>
      <c r="F53">
        <v>1</v>
      </c>
      <c r="G53">
        <v>10</v>
      </c>
      <c r="H53">
        <f>H52+1</f>
        <v>52</v>
      </c>
    </row>
    <row r="54" spans="2:8" x14ac:dyDescent="0.25">
      <c r="B54" t="s">
        <v>208</v>
      </c>
      <c r="C54" s="11" t="s">
        <v>190</v>
      </c>
      <c r="D54" t="s">
        <v>227</v>
      </c>
      <c r="E54" s="11" t="s">
        <v>192</v>
      </c>
      <c r="F54">
        <v>8</v>
      </c>
      <c r="G54">
        <v>10</v>
      </c>
      <c r="H54">
        <f>H53+1</f>
        <v>53</v>
      </c>
    </row>
    <row r="55" spans="2:8" x14ac:dyDescent="0.25">
      <c r="B55" t="s">
        <v>208</v>
      </c>
      <c r="C55" s="11" t="s">
        <v>196</v>
      </c>
      <c r="D55" t="s">
        <v>204</v>
      </c>
      <c r="E55" s="11" t="s">
        <v>225</v>
      </c>
      <c r="F55">
        <v>5</v>
      </c>
      <c r="G55">
        <v>10</v>
      </c>
      <c r="H55">
        <f>H54+1</f>
        <v>54</v>
      </c>
    </row>
    <row r="56" spans="2:8" x14ac:dyDescent="0.25">
      <c r="B56" t="s">
        <v>208</v>
      </c>
      <c r="C56" s="11" t="s">
        <v>196</v>
      </c>
      <c r="D56" t="s">
        <v>204</v>
      </c>
      <c r="E56" s="11" t="s">
        <v>225</v>
      </c>
      <c r="F56">
        <v>10</v>
      </c>
      <c r="G56">
        <v>5</v>
      </c>
      <c r="H56">
        <f>H55+1</f>
        <v>55</v>
      </c>
    </row>
    <row r="57" spans="2:8" x14ac:dyDescent="0.25">
      <c r="B57" t="s">
        <v>208</v>
      </c>
      <c r="C57" s="11" t="s">
        <v>225</v>
      </c>
      <c r="D57" t="s">
        <v>227</v>
      </c>
      <c r="E57" s="11" t="s">
        <v>224</v>
      </c>
      <c r="F57">
        <v>7</v>
      </c>
      <c r="G57">
        <v>10</v>
      </c>
      <c r="H57">
        <f>H56+1</f>
        <v>56</v>
      </c>
    </row>
    <row r="58" spans="2:8" x14ac:dyDescent="0.25">
      <c r="B58" t="s">
        <v>208</v>
      </c>
      <c r="C58" s="11" t="s">
        <v>225</v>
      </c>
      <c r="D58" t="s">
        <v>227</v>
      </c>
      <c r="E58" s="11" t="s">
        <v>224</v>
      </c>
      <c r="F58">
        <v>10</v>
      </c>
      <c r="G58">
        <v>8</v>
      </c>
      <c r="H58">
        <f>H57+1</f>
        <v>57</v>
      </c>
    </row>
    <row r="59" spans="2:8" x14ac:dyDescent="0.25">
      <c r="B59" t="s">
        <v>208</v>
      </c>
      <c r="C59" s="11" t="s">
        <v>192</v>
      </c>
      <c r="D59" t="s">
        <v>196</v>
      </c>
      <c r="E59" s="11" t="s">
        <v>216</v>
      </c>
      <c r="F59">
        <v>7</v>
      </c>
      <c r="G59">
        <v>10</v>
      </c>
      <c r="H59">
        <f>H58+1</f>
        <v>58</v>
      </c>
    </row>
    <row r="60" spans="2:8" x14ac:dyDescent="0.25">
      <c r="B60" t="s">
        <v>208</v>
      </c>
      <c r="C60" s="11" t="s">
        <v>192</v>
      </c>
      <c r="D60" t="s">
        <v>196</v>
      </c>
      <c r="E60" s="11" t="s">
        <v>216</v>
      </c>
      <c r="F60">
        <v>9</v>
      </c>
      <c r="G60">
        <v>10</v>
      </c>
      <c r="H60">
        <f>H59+1</f>
        <v>59</v>
      </c>
    </row>
    <row r="61" spans="2:8" x14ac:dyDescent="0.25">
      <c r="B61" t="s">
        <v>208</v>
      </c>
      <c r="C61" s="11" t="s">
        <v>225</v>
      </c>
      <c r="D61" t="s">
        <v>196</v>
      </c>
      <c r="E61" s="11" t="s">
        <v>195</v>
      </c>
      <c r="F61">
        <v>6</v>
      </c>
      <c r="G61">
        <v>10</v>
      </c>
      <c r="H61">
        <f>H60+1</f>
        <v>60</v>
      </c>
    </row>
    <row r="62" spans="2:8" x14ac:dyDescent="0.25">
      <c r="B62" t="s">
        <v>208</v>
      </c>
      <c r="C62" s="11" t="s">
        <v>225</v>
      </c>
      <c r="D62" t="s">
        <v>196</v>
      </c>
      <c r="E62" s="11" t="s">
        <v>195</v>
      </c>
      <c r="F62">
        <v>9</v>
      </c>
      <c r="G62">
        <v>10</v>
      </c>
      <c r="H62">
        <f>H61+1</f>
        <v>61</v>
      </c>
    </row>
    <row r="63" spans="2:8" x14ac:dyDescent="0.25">
      <c r="B63" t="s">
        <v>209</v>
      </c>
      <c r="C63" s="11" t="s">
        <v>196</v>
      </c>
      <c r="D63" t="s">
        <v>222</v>
      </c>
      <c r="E63" s="11" t="s">
        <v>192</v>
      </c>
      <c r="F63">
        <v>4</v>
      </c>
      <c r="G63">
        <v>10</v>
      </c>
      <c r="H63">
        <f>H62+1</f>
        <v>62</v>
      </c>
    </row>
    <row r="64" spans="2:8" x14ac:dyDescent="0.25">
      <c r="B64" t="s">
        <v>209</v>
      </c>
      <c r="C64" s="11" t="s">
        <v>196</v>
      </c>
      <c r="D64" t="s">
        <v>222</v>
      </c>
      <c r="E64" s="11" t="s">
        <v>192</v>
      </c>
      <c r="F64">
        <v>5</v>
      </c>
      <c r="G64">
        <v>10</v>
      </c>
      <c r="H64">
        <f>H63+1</f>
        <v>63</v>
      </c>
    </row>
    <row r="65" spans="2:8" x14ac:dyDescent="0.25">
      <c r="B65" t="s">
        <v>208</v>
      </c>
      <c r="C65" s="11" t="s">
        <v>200</v>
      </c>
      <c r="D65" t="s">
        <v>225</v>
      </c>
      <c r="E65" s="11" t="s">
        <v>227</v>
      </c>
      <c r="F65">
        <v>10</v>
      </c>
      <c r="G65">
        <v>8</v>
      </c>
      <c r="H65">
        <f>H64+1</f>
        <v>64</v>
      </c>
    </row>
    <row r="66" spans="2:8" x14ac:dyDescent="0.25">
      <c r="B66" t="s">
        <v>208</v>
      </c>
      <c r="C66" s="11" t="s">
        <v>200</v>
      </c>
      <c r="D66" t="s">
        <v>225</v>
      </c>
      <c r="E66" s="11" t="s">
        <v>227</v>
      </c>
      <c r="F66">
        <v>10</v>
      </c>
      <c r="G66">
        <v>4</v>
      </c>
      <c r="H66">
        <f t="shared" ref="H66:H129" si="0">H65+1</f>
        <v>65</v>
      </c>
    </row>
    <row r="67" spans="2:8" x14ac:dyDescent="0.25">
      <c r="B67" t="s">
        <v>196</v>
      </c>
      <c r="C67" s="11" t="s">
        <v>222</v>
      </c>
      <c r="D67" t="s">
        <v>230</v>
      </c>
      <c r="E67" s="11" t="s">
        <v>199</v>
      </c>
      <c r="F67">
        <v>10</v>
      </c>
      <c r="G67">
        <v>6</v>
      </c>
      <c r="H67">
        <f t="shared" si="0"/>
        <v>66</v>
      </c>
    </row>
    <row r="68" spans="2:8" x14ac:dyDescent="0.25">
      <c r="B68" t="s">
        <v>196</v>
      </c>
      <c r="C68" s="11" t="s">
        <v>222</v>
      </c>
      <c r="D68" t="s">
        <v>230</v>
      </c>
      <c r="E68" s="11" t="s">
        <v>199</v>
      </c>
      <c r="F68">
        <v>3</v>
      </c>
      <c r="G68">
        <v>10</v>
      </c>
      <c r="H68">
        <f t="shared" si="0"/>
        <v>67</v>
      </c>
    </row>
    <row r="69" spans="2:8" x14ac:dyDescent="0.25">
      <c r="B69" t="s">
        <v>196</v>
      </c>
      <c r="C69" s="11" t="s">
        <v>222</v>
      </c>
      <c r="D69" t="s">
        <v>224</v>
      </c>
      <c r="E69" s="11" t="s">
        <v>199</v>
      </c>
      <c r="F69">
        <v>9</v>
      </c>
      <c r="G69">
        <v>10</v>
      </c>
      <c r="H69">
        <f t="shared" si="0"/>
        <v>68</v>
      </c>
    </row>
    <row r="70" spans="2:8" x14ac:dyDescent="0.25">
      <c r="B70" t="s">
        <v>196</v>
      </c>
      <c r="C70" s="11" t="s">
        <v>222</v>
      </c>
      <c r="D70" t="s">
        <v>224</v>
      </c>
      <c r="E70" s="11" t="s">
        <v>199</v>
      </c>
      <c r="F70">
        <v>3</v>
      </c>
      <c r="G70">
        <v>10</v>
      </c>
      <c r="H70">
        <f t="shared" si="0"/>
        <v>69</v>
      </c>
    </row>
    <row r="71" spans="2:8" x14ac:dyDescent="0.25">
      <c r="B71" t="s">
        <v>196</v>
      </c>
      <c r="C71" s="11" t="s">
        <v>225</v>
      </c>
      <c r="D71" t="s">
        <v>227</v>
      </c>
      <c r="E71" s="11" t="s">
        <v>199</v>
      </c>
      <c r="F71">
        <v>2</v>
      </c>
      <c r="G71">
        <v>10</v>
      </c>
      <c r="H71">
        <f t="shared" si="0"/>
        <v>70</v>
      </c>
    </row>
    <row r="72" spans="2:8" x14ac:dyDescent="0.25">
      <c r="B72" t="s">
        <v>196</v>
      </c>
      <c r="C72" s="11" t="s">
        <v>225</v>
      </c>
      <c r="D72" t="s">
        <v>227</v>
      </c>
      <c r="E72" s="11" t="s">
        <v>199</v>
      </c>
      <c r="F72">
        <v>7</v>
      </c>
      <c r="G72">
        <v>10</v>
      </c>
      <c r="H72">
        <f t="shared" si="0"/>
        <v>71</v>
      </c>
    </row>
    <row r="73" spans="2:8" x14ac:dyDescent="0.25">
      <c r="B73" t="s">
        <v>230</v>
      </c>
      <c r="C73" s="11" t="s">
        <v>222</v>
      </c>
      <c r="D73" t="s">
        <v>199</v>
      </c>
      <c r="E73" s="11" t="s">
        <v>212</v>
      </c>
      <c r="F73">
        <v>7</v>
      </c>
      <c r="G73">
        <v>10</v>
      </c>
      <c r="H73">
        <f t="shared" si="0"/>
        <v>72</v>
      </c>
    </row>
    <row r="74" spans="2:8" x14ac:dyDescent="0.25">
      <c r="B74" t="s">
        <v>230</v>
      </c>
      <c r="C74" s="11" t="s">
        <v>222</v>
      </c>
      <c r="D74" t="s">
        <v>199</v>
      </c>
      <c r="E74" s="11" t="s">
        <v>212</v>
      </c>
      <c r="F74">
        <v>4</v>
      </c>
      <c r="G74">
        <v>10</v>
      </c>
      <c r="H74">
        <f t="shared" si="0"/>
        <v>73</v>
      </c>
    </row>
    <row r="75" spans="2:8" x14ac:dyDescent="0.25">
      <c r="B75" t="s">
        <v>230</v>
      </c>
      <c r="C75" s="11" t="s">
        <v>222</v>
      </c>
      <c r="D75" t="s">
        <v>227</v>
      </c>
      <c r="E75" s="11" t="s">
        <v>225</v>
      </c>
      <c r="F75">
        <v>5</v>
      </c>
      <c r="G75">
        <v>10</v>
      </c>
      <c r="H75">
        <f t="shared" si="0"/>
        <v>74</v>
      </c>
    </row>
    <row r="76" spans="2:8" x14ac:dyDescent="0.25">
      <c r="B76" t="s">
        <v>230</v>
      </c>
      <c r="C76" s="11" t="s">
        <v>222</v>
      </c>
      <c r="D76" t="s">
        <v>227</v>
      </c>
      <c r="E76" s="11" t="s">
        <v>225</v>
      </c>
      <c r="F76">
        <v>3</v>
      </c>
      <c r="G76">
        <v>10</v>
      </c>
      <c r="H76">
        <f t="shared" si="0"/>
        <v>75</v>
      </c>
    </row>
    <row r="77" spans="2:8" x14ac:dyDescent="0.25">
      <c r="B77" t="s">
        <v>224</v>
      </c>
      <c r="C77" s="11" t="s">
        <v>200</v>
      </c>
      <c r="D77" t="s">
        <v>227</v>
      </c>
      <c r="E77" s="11" t="s">
        <v>225</v>
      </c>
      <c r="F77">
        <v>10</v>
      </c>
      <c r="G77">
        <v>3</v>
      </c>
      <c r="H77">
        <f t="shared" si="0"/>
        <v>76</v>
      </c>
    </row>
    <row r="78" spans="2:8" x14ac:dyDescent="0.25">
      <c r="B78" t="s">
        <v>224</v>
      </c>
      <c r="C78" s="11" t="s">
        <v>200</v>
      </c>
      <c r="D78" t="s">
        <v>227</v>
      </c>
      <c r="E78" s="11" t="s">
        <v>225</v>
      </c>
      <c r="F78">
        <v>10</v>
      </c>
      <c r="G78">
        <v>7</v>
      </c>
      <c r="H78">
        <f t="shared" si="0"/>
        <v>77</v>
      </c>
    </row>
    <row r="79" spans="2:8" x14ac:dyDescent="0.25">
      <c r="B79" t="s">
        <v>224</v>
      </c>
      <c r="C79" s="11" t="s">
        <v>230</v>
      </c>
      <c r="D79" t="s">
        <v>199</v>
      </c>
      <c r="E79" s="11" t="s">
        <v>222</v>
      </c>
      <c r="F79">
        <v>10</v>
      </c>
      <c r="G79">
        <v>7</v>
      </c>
      <c r="H79">
        <f t="shared" si="0"/>
        <v>78</v>
      </c>
    </row>
    <row r="80" spans="2:8" x14ac:dyDescent="0.25">
      <c r="B80" t="s">
        <v>224</v>
      </c>
      <c r="C80" s="11" t="s">
        <v>230</v>
      </c>
      <c r="D80" t="s">
        <v>199</v>
      </c>
      <c r="E80" s="11" t="s">
        <v>222</v>
      </c>
      <c r="F80">
        <v>9</v>
      </c>
      <c r="G80">
        <v>10</v>
      </c>
      <c r="H80">
        <f t="shared" si="0"/>
        <v>79</v>
      </c>
    </row>
    <row r="81" spans="2:8" x14ac:dyDescent="0.25">
      <c r="B81" t="s">
        <v>227</v>
      </c>
      <c r="C81" s="11" t="s">
        <v>196</v>
      </c>
      <c r="D81" t="s">
        <v>225</v>
      </c>
      <c r="E81" s="11" t="s">
        <v>214</v>
      </c>
      <c r="F81">
        <v>10</v>
      </c>
      <c r="G81">
        <v>7</v>
      </c>
      <c r="H81">
        <f t="shared" si="0"/>
        <v>80</v>
      </c>
    </row>
    <row r="82" spans="2:8" x14ac:dyDescent="0.25">
      <c r="B82" t="s">
        <v>227</v>
      </c>
      <c r="C82" s="11" t="s">
        <v>196</v>
      </c>
      <c r="D82" t="s">
        <v>225</v>
      </c>
      <c r="E82" s="11" t="s">
        <v>214</v>
      </c>
      <c r="F82">
        <v>10</v>
      </c>
      <c r="G82">
        <v>1</v>
      </c>
      <c r="H82">
        <f t="shared" si="0"/>
        <v>81</v>
      </c>
    </row>
    <row r="83" spans="2:8" x14ac:dyDescent="0.25">
      <c r="B83" t="s">
        <v>196</v>
      </c>
      <c r="C83" s="11" t="s">
        <v>190</v>
      </c>
      <c r="D83" t="s">
        <v>199</v>
      </c>
      <c r="E83" s="11" t="s">
        <v>223</v>
      </c>
      <c r="F83">
        <v>3</v>
      </c>
      <c r="G83">
        <v>10</v>
      </c>
      <c r="H83">
        <f t="shared" si="0"/>
        <v>82</v>
      </c>
    </row>
    <row r="84" spans="2:8" x14ac:dyDescent="0.25">
      <c r="B84" t="s">
        <v>196</v>
      </c>
      <c r="C84" s="11" t="s">
        <v>190</v>
      </c>
      <c r="D84" t="s">
        <v>199</v>
      </c>
      <c r="E84" s="11" t="s">
        <v>223</v>
      </c>
      <c r="F84">
        <v>5</v>
      </c>
      <c r="G84">
        <v>10</v>
      </c>
      <c r="H84">
        <f t="shared" si="0"/>
        <v>83</v>
      </c>
    </row>
    <row r="85" spans="2:8" x14ac:dyDescent="0.25">
      <c r="B85" t="s">
        <v>227</v>
      </c>
      <c r="C85" s="11" t="s">
        <v>225</v>
      </c>
      <c r="D85" t="s">
        <v>224</v>
      </c>
      <c r="E85" s="11" t="s">
        <v>200</v>
      </c>
      <c r="F85">
        <v>10</v>
      </c>
      <c r="G85">
        <v>8</v>
      </c>
      <c r="H85">
        <f t="shared" si="0"/>
        <v>84</v>
      </c>
    </row>
    <row r="86" spans="2:8" x14ac:dyDescent="0.25">
      <c r="B86" t="s">
        <v>227</v>
      </c>
      <c r="C86" s="11" t="s">
        <v>225</v>
      </c>
      <c r="D86" t="s">
        <v>224</v>
      </c>
      <c r="E86" s="11" t="s">
        <v>200</v>
      </c>
      <c r="F86">
        <v>7</v>
      </c>
      <c r="G86">
        <v>10</v>
      </c>
      <c r="H86">
        <f t="shared" si="0"/>
        <v>85</v>
      </c>
    </row>
    <row r="87" spans="2:8" x14ac:dyDescent="0.25">
      <c r="B87" t="s">
        <v>230</v>
      </c>
      <c r="C87" s="11" t="s">
        <v>212</v>
      </c>
      <c r="D87" t="s">
        <v>222</v>
      </c>
      <c r="E87" s="11" t="s">
        <v>196</v>
      </c>
      <c r="F87">
        <v>9</v>
      </c>
      <c r="G87">
        <v>10</v>
      </c>
      <c r="H87">
        <f t="shared" si="0"/>
        <v>86</v>
      </c>
    </row>
    <row r="88" spans="2:8" x14ac:dyDescent="0.25">
      <c r="B88" t="s">
        <v>230</v>
      </c>
      <c r="C88" s="11" t="s">
        <v>212</v>
      </c>
      <c r="D88" t="s">
        <v>222</v>
      </c>
      <c r="E88" s="11" t="s">
        <v>196</v>
      </c>
      <c r="F88">
        <v>10</v>
      </c>
      <c r="G88">
        <v>6</v>
      </c>
      <c r="H88">
        <f t="shared" si="0"/>
        <v>87</v>
      </c>
    </row>
    <row r="89" spans="2:8" x14ac:dyDescent="0.25">
      <c r="B89" t="s">
        <v>191</v>
      </c>
      <c r="C89" s="11" t="s">
        <v>236</v>
      </c>
      <c r="D89" t="s">
        <v>208</v>
      </c>
      <c r="E89" s="11" t="s">
        <v>215</v>
      </c>
      <c r="F89">
        <v>10</v>
      </c>
      <c r="G89">
        <v>5</v>
      </c>
      <c r="H89">
        <f t="shared" si="0"/>
        <v>88</v>
      </c>
    </row>
    <row r="90" spans="2:8" x14ac:dyDescent="0.25">
      <c r="B90" t="s">
        <v>191</v>
      </c>
      <c r="C90" s="11" t="s">
        <v>236</v>
      </c>
      <c r="D90" t="s">
        <v>208</v>
      </c>
      <c r="E90" s="11" t="s">
        <v>215</v>
      </c>
      <c r="F90">
        <v>5</v>
      </c>
      <c r="G90">
        <v>10</v>
      </c>
      <c r="H90">
        <f t="shared" si="0"/>
        <v>89</v>
      </c>
    </row>
    <row r="91" spans="2:8" x14ac:dyDescent="0.25">
      <c r="B91" t="s">
        <v>227</v>
      </c>
      <c r="C91" s="11" t="s">
        <v>225</v>
      </c>
      <c r="D91" t="s">
        <v>222</v>
      </c>
      <c r="E91" s="11" t="s">
        <v>199</v>
      </c>
      <c r="F91">
        <v>5</v>
      </c>
      <c r="G91">
        <v>10</v>
      </c>
      <c r="H91">
        <f t="shared" si="0"/>
        <v>90</v>
      </c>
    </row>
    <row r="92" spans="2:8" x14ac:dyDescent="0.25">
      <c r="B92" t="s">
        <v>227</v>
      </c>
      <c r="C92" s="11" t="s">
        <v>225</v>
      </c>
      <c r="D92" t="s">
        <v>222</v>
      </c>
      <c r="E92" s="11" t="s">
        <v>199</v>
      </c>
      <c r="F92">
        <v>10</v>
      </c>
      <c r="G92">
        <v>5</v>
      </c>
      <c r="H92">
        <f t="shared" si="0"/>
        <v>91</v>
      </c>
    </row>
    <row r="93" spans="2:8" x14ac:dyDescent="0.25">
      <c r="B93" t="s">
        <v>208</v>
      </c>
      <c r="C93" s="11" t="s">
        <v>225</v>
      </c>
      <c r="D93" t="s">
        <v>224</v>
      </c>
      <c r="E93" s="11" t="s">
        <v>214</v>
      </c>
      <c r="F93">
        <v>10</v>
      </c>
      <c r="G93">
        <v>9</v>
      </c>
      <c r="H93">
        <f t="shared" si="0"/>
        <v>92</v>
      </c>
    </row>
    <row r="94" spans="2:8" x14ac:dyDescent="0.25">
      <c r="B94" t="s">
        <v>208</v>
      </c>
      <c r="C94" s="11" t="s">
        <v>225</v>
      </c>
      <c r="D94" t="s">
        <v>224</v>
      </c>
      <c r="E94" s="11" t="s">
        <v>214</v>
      </c>
      <c r="F94">
        <v>10</v>
      </c>
      <c r="G94">
        <v>7</v>
      </c>
      <c r="H94">
        <f t="shared" si="0"/>
        <v>93</v>
      </c>
    </row>
    <row r="95" spans="2:8" x14ac:dyDescent="0.25">
      <c r="B95" t="s">
        <v>230</v>
      </c>
      <c r="C95" s="11" t="s">
        <v>196</v>
      </c>
      <c r="D95" t="s">
        <v>222</v>
      </c>
      <c r="E95" s="11" t="s">
        <v>192</v>
      </c>
      <c r="F95">
        <v>7</v>
      </c>
      <c r="G95">
        <v>10</v>
      </c>
      <c r="H95">
        <f t="shared" si="0"/>
        <v>94</v>
      </c>
    </row>
    <row r="96" spans="2:8" x14ac:dyDescent="0.25">
      <c r="B96" t="s">
        <v>230</v>
      </c>
      <c r="C96" s="11" t="s">
        <v>196</v>
      </c>
      <c r="D96" t="s">
        <v>222</v>
      </c>
      <c r="E96" s="11" t="s">
        <v>192</v>
      </c>
      <c r="F96">
        <v>3</v>
      </c>
      <c r="G96">
        <v>10</v>
      </c>
      <c r="H96">
        <f t="shared" si="0"/>
        <v>95</v>
      </c>
    </row>
    <row r="97" spans="2:8" x14ac:dyDescent="0.25">
      <c r="B97" t="s">
        <v>227</v>
      </c>
      <c r="C97" s="11" t="s">
        <v>190</v>
      </c>
      <c r="D97" t="s">
        <v>225</v>
      </c>
      <c r="E97" s="11" t="s">
        <v>208</v>
      </c>
      <c r="F97">
        <v>9</v>
      </c>
      <c r="G97">
        <v>10</v>
      </c>
      <c r="H97">
        <f t="shared" si="0"/>
        <v>96</v>
      </c>
    </row>
    <row r="98" spans="2:8" x14ac:dyDescent="0.25">
      <c r="B98" t="s">
        <v>227</v>
      </c>
      <c r="C98" s="11" t="s">
        <v>190</v>
      </c>
      <c r="D98" t="s">
        <v>225</v>
      </c>
      <c r="E98" s="11" t="s">
        <v>208</v>
      </c>
      <c r="F98">
        <v>10</v>
      </c>
      <c r="G98">
        <v>5</v>
      </c>
      <c r="H98">
        <f t="shared" si="0"/>
        <v>97</v>
      </c>
    </row>
    <row r="99" spans="2:8" x14ac:dyDescent="0.25">
      <c r="B99" t="s">
        <v>196</v>
      </c>
      <c r="C99" s="11" t="s">
        <v>214</v>
      </c>
      <c r="D99" t="s">
        <v>225</v>
      </c>
      <c r="E99" s="11" t="s">
        <v>222</v>
      </c>
      <c r="F99">
        <v>5</v>
      </c>
      <c r="G99">
        <v>10</v>
      </c>
      <c r="H99">
        <f t="shared" si="0"/>
        <v>98</v>
      </c>
    </row>
    <row r="100" spans="2:8" x14ac:dyDescent="0.25">
      <c r="B100" t="s">
        <v>196</v>
      </c>
      <c r="C100" s="11" t="s">
        <v>214</v>
      </c>
      <c r="D100" t="s">
        <v>225</v>
      </c>
      <c r="E100" s="11" t="s">
        <v>222</v>
      </c>
      <c r="F100">
        <v>6</v>
      </c>
      <c r="G100">
        <v>10</v>
      </c>
      <c r="H100">
        <f t="shared" si="0"/>
        <v>99</v>
      </c>
    </row>
    <row r="101" spans="2:8" x14ac:dyDescent="0.25">
      <c r="B101" t="s">
        <v>227</v>
      </c>
      <c r="C101" s="11" t="s">
        <v>214</v>
      </c>
      <c r="D101" t="s">
        <v>196</v>
      </c>
      <c r="E101" s="11" t="s">
        <v>192</v>
      </c>
      <c r="F101">
        <v>5</v>
      </c>
      <c r="G101">
        <v>10</v>
      </c>
      <c r="H101">
        <f t="shared" si="0"/>
        <v>100</v>
      </c>
    </row>
    <row r="102" spans="2:8" x14ac:dyDescent="0.25">
      <c r="B102" t="s">
        <v>227</v>
      </c>
      <c r="C102" s="11" t="s">
        <v>214</v>
      </c>
      <c r="D102" t="s">
        <v>196</v>
      </c>
      <c r="E102" s="11" t="s">
        <v>192</v>
      </c>
      <c r="F102">
        <v>5</v>
      </c>
      <c r="G102">
        <v>10</v>
      </c>
      <c r="H102">
        <f t="shared" si="0"/>
        <v>101</v>
      </c>
    </row>
    <row r="103" spans="2:8" x14ac:dyDescent="0.25">
      <c r="B103" t="s">
        <v>199</v>
      </c>
      <c r="C103" s="11" t="s">
        <v>222</v>
      </c>
      <c r="D103" t="s">
        <v>208</v>
      </c>
      <c r="E103" s="11" t="s">
        <v>225</v>
      </c>
      <c r="F103">
        <v>10</v>
      </c>
      <c r="G103">
        <v>9</v>
      </c>
      <c r="H103">
        <f t="shared" si="0"/>
        <v>102</v>
      </c>
    </row>
    <row r="104" spans="2:8" x14ac:dyDescent="0.25">
      <c r="B104" t="s">
        <v>199</v>
      </c>
      <c r="C104" s="11" t="s">
        <v>222</v>
      </c>
      <c r="D104" t="s">
        <v>208</v>
      </c>
      <c r="E104" s="11" t="s">
        <v>225</v>
      </c>
      <c r="F104">
        <v>7</v>
      </c>
      <c r="G104">
        <v>10</v>
      </c>
      <c r="H104">
        <f t="shared" si="0"/>
        <v>103</v>
      </c>
    </row>
    <row r="105" spans="2:8" x14ac:dyDescent="0.25">
      <c r="B105" t="s">
        <v>227</v>
      </c>
      <c r="C105" s="11" t="s">
        <v>214</v>
      </c>
      <c r="D105" t="s">
        <v>200</v>
      </c>
      <c r="E105" s="11" t="s">
        <v>225</v>
      </c>
      <c r="F105">
        <v>6</v>
      </c>
      <c r="G105">
        <v>10</v>
      </c>
      <c r="H105">
        <f t="shared" si="0"/>
        <v>104</v>
      </c>
    </row>
    <row r="106" spans="2:8" x14ac:dyDescent="0.25">
      <c r="B106" t="s">
        <v>227</v>
      </c>
      <c r="C106" s="11" t="s">
        <v>214</v>
      </c>
      <c r="D106" t="s">
        <v>200</v>
      </c>
      <c r="E106" s="11" t="s">
        <v>225</v>
      </c>
      <c r="F106">
        <v>9</v>
      </c>
      <c r="G106">
        <v>10</v>
      </c>
      <c r="H106">
        <f t="shared" si="0"/>
        <v>105</v>
      </c>
    </row>
    <row r="107" spans="2:8" x14ac:dyDescent="0.25">
      <c r="B107" t="s">
        <v>230</v>
      </c>
      <c r="C107" s="11" t="s">
        <v>224</v>
      </c>
      <c r="D107" t="s">
        <v>190</v>
      </c>
      <c r="E107" s="11" t="s">
        <v>212</v>
      </c>
      <c r="F107">
        <v>9</v>
      </c>
      <c r="G107">
        <v>10</v>
      </c>
      <c r="H107">
        <f t="shared" si="0"/>
        <v>106</v>
      </c>
    </row>
    <row r="108" spans="2:8" x14ac:dyDescent="0.25">
      <c r="B108" t="s">
        <v>230</v>
      </c>
      <c r="C108" s="11" t="s">
        <v>224</v>
      </c>
      <c r="D108" t="s">
        <v>190</v>
      </c>
      <c r="E108" s="11" t="s">
        <v>212</v>
      </c>
      <c r="F108">
        <v>10</v>
      </c>
      <c r="G108">
        <v>3</v>
      </c>
      <c r="H108">
        <f t="shared" si="0"/>
        <v>107</v>
      </c>
    </row>
    <row r="109" spans="2:8" x14ac:dyDescent="0.25">
      <c r="B109" t="s">
        <v>199</v>
      </c>
      <c r="C109" s="11" t="s">
        <v>208</v>
      </c>
      <c r="D109" t="s">
        <v>196</v>
      </c>
      <c r="E109" s="11" t="s">
        <v>225</v>
      </c>
      <c r="F109">
        <v>10</v>
      </c>
      <c r="G109">
        <v>5</v>
      </c>
      <c r="H109">
        <f t="shared" si="0"/>
        <v>108</v>
      </c>
    </row>
    <row r="110" spans="2:8" x14ac:dyDescent="0.25">
      <c r="B110" t="s">
        <v>199</v>
      </c>
      <c r="C110" s="11" t="s">
        <v>208</v>
      </c>
      <c r="D110" t="s">
        <v>196</v>
      </c>
      <c r="E110" s="11" t="s">
        <v>225</v>
      </c>
      <c r="F110">
        <v>10</v>
      </c>
      <c r="G110">
        <v>2</v>
      </c>
      <c r="H110">
        <f t="shared" si="0"/>
        <v>109</v>
      </c>
    </row>
    <row r="111" spans="2:8" x14ac:dyDescent="0.25">
      <c r="B111" t="s">
        <v>222</v>
      </c>
      <c r="C111" s="11" t="s">
        <v>230</v>
      </c>
      <c r="D111" t="s">
        <v>196</v>
      </c>
      <c r="E111" s="11" t="s">
        <v>200</v>
      </c>
      <c r="F111">
        <v>10</v>
      </c>
      <c r="G111">
        <v>8</v>
      </c>
      <c r="H111">
        <f t="shared" si="0"/>
        <v>110</v>
      </c>
    </row>
    <row r="112" spans="2:8" x14ac:dyDescent="0.25">
      <c r="B112" t="s">
        <v>222</v>
      </c>
      <c r="C112" s="11" t="s">
        <v>230</v>
      </c>
      <c r="D112" t="s">
        <v>196</v>
      </c>
      <c r="E112" s="11" t="s">
        <v>200</v>
      </c>
      <c r="F112">
        <v>7</v>
      </c>
      <c r="G112">
        <v>10</v>
      </c>
      <c r="H112">
        <f t="shared" si="0"/>
        <v>111</v>
      </c>
    </row>
    <row r="113" spans="2:8" x14ac:dyDescent="0.25">
      <c r="B113" t="s">
        <v>199</v>
      </c>
      <c r="C113" s="11" t="s">
        <v>230</v>
      </c>
      <c r="D113" t="s">
        <v>224</v>
      </c>
      <c r="E113" s="11" t="s">
        <v>196</v>
      </c>
      <c r="F113">
        <v>2</v>
      </c>
      <c r="G113">
        <v>10</v>
      </c>
      <c r="H113">
        <f t="shared" si="0"/>
        <v>112</v>
      </c>
    </row>
    <row r="114" spans="2:8" x14ac:dyDescent="0.25">
      <c r="B114" t="s">
        <v>199</v>
      </c>
      <c r="C114" s="11" t="s">
        <v>230</v>
      </c>
      <c r="D114" t="s">
        <v>224</v>
      </c>
      <c r="E114" s="11" t="s">
        <v>196</v>
      </c>
      <c r="F114">
        <v>9</v>
      </c>
      <c r="G114">
        <v>10</v>
      </c>
      <c r="H114">
        <f t="shared" si="0"/>
        <v>113</v>
      </c>
    </row>
    <row r="115" spans="2:8" x14ac:dyDescent="0.25">
      <c r="B115" t="s">
        <v>192</v>
      </c>
      <c r="C115" s="11" t="s">
        <v>214</v>
      </c>
      <c r="D115" t="s">
        <v>224</v>
      </c>
      <c r="E115" s="11" t="s">
        <v>200</v>
      </c>
      <c r="F115">
        <v>9</v>
      </c>
      <c r="G115">
        <v>10</v>
      </c>
      <c r="H115">
        <f t="shared" si="0"/>
        <v>114</v>
      </c>
    </row>
    <row r="116" spans="2:8" x14ac:dyDescent="0.25">
      <c r="B116" t="s">
        <v>192</v>
      </c>
      <c r="C116" s="11" t="s">
        <v>214</v>
      </c>
      <c r="D116" t="s">
        <v>224</v>
      </c>
      <c r="E116" s="11" t="s">
        <v>200</v>
      </c>
      <c r="F116">
        <v>7</v>
      </c>
      <c r="G116">
        <v>10</v>
      </c>
      <c r="H116">
        <f t="shared" si="0"/>
        <v>115</v>
      </c>
    </row>
    <row r="117" spans="2:8" x14ac:dyDescent="0.25">
      <c r="B117" t="s">
        <v>198</v>
      </c>
      <c r="C117" s="11" t="s">
        <v>208</v>
      </c>
      <c r="D117" t="s">
        <v>225</v>
      </c>
      <c r="E117" s="11" t="s">
        <v>234</v>
      </c>
      <c r="F117">
        <v>8</v>
      </c>
      <c r="G117">
        <v>10</v>
      </c>
      <c r="H117">
        <f t="shared" si="0"/>
        <v>116</v>
      </c>
    </row>
    <row r="118" spans="2:8" x14ac:dyDescent="0.25">
      <c r="B118" t="s">
        <v>198</v>
      </c>
      <c r="C118" s="11" t="s">
        <v>208</v>
      </c>
      <c r="D118" t="s">
        <v>225</v>
      </c>
      <c r="E118" s="11" t="s">
        <v>234</v>
      </c>
      <c r="F118">
        <v>10</v>
      </c>
      <c r="G118">
        <v>5</v>
      </c>
      <c r="H118">
        <f t="shared" si="0"/>
        <v>117</v>
      </c>
    </row>
    <row r="119" spans="2:8" x14ac:dyDescent="0.25">
      <c r="B119" t="s">
        <v>196</v>
      </c>
      <c r="C119" s="11" t="s">
        <v>192</v>
      </c>
      <c r="D119" t="s">
        <v>224</v>
      </c>
      <c r="E119" s="11" t="s">
        <v>230</v>
      </c>
      <c r="F119">
        <v>10</v>
      </c>
      <c r="G119">
        <v>6</v>
      </c>
      <c r="H119">
        <f t="shared" si="0"/>
        <v>118</v>
      </c>
    </row>
    <row r="120" spans="2:8" x14ac:dyDescent="0.25">
      <c r="B120" t="s">
        <v>196</v>
      </c>
      <c r="C120" s="11" t="s">
        <v>192</v>
      </c>
      <c r="D120" t="s">
        <v>224</v>
      </c>
      <c r="E120" s="11" t="s">
        <v>230</v>
      </c>
      <c r="F120">
        <v>10</v>
      </c>
      <c r="G120">
        <v>7</v>
      </c>
      <c r="H120">
        <f t="shared" si="0"/>
        <v>119</v>
      </c>
    </row>
    <row r="121" spans="2:8" x14ac:dyDescent="0.25">
      <c r="B121" t="s">
        <v>225</v>
      </c>
      <c r="C121" s="11" t="s">
        <v>227</v>
      </c>
      <c r="D121" t="s">
        <v>199</v>
      </c>
      <c r="E121" s="11" t="s">
        <v>222</v>
      </c>
      <c r="F121">
        <v>10</v>
      </c>
      <c r="G121">
        <v>5</v>
      </c>
      <c r="H121">
        <f t="shared" si="0"/>
        <v>120</v>
      </c>
    </row>
    <row r="122" spans="2:8" x14ac:dyDescent="0.25">
      <c r="B122" t="s">
        <v>225</v>
      </c>
      <c r="C122" s="11" t="s">
        <v>227</v>
      </c>
      <c r="D122" t="s">
        <v>199</v>
      </c>
      <c r="E122" s="11" t="s">
        <v>222</v>
      </c>
      <c r="F122">
        <v>8</v>
      </c>
      <c r="G122">
        <v>10</v>
      </c>
      <c r="H122">
        <f t="shared" si="0"/>
        <v>121</v>
      </c>
    </row>
    <row r="123" spans="2:8" x14ac:dyDescent="0.25">
      <c r="B123" t="s">
        <v>196</v>
      </c>
      <c r="C123" s="11" t="s">
        <v>197</v>
      </c>
      <c r="D123" t="s">
        <v>231</v>
      </c>
      <c r="E123" s="11" t="s">
        <v>217</v>
      </c>
      <c r="F123">
        <v>2</v>
      </c>
      <c r="G123">
        <v>10</v>
      </c>
      <c r="H123">
        <f t="shared" si="0"/>
        <v>122</v>
      </c>
    </row>
    <row r="124" spans="2:8" x14ac:dyDescent="0.25">
      <c r="B124" t="s">
        <v>196</v>
      </c>
      <c r="C124" s="11" t="s">
        <v>197</v>
      </c>
      <c r="D124" t="s">
        <v>231</v>
      </c>
      <c r="E124" s="11" t="s">
        <v>217</v>
      </c>
      <c r="F124">
        <v>1</v>
      </c>
      <c r="G124">
        <v>10</v>
      </c>
      <c r="H124">
        <f t="shared" si="0"/>
        <v>123</v>
      </c>
    </row>
    <row r="125" spans="2:8" x14ac:dyDescent="0.25">
      <c r="B125" t="s">
        <v>208</v>
      </c>
      <c r="C125" s="11" t="s">
        <v>225</v>
      </c>
      <c r="D125" t="s">
        <v>210</v>
      </c>
      <c r="E125" s="11" t="s">
        <v>190</v>
      </c>
      <c r="F125">
        <v>10</v>
      </c>
      <c r="G125">
        <v>8</v>
      </c>
      <c r="H125">
        <f t="shared" si="0"/>
        <v>124</v>
      </c>
    </row>
    <row r="126" spans="2:8" x14ac:dyDescent="0.25">
      <c r="B126" t="s">
        <v>208</v>
      </c>
      <c r="C126" s="11" t="s">
        <v>225</v>
      </c>
      <c r="D126" t="s">
        <v>210</v>
      </c>
      <c r="E126" s="11" t="s">
        <v>190</v>
      </c>
      <c r="F126">
        <v>10</v>
      </c>
      <c r="G126">
        <v>9</v>
      </c>
      <c r="H126">
        <f t="shared" si="0"/>
        <v>125</v>
      </c>
    </row>
    <row r="127" spans="2:8" x14ac:dyDescent="0.25">
      <c r="B127" t="s">
        <v>225</v>
      </c>
      <c r="C127" s="11" t="s">
        <v>199</v>
      </c>
      <c r="D127" t="s">
        <v>231</v>
      </c>
      <c r="E127" s="11" t="s">
        <v>196</v>
      </c>
      <c r="F127">
        <v>10</v>
      </c>
      <c r="G127">
        <v>5</v>
      </c>
      <c r="H127">
        <f t="shared" si="0"/>
        <v>126</v>
      </c>
    </row>
    <row r="128" spans="2:8" x14ac:dyDescent="0.25">
      <c r="B128" t="s">
        <v>225</v>
      </c>
      <c r="C128" s="11" t="s">
        <v>199</v>
      </c>
      <c r="D128" t="s">
        <v>231</v>
      </c>
      <c r="E128" s="11" t="s">
        <v>196</v>
      </c>
      <c r="F128">
        <v>10</v>
      </c>
      <c r="G128">
        <v>4</v>
      </c>
      <c r="H128">
        <f t="shared" si="0"/>
        <v>127</v>
      </c>
    </row>
    <row r="129" spans="2:8" x14ac:dyDescent="0.25">
      <c r="B129" t="s">
        <v>208</v>
      </c>
      <c r="C129" s="11" t="s">
        <v>224</v>
      </c>
      <c r="D129" t="s">
        <v>227</v>
      </c>
      <c r="E129" s="11" t="s">
        <v>222</v>
      </c>
      <c r="F129">
        <v>10</v>
      </c>
      <c r="G129">
        <v>5</v>
      </c>
      <c r="H129">
        <f t="shared" si="0"/>
        <v>128</v>
      </c>
    </row>
    <row r="130" spans="2:8" x14ac:dyDescent="0.25">
      <c r="B130" t="s">
        <v>208</v>
      </c>
      <c r="C130" s="11" t="s">
        <v>224</v>
      </c>
      <c r="D130" t="s">
        <v>227</v>
      </c>
      <c r="E130" s="11" t="s">
        <v>222</v>
      </c>
      <c r="F130">
        <v>10</v>
      </c>
      <c r="G130">
        <v>2</v>
      </c>
      <c r="H130">
        <f t="shared" ref="H130:H193" si="1">H129+1</f>
        <v>129</v>
      </c>
    </row>
    <row r="131" spans="2:8" x14ac:dyDescent="0.25">
      <c r="B131" t="s">
        <v>208</v>
      </c>
      <c r="C131" s="11" t="s">
        <v>227</v>
      </c>
      <c r="D131" t="s">
        <v>190</v>
      </c>
      <c r="E131" s="11" t="s">
        <v>201</v>
      </c>
      <c r="F131">
        <v>10</v>
      </c>
      <c r="G131">
        <v>5</v>
      </c>
      <c r="H131">
        <f t="shared" si="1"/>
        <v>130</v>
      </c>
    </row>
    <row r="132" spans="2:8" x14ac:dyDescent="0.25">
      <c r="B132" t="s">
        <v>208</v>
      </c>
      <c r="C132" s="11" t="s">
        <v>227</v>
      </c>
      <c r="D132" t="s">
        <v>190</v>
      </c>
      <c r="E132" s="11" t="s">
        <v>201</v>
      </c>
      <c r="F132">
        <v>10</v>
      </c>
      <c r="G132">
        <v>4</v>
      </c>
      <c r="H132">
        <f t="shared" si="1"/>
        <v>131</v>
      </c>
    </row>
    <row r="133" spans="2:8" x14ac:dyDescent="0.25">
      <c r="B133" t="s">
        <v>192</v>
      </c>
      <c r="C133" s="11" t="s">
        <v>210</v>
      </c>
      <c r="D133" t="s">
        <v>230</v>
      </c>
      <c r="E133" s="11" t="s">
        <v>217</v>
      </c>
      <c r="F133">
        <v>10</v>
      </c>
      <c r="G133">
        <v>4</v>
      </c>
      <c r="H133">
        <f t="shared" si="1"/>
        <v>132</v>
      </c>
    </row>
    <row r="134" spans="2:8" x14ac:dyDescent="0.25">
      <c r="B134" t="s">
        <v>192</v>
      </c>
      <c r="C134" s="11" t="s">
        <v>210</v>
      </c>
      <c r="D134" t="s">
        <v>230</v>
      </c>
      <c r="E134" s="11" t="s">
        <v>217</v>
      </c>
      <c r="F134">
        <v>10</v>
      </c>
      <c r="G134">
        <v>9</v>
      </c>
      <c r="H134">
        <f t="shared" si="1"/>
        <v>133</v>
      </c>
    </row>
    <row r="135" spans="2:8" x14ac:dyDescent="0.25">
      <c r="B135" t="s">
        <v>231</v>
      </c>
      <c r="C135" s="11" t="s">
        <v>196</v>
      </c>
      <c r="D135" t="s">
        <v>230</v>
      </c>
      <c r="E135" s="11" t="s">
        <v>222</v>
      </c>
      <c r="F135">
        <v>10</v>
      </c>
      <c r="G135">
        <v>8</v>
      </c>
      <c r="H135">
        <f t="shared" si="1"/>
        <v>134</v>
      </c>
    </row>
    <row r="136" spans="2:8" x14ac:dyDescent="0.25">
      <c r="B136" t="s">
        <v>231</v>
      </c>
      <c r="C136" s="11" t="s">
        <v>196</v>
      </c>
      <c r="D136" t="s">
        <v>230</v>
      </c>
      <c r="E136" s="11" t="s">
        <v>222</v>
      </c>
      <c r="F136">
        <v>9</v>
      </c>
      <c r="G136">
        <v>10</v>
      </c>
      <c r="H136">
        <f t="shared" si="1"/>
        <v>135</v>
      </c>
    </row>
    <row r="137" spans="2:8" x14ac:dyDescent="0.25">
      <c r="B137" t="s">
        <v>225</v>
      </c>
      <c r="C137" s="11" t="s">
        <v>224</v>
      </c>
      <c r="D137" t="s">
        <v>230</v>
      </c>
      <c r="E137" s="11" t="s">
        <v>200</v>
      </c>
      <c r="F137">
        <v>8</v>
      </c>
      <c r="G137">
        <v>10</v>
      </c>
      <c r="H137">
        <f t="shared" si="1"/>
        <v>136</v>
      </c>
    </row>
    <row r="138" spans="2:8" x14ac:dyDescent="0.25">
      <c r="B138" t="s">
        <v>225</v>
      </c>
      <c r="C138" s="11" t="s">
        <v>224</v>
      </c>
      <c r="D138" t="s">
        <v>230</v>
      </c>
      <c r="E138" s="11" t="s">
        <v>200</v>
      </c>
      <c r="F138">
        <v>10</v>
      </c>
      <c r="G138">
        <v>5</v>
      </c>
      <c r="H138">
        <f t="shared" si="1"/>
        <v>137</v>
      </c>
    </row>
    <row r="139" spans="2:8" x14ac:dyDescent="0.25">
      <c r="B139" t="s">
        <v>190</v>
      </c>
      <c r="C139" s="11" t="s">
        <v>223</v>
      </c>
      <c r="D139" t="s">
        <v>231</v>
      </c>
      <c r="E139" s="11" t="s">
        <v>192</v>
      </c>
      <c r="F139">
        <v>10</v>
      </c>
      <c r="G139">
        <v>6</v>
      </c>
      <c r="H139">
        <f t="shared" si="1"/>
        <v>138</v>
      </c>
    </row>
    <row r="140" spans="2:8" x14ac:dyDescent="0.25">
      <c r="B140" t="s">
        <v>190</v>
      </c>
      <c r="C140" s="11" t="s">
        <v>223</v>
      </c>
      <c r="D140" t="s">
        <v>231</v>
      </c>
      <c r="E140" s="11" t="s">
        <v>192</v>
      </c>
      <c r="F140">
        <v>3</v>
      </c>
      <c r="G140">
        <v>10</v>
      </c>
      <c r="H140">
        <f t="shared" si="1"/>
        <v>139</v>
      </c>
    </row>
    <row r="141" spans="2:8" x14ac:dyDescent="0.25">
      <c r="B141" t="s">
        <v>225</v>
      </c>
      <c r="C141" s="11" t="s">
        <v>208</v>
      </c>
      <c r="D141" t="s">
        <v>222</v>
      </c>
      <c r="E141" s="11" t="s">
        <v>196</v>
      </c>
      <c r="F141">
        <v>10</v>
      </c>
      <c r="G141">
        <v>5</v>
      </c>
      <c r="H141">
        <f t="shared" si="1"/>
        <v>140</v>
      </c>
    </row>
    <row r="142" spans="2:8" x14ac:dyDescent="0.25">
      <c r="B142" t="s">
        <v>225</v>
      </c>
      <c r="C142" s="11" t="s">
        <v>208</v>
      </c>
      <c r="D142" t="s">
        <v>222</v>
      </c>
      <c r="E142" s="11" t="s">
        <v>196</v>
      </c>
      <c r="F142">
        <v>10</v>
      </c>
      <c r="G142">
        <v>7</v>
      </c>
      <c r="H142">
        <f t="shared" si="1"/>
        <v>141</v>
      </c>
    </row>
    <row r="143" spans="2:8" x14ac:dyDescent="0.25">
      <c r="B143" t="s">
        <v>231</v>
      </c>
      <c r="C143" s="11" t="s">
        <v>211</v>
      </c>
      <c r="D143" t="s">
        <v>215</v>
      </c>
      <c r="E143" s="11" t="s">
        <v>217</v>
      </c>
      <c r="F143">
        <v>5</v>
      </c>
      <c r="G143">
        <v>10</v>
      </c>
      <c r="H143">
        <f t="shared" si="1"/>
        <v>142</v>
      </c>
    </row>
    <row r="144" spans="2:8" x14ac:dyDescent="0.25">
      <c r="B144" t="s">
        <v>231</v>
      </c>
      <c r="C144" s="11" t="s">
        <v>211</v>
      </c>
      <c r="D144" t="s">
        <v>215</v>
      </c>
      <c r="E144" s="11" t="s">
        <v>217</v>
      </c>
      <c r="F144">
        <v>6</v>
      </c>
      <c r="G144">
        <v>10</v>
      </c>
      <c r="H144">
        <f t="shared" si="1"/>
        <v>143</v>
      </c>
    </row>
    <row r="145" spans="2:8" x14ac:dyDescent="0.25">
      <c r="B145" t="s">
        <v>196</v>
      </c>
      <c r="C145" s="11" t="s">
        <v>224</v>
      </c>
      <c r="D145" t="s">
        <v>199</v>
      </c>
      <c r="E145" s="11" t="s">
        <v>222</v>
      </c>
      <c r="F145">
        <v>4</v>
      </c>
      <c r="G145">
        <v>10</v>
      </c>
      <c r="H145">
        <f t="shared" si="1"/>
        <v>144</v>
      </c>
    </row>
    <row r="146" spans="2:8" x14ac:dyDescent="0.25">
      <c r="B146" t="s">
        <v>196</v>
      </c>
      <c r="C146" s="11" t="s">
        <v>224</v>
      </c>
      <c r="D146" t="s">
        <v>199</v>
      </c>
      <c r="E146" s="11" t="s">
        <v>222</v>
      </c>
      <c r="F146">
        <v>10</v>
      </c>
      <c r="G146">
        <v>6</v>
      </c>
      <c r="H146">
        <f t="shared" si="1"/>
        <v>145</v>
      </c>
    </row>
    <row r="147" spans="2:8" x14ac:dyDescent="0.25">
      <c r="B147" t="s">
        <v>190</v>
      </c>
      <c r="C147" s="11" t="s">
        <v>223</v>
      </c>
      <c r="D147" t="s">
        <v>224</v>
      </c>
      <c r="E147" s="11" t="s">
        <v>230</v>
      </c>
      <c r="F147">
        <v>9</v>
      </c>
      <c r="G147">
        <v>10</v>
      </c>
      <c r="H147">
        <f t="shared" si="1"/>
        <v>146</v>
      </c>
    </row>
    <row r="148" spans="2:8" x14ac:dyDescent="0.25">
      <c r="B148" t="s">
        <v>190</v>
      </c>
      <c r="C148" s="11" t="s">
        <v>223</v>
      </c>
      <c r="D148" t="s">
        <v>224</v>
      </c>
      <c r="E148" s="11" t="s">
        <v>230</v>
      </c>
      <c r="F148">
        <v>10</v>
      </c>
      <c r="G148">
        <v>3</v>
      </c>
      <c r="H148">
        <f t="shared" si="1"/>
        <v>147</v>
      </c>
    </row>
    <row r="149" spans="2:8" x14ac:dyDescent="0.25">
      <c r="B149" t="s">
        <v>208</v>
      </c>
      <c r="C149" s="11" t="s">
        <v>225</v>
      </c>
      <c r="D149" t="s">
        <v>210</v>
      </c>
      <c r="E149" s="11" t="s">
        <v>204</v>
      </c>
      <c r="F149">
        <v>10</v>
      </c>
      <c r="G149">
        <v>6</v>
      </c>
      <c r="H149">
        <f t="shared" si="1"/>
        <v>148</v>
      </c>
    </row>
    <row r="150" spans="2:8" x14ac:dyDescent="0.25">
      <c r="B150" t="s">
        <v>208</v>
      </c>
      <c r="C150" s="11" t="s">
        <v>225</v>
      </c>
      <c r="D150" t="s">
        <v>210</v>
      </c>
      <c r="E150" s="11" t="s">
        <v>204</v>
      </c>
      <c r="F150">
        <v>10</v>
      </c>
      <c r="G150">
        <v>7</v>
      </c>
      <c r="H150">
        <f t="shared" si="1"/>
        <v>149</v>
      </c>
    </row>
    <row r="151" spans="2:8" x14ac:dyDescent="0.25">
      <c r="B151" t="s">
        <v>223</v>
      </c>
      <c r="C151" s="11" t="s">
        <v>210</v>
      </c>
      <c r="D151" t="s">
        <v>234</v>
      </c>
      <c r="E151" s="11" t="s">
        <v>204</v>
      </c>
      <c r="F151">
        <v>10</v>
      </c>
      <c r="G151">
        <v>0</v>
      </c>
      <c r="H151">
        <f t="shared" si="1"/>
        <v>150</v>
      </c>
    </row>
    <row r="152" spans="2:8" x14ac:dyDescent="0.25">
      <c r="B152" t="s">
        <v>223</v>
      </c>
      <c r="C152" s="11" t="s">
        <v>210</v>
      </c>
      <c r="D152" t="s">
        <v>234</v>
      </c>
      <c r="E152" s="11" t="s">
        <v>204</v>
      </c>
      <c r="F152">
        <v>10</v>
      </c>
      <c r="G152">
        <v>8</v>
      </c>
      <c r="H152">
        <f t="shared" si="1"/>
        <v>151</v>
      </c>
    </row>
    <row r="153" spans="2:8" x14ac:dyDescent="0.25">
      <c r="B153" t="s">
        <v>192</v>
      </c>
      <c r="C153" s="11" t="s">
        <v>210</v>
      </c>
      <c r="D153" t="s">
        <v>196</v>
      </c>
      <c r="E153" s="11" t="s">
        <v>199</v>
      </c>
      <c r="F153">
        <v>10</v>
      </c>
      <c r="G153">
        <v>9</v>
      </c>
      <c r="H153">
        <f t="shared" si="1"/>
        <v>152</v>
      </c>
    </row>
    <row r="154" spans="2:8" x14ac:dyDescent="0.25">
      <c r="B154" t="s">
        <v>192</v>
      </c>
      <c r="C154" s="11" t="s">
        <v>210</v>
      </c>
      <c r="D154" t="s">
        <v>196</v>
      </c>
      <c r="E154" s="11" t="s">
        <v>199</v>
      </c>
      <c r="F154">
        <v>8</v>
      </c>
      <c r="G154">
        <v>10</v>
      </c>
      <c r="H154">
        <f t="shared" si="1"/>
        <v>153</v>
      </c>
    </row>
    <row r="155" spans="2:8" x14ac:dyDescent="0.25">
      <c r="B155" t="s">
        <v>231</v>
      </c>
      <c r="C155" s="11" t="s">
        <v>210</v>
      </c>
      <c r="D155" t="s">
        <v>196</v>
      </c>
      <c r="E155" s="11" t="s">
        <v>199</v>
      </c>
      <c r="F155">
        <v>10</v>
      </c>
      <c r="G155">
        <v>8</v>
      </c>
      <c r="H155">
        <f t="shared" si="1"/>
        <v>154</v>
      </c>
    </row>
    <row r="156" spans="2:8" x14ac:dyDescent="0.25">
      <c r="B156" t="s">
        <v>231</v>
      </c>
      <c r="C156" s="11" t="s">
        <v>210</v>
      </c>
      <c r="D156" t="s">
        <v>196</v>
      </c>
      <c r="E156" s="11" t="s">
        <v>199</v>
      </c>
      <c r="F156">
        <v>10</v>
      </c>
      <c r="G156">
        <v>9</v>
      </c>
      <c r="H156">
        <f t="shared" si="1"/>
        <v>155</v>
      </c>
    </row>
    <row r="157" spans="2:8" x14ac:dyDescent="0.25">
      <c r="B157" t="s">
        <v>192</v>
      </c>
      <c r="C157" s="11" t="s">
        <v>230</v>
      </c>
      <c r="D157" t="s">
        <v>225</v>
      </c>
      <c r="E157" s="11" t="s">
        <v>222</v>
      </c>
      <c r="F157">
        <v>10</v>
      </c>
      <c r="G157">
        <v>7</v>
      </c>
      <c r="H157">
        <f t="shared" si="1"/>
        <v>156</v>
      </c>
    </row>
    <row r="158" spans="2:8" x14ac:dyDescent="0.25">
      <c r="B158" t="s">
        <v>192</v>
      </c>
      <c r="C158" s="11" t="s">
        <v>230</v>
      </c>
      <c r="D158" t="s">
        <v>225</v>
      </c>
      <c r="E158" s="11" t="s">
        <v>222</v>
      </c>
      <c r="F158">
        <v>10</v>
      </c>
      <c r="G158">
        <v>4</v>
      </c>
      <c r="H158">
        <f t="shared" si="1"/>
        <v>157</v>
      </c>
    </row>
    <row r="159" spans="2:8" x14ac:dyDescent="0.25">
      <c r="B159" t="s">
        <v>227</v>
      </c>
      <c r="C159" s="11" t="s">
        <v>210</v>
      </c>
      <c r="D159" t="s">
        <v>225</v>
      </c>
      <c r="E159" s="11" t="s">
        <v>200</v>
      </c>
      <c r="F159">
        <v>10</v>
      </c>
      <c r="G159">
        <v>4</v>
      </c>
      <c r="H159">
        <f t="shared" si="1"/>
        <v>158</v>
      </c>
    </row>
    <row r="160" spans="2:8" x14ac:dyDescent="0.25">
      <c r="B160" t="s">
        <v>227</v>
      </c>
      <c r="C160" s="11" t="s">
        <v>210</v>
      </c>
      <c r="D160" t="s">
        <v>225</v>
      </c>
      <c r="E160" s="11" t="s">
        <v>200</v>
      </c>
      <c r="F160">
        <v>10</v>
      </c>
      <c r="G160">
        <v>8</v>
      </c>
      <c r="H160">
        <f t="shared" si="1"/>
        <v>159</v>
      </c>
    </row>
    <row r="161" spans="2:8" x14ac:dyDescent="0.25">
      <c r="B161" t="s">
        <v>227</v>
      </c>
      <c r="C161" s="11" t="s">
        <v>222</v>
      </c>
      <c r="D161" t="s">
        <v>192</v>
      </c>
      <c r="E161" s="11" t="s">
        <v>201</v>
      </c>
      <c r="F161">
        <v>7</v>
      </c>
      <c r="G161">
        <v>10</v>
      </c>
      <c r="H161">
        <f t="shared" si="1"/>
        <v>160</v>
      </c>
    </row>
    <row r="162" spans="2:8" x14ac:dyDescent="0.25">
      <c r="B162" t="s">
        <v>227</v>
      </c>
      <c r="C162" s="11" t="s">
        <v>222</v>
      </c>
      <c r="D162" t="s">
        <v>192</v>
      </c>
      <c r="E162" s="11" t="s">
        <v>201</v>
      </c>
      <c r="F162">
        <v>5</v>
      </c>
      <c r="G162">
        <v>10</v>
      </c>
      <c r="H162">
        <f t="shared" si="1"/>
        <v>161</v>
      </c>
    </row>
    <row r="163" spans="2:8" x14ac:dyDescent="0.25">
      <c r="B163" t="s">
        <v>227</v>
      </c>
      <c r="C163" s="11" t="s">
        <v>225</v>
      </c>
      <c r="D163" t="s">
        <v>222</v>
      </c>
      <c r="E163" s="11" t="s">
        <v>208</v>
      </c>
      <c r="F163">
        <v>10</v>
      </c>
      <c r="G163">
        <v>9</v>
      </c>
      <c r="H163">
        <f t="shared" si="1"/>
        <v>162</v>
      </c>
    </row>
    <row r="164" spans="2:8" x14ac:dyDescent="0.25">
      <c r="B164" t="s">
        <v>227</v>
      </c>
      <c r="C164" s="11" t="s">
        <v>225</v>
      </c>
      <c r="D164" t="s">
        <v>222</v>
      </c>
      <c r="E164" s="11" t="s">
        <v>208</v>
      </c>
      <c r="F164">
        <v>10</v>
      </c>
      <c r="G164">
        <v>7</v>
      </c>
      <c r="H164">
        <f t="shared" si="1"/>
        <v>163</v>
      </c>
    </row>
    <row r="165" spans="2:8" x14ac:dyDescent="0.25">
      <c r="B165" t="s">
        <v>200</v>
      </c>
      <c r="C165" s="11" t="s">
        <v>199</v>
      </c>
      <c r="D165" t="s">
        <v>222</v>
      </c>
      <c r="E165" s="11" t="s">
        <v>192</v>
      </c>
      <c r="F165">
        <v>7</v>
      </c>
      <c r="G165">
        <v>10</v>
      </c>
      <c r="H165">
        <f t="shared" si="1"/>
        <v>164</v>
      </c>
    </row>
    <row r="166" spans="2:8" x14ac:dyDescent="0.25">
      <c r="B166" t="s">
        <v>200</v>
      </c>
      <c r="C166" s="11" t="s">
        <v>199</v>
      </c>
      <c r="D166" t="s">
        <v>222</v>
      </c>
      <c r="E166" s="11" t="s">
        <v>192</v>
      </c>
      <c r="F166">
        <v>2</v>
      </c>
      <c r="G166">
        <v>10</v>
      </c>
      <c r="H166">
        <f t="shared" si="1"/>
        <v>165</v>
      </c>
    </row>
    <row r="167" spans="2:8" x14ac:dyDescent="0.25">
      <c r="B167" t="s">
        <v>230</v>
      </c>
      <c r="C167" s="11" t="s">
        <v>227</v>
      </c>
      <c r="D167" t="s">
        <v>225</v>
      </c>
      <c r="E167" s="11" t="s">
        <v>204</v>
      </c>
      <c r="F167">
        <v>10</v>
      </c>
      <c r="G167">
        <v>7</v>
      </c>
      <c r="H167">
        <f t="shared" si="1"/>
        <v>166</v>
      </c>
    </row>
    <row r="168" spans="2:8" x14ac:dyDescent="0.25">
      <c r="B168" t="s">
        <v>230</v>
      </c>
      <c r="C168" s="11" t="s">
        <v>227</v>
      </c>
      <c r="D168" t="s">
        <v>225</v>
      </c>
      <c r="E168" s="11" t="s">
        <v>204</v>
      </c>
      <c r="F168">
        <v>10</v>
      </c>
      <c r="G168">
        <v>4</v>
      </c>
      <c r="H168">
        <f t="shared" si="1"/>
        <v>167</v>
      </c>
    </row>
    <row r="169" spans="2:8" x14ac:dyDescent="0.25">
      <c r="B169" t="s">
        <v>225</v>
      </c>
      <c r="C169" s="11" t="s">
        <v>208</v>
      </c>
      <c r="D169" t="s">
        <v>200</v>
      </c>
      <c r="E169" s="11" t="s">
        <v>201</v>
      </c>
      <c r="F169">
        <v>10</v>
      </c>
      <c r="G169">
        <v>3</v>
      </c>
      <c r="H169">
        <f t="shared" si="1"/>
        <v>168</v>
      </c>
    </row>
    <row r="170" spans="2:8" x14ac:dyDescent="0.25">
      <c r="B170" t="s">
        <v>225</v>
      </c>
      <c r="C170" s="11" t="s">
        <v>208</v>
      </c>
      <c r="D170" t="s">
        <v>200</v>
      </c>
      <c r="E170" s="11" t="s">
        <v>201</v>
      </c>
      <c r="F170">
        <v>7</v>
      </c>
      <c r="G170">
        <v>10</v>
      </c>
      <c r="H170">
        <f t="shared" si="1"/>
        <v>169</v>
      </c>
    </row>
    <row r="171" spans="2:8" x14ac:dyDescent="0.25">
      <c r="B171" t="s">
        <v>225</v>
      </c>
      <c r="C171" s="11" t="s">
        <v>208</v>
      </c>
      <c r="D171" t="s">
        <v>200</v>
      </c>
      <c r="E171" s="11" t="s">
        <v>201</v>
      </c>
      <c r="F171">
        <v>10</v>
      </c>
      <c r="G171">
        <v>4</v>
      </c>
      <c r="H171">
        <f t="shared" si="1"/>
        <v>170</v>
      </c>
    </row>
    <row r="172" spans="2:8" x14ac:dyDescent="0.25">
      <c r="B172" t="s">
        <v>225</v>
      </c>
      <c r="C172" s="11" t="s">
        <v>208</v>
      </c>
      <c r="D172" t="s">
        <v>200</v>
      </c>
      <c r="E172" s="11" t="s">
        <v>201</v>
      </c>
      <c r="F172">
        <v>10</v>
      </c>
      <c r="G172">
        <v>5</v>
      </c>
      <c r="H172">
        <f t="shared" si="1"/>
        <v>171</v>
      </c>
    </row>
    <row r="173" spans="2:8" x14ac:dyDescent="0.25">
      <c r="B173" t="s">
        <v>217</v>
      </c>
      <c r="C173" s="11" t="s">
        <v>222</v>
      </c>
      <c r="D173" t="s">
        <v>199</v>
      </c>
      <c r="E173" s="11" t="s">
        <v>231</v>
      </c>
      <c r="F173">
        <v>8</v>
      </c>
      <c r="G173">
        <v>10</v>
      </c>
      <c r="H173">
        <f t="shared" si="1"/>
        <v>172</v>
      </c>
    </row>
    <row r="174" spans="2:8" x14ac:dyDescent="0.25">
      <c r="B174" t="s">
        <v>230</v>
      </c>
      <c r="C174" s="11" t="s">
        <v>222</v>
      </c>
      <c r="D174" t="s">
        <v>190</v>
      </c>
      <c r="E174" s="11" t="s">
        <v>212</v>
      </c>
      <c r="F174">
        <v>10</v>
      </c>
      <c r="G174">
        <v>8</v>
      </c>
      <c r="H174">
        <f t="shared" si="1"/>
        <v>173</v>
      </c>
    </row>
    <row r="175" spans="2:8" x14ac:dyDescent="0.25">
      <c r="B175" t="s">
        <v>230</v>
      </c>
      <c r="C175" s="11" t="s">
        <v>222</v>
      </c>
      <c r="D175" t="s">
        <v>190</v>
      </c>
      <c r="E175" s="11" t="s">
        <v>212</v>
      </c>
      <c r="F175">
        <v>6</v>
      </c>
      <c r="G175">
        <v>10</v>
      </c>
      <c r="H175">
        <f t="shared" si="1"/>
        <v>174</v>
      </c>
    </row>
    <row r="176" spans="2:8" x14ac:dyDescent="0.25">
      <c r="B176" t="s">
        <v>225</v>
      </c>
      <c r="C176" s="11" t="s">
        <v>199</v>
      </c>
      <c r="D176" t="s">
        <v>208</v>
      </c>
      <c r="E176" s="11" t="s">
        <v>224</v>
      </c>
      <c r="F176">
        <v>4</v>
      </c>
      <c r="G176">
        <v>10</v>
      </c>
      <c r="H176">
        <f t="shared" si="1"/>
        <v>175</v>
      </c>
    </row>
    <row r="177" spans="2:8" x14ac:dyDescent="0.25">
      <c r="B177" t="s">
        <v>225</v>
      </c>
      <c r="C177" s="11" t="s">
        <v>199</v>
      </c>
      <c r="D177" t="s">
        <v>208</v>
      </c>
      <c r="E177" s="11" t="s">
        <v>224</v>
      </c>
      <c r="F177">
        <v>10</v>
      </c>
      <c r="G177">
        <v>7</v>
      </c>
      <c r="H177">
        <f t="shared" si="1"/>
        <v>176</v>
      </c>
    </row>
    <row r="178" spans="2:8" x14ac:dyDescent="0.25">
      <c r="B178" t="s">
        <v>208</v>
      </c>
      <c r="C178" s="11" t="s">
        <v>196</v>
      </c>
      <c r="D178" t="s">
        <v>204</v>
      </c>
      <c r="E178" s="11" t="s">
        <v>231</v>
      </c>
      <c r="F178">
        <v>10</v>
      </c>
      <c r="G178">
        <v>4</v>
      </c>
      <c r="H178">
        <f t="shared" si="1"/>
        <v>177</v>
      </c>
    </row>
    <row r="179" spans="2:8" x14ac:dyDescent="0.25">
      <c r="B179" t="s">
        <v>208</v>
      </c>
      <c r="C179" s="11" t="s">
        <v>196</v>
      </c>
      <c r="D179" t="s">
        <v>204</v>
      </c>
      <c r="E179" s="11" t="s">
        <v>231</v>
      </c>
      <c r="F179">
        <v>10</v>
      </c>
      <c r="G179">
        <v>7</v>
      </c>
      <c r="H179">
        <f t="shared" si="1"/>
        <v>178</v>
      </c>
    </row>
    <row r="180" spans="2:8" x14ac:dyDescent="0.25">
      <c r="B180" t="s">
        <v>227</v>
      </c>
      <c r="C180" s="11" t="s">
        <v>210</v>
      </c>
      <c r="D180" t="s">
        <v>225</v>
      </c>
      <c r="E180" s="11" t="s">
        <v>214</v>
      </c>
      <c r="F180">
        <v>10</v>
      </c>
      <c r="G180">
        <v>5</v>
      </c>
      <c r="H180">
        <f t="shared" si="1"/>
        <v>179</v>
      </c>
    </row>
    <row r="181" spans="2:8" x14ac:dyDescent="0.25">
      <c r="B181" t="s">
        <v>227</v>
      </c>
      <c r="C181" s="11" t="s">
        <v>210</v>
      </c>
      <c r="D181" t="s">
        <v>225</v>
      </c>
      <c r="E181" s="11" t="s">
        <v>214</v>
      </c>
      <c r="F181">
        <v>10</v>
      </c>
      <c r="G181">
        <v>6</v>
      </c>
      <c r="H181">
        <f t="shared" si="1"/>
        <v>180</v>
      </c>
    </row>
    <row r="182" spans="2:8" x14ac:dyDescent="0.25">
      <c r="B182" t="s">
        <v>199</v>
      </c>
      <c r="C182" s="11" t="s">
        <v>222</v>
      </c>
      <c r="D182" t="s">
        <v>208</v>
      </c>
      <c r="E182" s="11" t="s">
        <v>230</v>
      </c>
      <c r="F182">
        <v>7</v>
      </c>
      <c r="G182">
        <v>10</v>
      </c>
      <c r="H182">
        <f t="shared" si="1"/>
        <v>181</v>
      </c>
    </row>
    <row r="183" spans="2:8" x14ac:dyDescent="0.25">
      <c r="B183" t="s">
        <v>199</v>
      </c>
      <c r="C183" s="11" t="s">
        <v>222</v>
      </c>
      <c r="D183" t="s">
        <v>208</v>
      </c>
      <c r="E183" s="11" t="s">
        <v>230</v>
      </c>
      <c r="F183">
        <v>7</v>
      </c>
      <c r="G183">
        <v>10</v>
      </c>
      <c r="H183">
        <f t="shared" si="1"/>
        <v>182</v>
      </c>
    </row>
    <row r="184" spans="2:8" x14ac:dyDescent="0.25">
      <c r="B184" t="s">
        <v>214</v>
      </c>
      <c r="C184" s="11" t="s">
        <v>222</v>
      </c>
      <c r="D184" t="s">
        <v>196</v>
      </c>
      <c r="E184" s="11" t="s">
        <v>199</v>
      </c>
      <c r="F184">
        <v>10</v>
      </c>
      <c r="G184">
        <v>7</v>
      </c>
      <c r="H184">
        <f t="shared" si="1"/>
        <v>183</v>
      </c>
    </row>
    <row r="185" spans="2:8" x14ac:dyDescent="0.25">
      <c r="B185" t="s">
        <v>214</v>
      </c>
      <c r="C185" s="11" t="s">
        <v>222</v>
      </c>
      <c r="D185" t="s">
        <v>196</v>
      </c>
      <c r="E185" s="11" t="s">
        <v>199</v>
      </c>
      <c r="F185">
        <v>10</v>
      </c>
      <c r="G185">
        <v>7</v>
      </c>
      <c r="H185">
        <f t="shared" si="1"/>
        <v>184</v>
      </c>
    </row>
    <row r="186" spans="2:8" x14ac:dyDescent="0.25">
      <c r="B186" t="s">
        <v>208</v>
      </c>
      <c r="C186" s="11" t="s">
        <v>227</v>
      </c>
      <c r="D186" t="s">
        <v>210</v>
      </c>
      <c r="E186" s="11" t="s">
        <v>214</v>
      </c>
      <c r="F186">
        <v>10</v>
      </c>
      <c r="G186">
        <v>3</v>
      </c>
      <c r="H186">
        <f t="shared" si="1"/>
        <v>185</v>
      </c>
    </row>
    <row r="187" spans="2:8" x14ac:dyDescent="0.25">
      <c r="B187" t="s">
        <v>208</v>
      </c>
      <c r="C187" s="11" t="s">
        <v>227</v>
      </c>
      <c r="D187" t="s">
        <v>210</v>
      </c>
      <c r="E187" s="11" t="s">
        <v>214</v>
      </c>
      <c r="F187">
        <v>10</v>
      </c>
      <c r="G187">
        <v>4</v>
      </c>
      <c r="H187">
        <f t="shared" si="1"/>
        <v>186</v>
      </c>
    </row>
    <row r="188" spans="2:8" x14ac:dyDescent="0.25">
      <c r="B188" t="s">
        <v>225</v>
      </c>
      <c r="C188" s="11" t="s">
        <v>208</v>
      </c>
      <c r="D188" t="s">
        <v>227</v>
      </c>
      <c r="E188" s="11" t="s">
        <v>224</v>
      </c>
      <c r="F188">
        <v>9</v>
      </c>
      <c r="G188">
        <v>10</v>
      </c>
      <c r="H188">
        <f t="shared" si="1"/>
        <v>187</v>
      </c>
    </row>
    <row r="189" spans="2:8" x14ac:dyDescent="0.25">
      <c r="B189" t="s">
        <v>225</v>
      </c>
      <c r="C189" s="11" t="s">
        <v>208</v>
      </c>
      <c r="D189" t="s">
        <v>227</v>
      </c>
      <c r="E189" s="11" t="s">
        <v>224</v>
      </c>
      <c r="F189">
        <v>9</v>
      </c>
      <c r="G189">
        <v>10</v>
      </c>
      <c r="H189">
        <f t="shared" si="1"/>
        <v>188</v>
      </c>
    </row>
    <row r="190" spans="2:8" x14ac:dyDescent="0.25">
      <c r="B190" t="s">
        <v>200</v>
      </c>
      <c r="C190" s="11" t="s">
        <v>199</v>
      </c>
      <c r="D190" t="s">
        <v>222</v>
      </c>
      <c r="E190" s="11" t="s">
        <v>230</v>
      </c>
      <c r="F190">
        <v>10</v>
      </c>
      <c r="G190">
        <v>5</v>
      </c>
      <c r="H190">
        <f t="shared" si="1"/>
        <v>189</v>
      </c>
    </row>
    <row r="191" spans="2:8" x14ac:dyDescent="0.25">
      <c r="B191" t="s">
        <v>200</v>
      </c>
      <c r="C191" s="11" t="s">
        <v>199</v>
      </c>
      <c r="D191" t="s">
        <v>222</v>
      </c>
      <c r="E191" s="11" t="s">
        <v>230</v>
      </c>
      <c r="F191">
        <v>10</v>
      </c>
      <c r="G191">
        <v>5</v>
      </c>
      <c r="H191">
        <f t="shared" si="1"/>
        <v>190</v>
      </c>
    </row>
    <row r="192" spans="2:8" x14ac:dyDescent="0.25">
      <c r="B192" t="s">
        <v>210</v>
      </c>
      <c r="C192" s="11" t="s">
        <v>217</v>
      </c>
      <c r="D192" t="s">
        <v>216</v>
      </c>
      <c r="E192" s="11" t="s">
        <v>196</v>
      </c>
      <c r="F192">
        <v>3</v>
      </c>
      <c r="G192">
        <v>10</v>
      </c>
      <c r="H192">
        <f t="shared" si="1"/>
        <v>191</v>
      </c>
    </row>
    <row r="193" spans="2:8" x14ac:dyDescent="0.25">
      <c r="B193" t="s">
        <v>210</v>
      </c>
      <c r="C193" s="11" t="s">
        <v>217</v>
      </c>
      <c r="D193" t="s">
        <v>216</v>
      </c>
      <c r="E193" s="11" t="s">
        <v>196</v>
      </c>
      <c r="F193">
        <v>5</v>
      </c>
      <c r="G193">
        <v>10</v>
      </c>
      <c r="H193">
        <f t="shared" si="1"/>
        <v>192</v>
      </c>
    </row>
    <row r="194" spans="2:8" x14ac:dyDescent="0.25">
      <c r="B194" t="s">
        <v>208</v>
      </c>
      <c r="C194" s="11" t="s">
        <v>225</v>
      </c>
      <c r="D194" t="s">
        <v>192</v>
      </c>
      <c r="E194" s="11" t="s">
        <v>196</v>
      </c>
      <c r="F194">
        <v>4</v>
      </c>
      <c r="G194">
        <v>10</v>
      </c>
      <c r="H194">
        <f t="shared" ref="H194:H257" si="2">H193+1</f>
        <v>193</v>
      </c>
    </row>
    <row r="195" spans="2:8" x14ac:dyDescent="0.25">
      <c r="B195" t="s">
        <v>208</v>
      </c>
      <c r="C195" s="11" t="s">
        <v>225</v>
      </c>
      <c r="D195" t="s">
        <v>192</v>
      </c>
      <c r="E195" s="11" t="s">
        <v>196</v>
      </c>
      <c r="F195">
        <v>4</v>
      </c>
      <c r="G195">
        <v>10</v>
      </c>
      <c r="H195">
        <f t="shared" si="2"/>
        <v>194</v>
      </c>
    </row>
    <row r="196" spans="2:8" x14ac:dyDescent="0.25">
      <c r="B196" t="s">
        <v>208</v>
      </c>
      <c r="C196" s="11" t="s">
        <v>225</v>
      </c>
      <c r="D196" t="s">
        <v>199</v>
      </c>
      <c r="E196" s="11" t="s">
        <v>222</v>
      </c>
      <c r="F196">
        <v>10</v>
      </c>
      <c r="G196">
        <v>7</v>
      </c>
      <c r="H196">
        <f t="shared" si="2"/>
        <v>195</v>
      </c>
    </row>
    <row r="197" spans="2:8" x14ac:dyDescent="0.25">
      <c r="B197" t="s">
        <v>208</v>
      </c>
      <c r="C197" s="11" t="s">
        <v>225</v>
      </c>
      <c r="D197" t="s">
        <v>199</v>
      </c>
      <c r="E197" s="11" t="s">
        <v>222</v>
      </c>
      <c r="F197">
        <v>10</v>
      </c>
      <c r="G197">
        <v>9</v>
      </c>
      <c r="H197">
        <f t="shared" si="2"/>
        <v>196</v>
      </c>
    </row>
    <row r="198" spans="2:8" x14ac:dyDescent="0.25">
      <c r="B198" t="s">
        <v>190</v>
      </c>
      <c r="C198" s="11" t="s">
        <v>227</v>
      </c>
      <c r="D198" t="s">
        <v>200</v>
      </c>
      <c r="E198" s="11" t="s">
        <v>214</v>
      </c>
      <c r="F198">
        <v>10</v>
      </c>
      <c r="G198">
        <v>5</v>
      </c>
      <c r="H198">
        <f t="shared" si="2"/>
        <v>197</v>
      </c>
    </row>
    <row r="199" spans="2:8" x14ac:dyDescent="0.25">
      <c r="B199" t="s">
        <v>190</v>
      </c>
      <c r="C199" s="11" t="s">
        <v>227</v>
      </c>
      <c r="D199" t="s">
        <v>200</v>
      </c>
      <c r="E199" s="11" t="s">
        <v>214</v>
      </c>
      <c r="F199">
        <v>10</v>
      </c>
      <c r="G199">
        <v>3</v>
      </c>
      <c r="H199">
        <f t="shared" si="2"/>
        <v>198</v>
      </c>
    </row>
    <row r="200" spans="2:8" x14ac:dyDescent="0.25">
      <c r="B200" t="s">
        <v>199</v>
      </c>
      <c r="C200" s="11" t="s">
        <v>217</v>
      </c>
      <c r="D200" t="s">
        <v>192</v>
      </c>
      <c r="E200" s="11" t="s">
        <v>230</v>
      </c>
      <c r="F200">
        <v>10</v>
      </c>
      <c r="G200">
        <v>5</v>
      </c>
      <c r="H200">
        <f t="shared" si="2"/>
        <v>199</v>
      </c>
    </row>
    <row r="201" spans="2:8" x14ac:dyDescent="0.25">
      <c r="B201" t="s">
        <v>199</v>
      </c>
      <c r="C201" s="11" t="s">
        <v>217</v>
      </c>
      <c r="D201" t="s">
        <v>192</v>
      </c>
      <c r="E201" s="11" t="s">
        <v>230</v>
      </c>
      <c r="F201">
        <v>10</v>
      </c>
      <c r="G201">
        <v>9</v>
      </c>
      <c r="H201">
        <f t="shared" si="2"/>
        <v>200</v>
      </c>
    </row>
    <row r="202" spans="2:8" x14ac:dyDescent="0.25">
      <c r="B202" t="s">
        <v>199</v>
      </c>
      <c r="C202" s="11" t="s">
        <v>222</v>
      </c>
      <c r="D202" t="s">
        <v>208</v>
      </c>
      <c r="E202" s="11" t="s">
        <v>227</v>
      </c>
      <c r="F202">
        <v>9</v>
      </c>
      <c r="G202">
        <v>10</v>
      </c>
      <c r="H202">
        <f t="shared" si="2"/>
        <v>201</v>
      </c>
    </row>
    <row r="203" spans="2:8" x14ac:dyDescent="0.25">
      <c r="B203" t="s">
        <v>199</v>
      </c>
      <c r="C203" s="11" t="s">
        <v>222</v>
      </c>
      <c r="D203" t="s">
        <v>208</v>
      </c>
      <c r="E203" s="11" t="s">
        <v>227</v>
      </c>
      <c r="F203">
        <v>10</v>
      </c>
      <c r="G203">
        <v>7</v>
      </c>
      <c r="H203">
        <f t="shared" si="2"/>
        <v>202</v>
      </c>
    </row>
    <row r="204" spans="2:8" x14ac:dyDescent="0.25">
      <c r="B204" t="s">
        <v>199</v>
      </c>
      <c r="C204" s="11" t="s">
        <v>232</v>
      </c>
      <c r="D204" t="s">
        <v>235</v>
      </c>
      <c r="E204" s="11" t="s">
        <v>233</v>
      </c>
      <c r="F204">
        <v>10</v>
      </c>
      <c r="G204">
        <v>7</v>
      </c>
      <c r="H204">
        <f t="shared" si="2"/>
        <v>203</v>
      </c>
    </row>
    <row r="205" spans="2:8" x14ac:dyDescent="0.25">
      <c r="B205" t="s">
        <v>199</v>
      </c>
      <c r="C205" s="11" t="s">
        <v>232</v>
      </c>
      <c r="D205" t="s">
        <v>235</v>
      </c>
      <c r="E205" s="11" t="s">
        <v>233</v>
      </c>
      <c r="F205">
        <v>10</v>
      </c>
      <c r="G205">
        <v>4</v>
      </c>
      <c r="H205">
        <f t="shared" si="2"/>
        <v>204</v>
      </c>
    </row>
    <row r="206" spans="2:8" x14ac:dyDescent="0.25">
      <c r="B206" t="s">
        <v>200</v>
      </c>
      <c r="C206" s="11" t="s">
        <v>200</v>
      </c>
      <c r="D206" t="s">
        <v>230</v>
      </c>
      <c r="E206" s="11" t="s">
        <v>230</v>
      </c>
      <c r="F206">
        <v>10</v>
      </c>
      <c r="G206">
        <v>9</v>
      </c>
      <c r="H206">
        <f t="shared" si="2"/>
        <v>205</v>
      </c>
    </row>
    <row r="207" spans="2:8" x14ac:dyDescent="0.25">
      <c r="B207" t="s">
        <v>199</v>
      </c>
      <c r="C207" s="11" t="s">
        <v>200</v>
      </c>
      <c r="D207" t="s">
        <v>196</v>
      </c>
      <c r="E207" s="11" t="s">
        <v>230</v>
      </c>
      <c r="F207">
        <v>10</v>
      </c>
      <c r="G207">
        <v>5</v>
      </c>
      <c r="H207">
        <f t="shared" si="2"/>
        <v>206</v>
      </c>
    </row>
    <row r="208" spans="2:8" x14ac:dyDescent="0.25">
      <c r="B208" t="s">
        <v>199</v>
      </c>
      <c r="C208" s="11" t="s">
        <v>200</v>
      </c>
      <c r="D208" t="s">
        <v>196</v>
      </c>
      <c r="E208" s="11" t="s">
        <v>230</v>
      </c>
      <c r="F208">
        <v>10</v>
      </c>
      <c r="G208">
        <v>5</v>
      </c>
      <c r="H208">
        <f t="shared" si="2"/>
        <v>207</v>
      </c>
    </row>
    <row r="209" spans="2:8" x14ac:dyDescent="0.25">
      <c r="B209" t="s">
        <v>207</v>
      </c>
      <c r="C209" s="11" t="s">
        <v>192</v>
      </c>
      <c r="D209" t="s">
        <v>198</v>
      </c>
      <c r="E209" s="11" t="s">
        <v>223</v>
      </c>
      <c r="F209">
        <v>5</v>
      </c>
      <c r="G209">
        <v>10</v>
      </c>
      <c r="H209">
        <f t="shared" si="2"/>
        <v>208</v>
      </c>
    </row>
    <row r="210" spans="2:8" x14ac:dyDescent="0.25">
      <c r="B210" t="s">
        <v>207</v>
      </c>
      <c r="C210" s="11" t="s">
        <v>192</v>
      </c>
      <c r="D210" t="s">
        <v>198</v>
      </c>
      <c r="E210" s="11" t="s">
        <v>223</v>
      </c>
      <c r="F210">
        <v>10</v>
      </c>
      <c r="G210">
        <v>8</v>
      </c>
      <c r="H210">
        <f t="shared" si="2"/>
        <v>209</v>
      </c>
    </row>
    <row r="211" spans="2:8" x14ac:dyDescent="0.25">
      <c r="B211" t="s">
        <v>199</v>
      </c>
      <c r="C211" s="11" t="s">
        <v>222</v>
      </c>
      <c r="D211" t="s">
        <v>210</v>
      </c>
      <c r="E211" s="11" t="s">
        <v>230</v>
      </c>
      <c r="F211">
        <v>10</v>
      </c>
      <c r="G211">
        <v>7</v>
      </c>
      <c r="H211">
        <f t="shared" si="2"/>
        <v>210</v>
      </c>
    </row>
    <row r="212" spans="2:8" x14ac:dyDescent="0.25">
      <c r="B212" t="s">
        <v>199</v>
      </c>
      <c r="C212" s="11" t="s">
        <v>222</v>
      </c>
      <c r="D212" t="s">
        <v>210</v>
      </c>
      <c r="E212" s="11" t="s">
        <v>230</v>
      </c>
      <c r="F212">
        <v>8</v>
      </c>
      <c r="G212">
        <v>10</v>
      </c>
      <c r="H212">
        <f t="shared" si="2"/>
        <v>211</v>
      </c>
    </row>
    <row r="213" spans="2:8" x14ac:dyDescent="0.25">
      <c r="B213" t="s">
        <v>212</v>
      </c>
      <c r="C213" s="11" t="s">
        <v>230</v>
      </c>
      <c r="D213" t="s">
        <v>210</v>
      </c>
      <c r="E213" s="11" t="s">
        <v>231</v>
      </c>
      <c r="F213">
        <v>2</v>
      </c>
      <c r="G213">
        <v>10</v>
      </c>
      <c r="H213">
        <f t="shared" si="2"/>
        <v>212</v>
      </c>
    </row>
    <row r="214" spans="2:8" x14ac:dyDescent="0.25">
      <c r="B214" t="s">
        <v>212</v>
      </c>
      <c r="C214" s="11" t="s">
        <v>230</v>
      </c>
      <c r="D214" t="s">
        <v>210</v>
      </c>
      <c r="E214" s="11" t="s">
        <v>231</v>
      </c>
      <c r="F214">
        <v>3</v>
      </c>
      <c r="G214">
        <v>10</v>
      </c>
      <c r="H214">
        <f t="shared" si="2"/>
        <v>213</v>
      </c>
    </row>
    <row r="215" spans="2:8" x14ac:dyDescent="0.25">
      <c r="B215" t="s">
        <v>207</v>
      </c>
      <c r="C215" s="11" t="s">
        <v>192</v>
      </c>
      <c r="D215" t="s">
        <v>198</v>
      </c>
      <c r="E215" s="11" t="s">
        <v>223</v>
      </c>
      <c r="F215">
        <v>8</v>
      </c>
      <c r="G215">
        <v>10</v>
      </c>
      <c r="H215">
        <f t="shared" si="2"/>
        <v>214</v>
      </c>
    </row>
    <row r="216" spans="2:8" x14ac:dyDescent="0.25">
      <c r="B216" t="s">
        <v>207</v>
      </c>
      <c r="C216" s="11" t="s">
        <v>192</v>
      </c>
      <c r="D216" t="s">
        <v>198</v>
      </c>
      <c r="E216" s="11" t="s">
        <v>223</v>
      </c>
      <c r="F216">
        <v>2</v>
      </c>
      <c r="G216">
        <v>10</v>
      </c>
      <c r="H216">
        <f t="shared" si="2"/>
        <v>215</v>
      </c>
    </row>
    <row r="217" spans="2:8" x14ac:dyDescent="0.25">
      <c r="B217" t="s">
        <v>227</v>
      </c>
      <c r="C217" s="11" t="s">
        <v>196</v>
      </c>
      <c r="D217" t="s">
        <v>231</v>
      </c>
      <c r="E217" s="11" t="s">
        <v>214</v>
      </c>
      <c r="F217">
        <v>9</v>
      </c>
      <c r="G217">
        <v>10</v>
      </c>
      <c r="H217">
        <f t="shared" si="2"/>
        <v>216</v>
      </c>
    </row>
    <row r="218" spans="2:8" x14ac:dyDescent="0.25">
      <c r="B218" t="s">
        <v>227</v>
      </c>
      <c r="C218" s="11" t="s">
        <v>196</v>
      </c>
      <c r="D218" t="s">
        <v>231</v>
      </c>
      <c r="E218" s="11" t="s">
        <v>214</v>
      </c>
      <c r="F218">
        <v>10</v>
      </c>
      <c r="G218">
        <v>8</v>
      </c>
      <c r="H218">
        <f t="shared" si="2"/>
        <v>217</v>
      </c>
    </row>
    <row r="219" spans="2:8" x14ac:dyDescent="0.25">
      <c r="B219" t="s">
        <v>210</v>
      </c>
      <c r="C219" s="11" t="s">
        <v>196</v>
      </c>
      <c r="D219" t="s">
        <v>222</v>
      </c>
      <c r="E219" s="11" t="s">
        <v>209</v>
      </c>
      <c r="F219">
        <v>7</v>
      </c>
      <c r="G219">
        <v>10</v>
      </c>
      <c r="H219">
        <f t="shared" si="2"/>
        <v>218</v>
      </c>
    </row>
    <row r="220" spans="2:8" x14ac:dyDescent="0.25">
      <c r="B220" t="s">
        <v>210</v>
      </c>
      <c r="C220" s="11" t="s">
        <v>196</v>
      </c>
      <c r="D220" t="s">
        <v>222</v>
      </c>
      <c r="E220" s="11" t="s">
        <v>209</v>
      </c>
      <c r="F220">
        <v>10</v>
      </c>
      <c r="G220">
        <v>8</v>
      </c>
      <c r="H220">
        <f t="shared" si="2"/>
        <v>219</v>
      </c>
    </row>
    <row r="221" spans="2:8" x14ac:dyDescent="0.25">
      <c r="B221" t="s">
        <v>233</v>
      </c>
      <c r="C221" s="11" t="s">
        <v>221</v>
      </c>
      <c r="D221" t="s">
        <v>235</v>
      </c>
      <c r="E221" s="11" t="s">
        <v>232</v>
      </c>
      <c r="F221">
        <v>10</v>
      </c>
      <c r="G221">
        <v>7</v>
      </c>
      <c r="H221">
        <f t="shared" si="2"/>
        <v>220</v>
      </c>
    </row>
    <row r="222" spans="2:8" x14ac:dyDescent="0.25">
      <c r="B222" t="s">
        <v>233</v>
      </c>
      <c r="C222" s="11" t="s">
        <v>221</v>
      </c>
      <c r="D222" t="s">
        <v>235</v>
      </c>
      <c r="E222" s="11" t="s">
        <v>232</v>
      </c>
      <c r="F222">
        <v>10</v>
      </c>
      <c r="G222">
        <v>7</v>
      </c>
      <c r="H222">
        <f t="shared" si="2"/>
        <v>221</v>
      </c>
    </row>
    <row r="223" spans="2:8" x14ac:dyDescent="0.25">
      <c r="B223" t="s">
        <v>234</v>
      </c>
      <c r="C223" s="11" t="s">
        <v>192</v>
      </c>
      <c r="D223" t="s">
        <v>223</v>
      </c>
      <c r="E223" s="11" t="s">
        <v>226</v>
      </c>
      <c r="F223">
        <v>7</v>
      </c>
      <c r="G223">
        <v>10</v>
      </c>
      <c r="H223">
        <f t="shared" si="2"/>
        <v>222</v>
      </c>
    </row>
    <row r="224" spans="2:8" x14ac:dyDescent="0.25">
      <c r="B224" t="s">
        <v>234</v>
      </c>
      <c r="C224" s="11" t="s">
        <v>192</v>
      </c>
      <c r="D224" t="s">
        <v>223</v>
      </c>
      <c r="E224" s="11" t="s">
        <v>226</v>
      </c>
      <c r="F224">
        <v>7</v>
      </c>
      <c r="G224">
        <v>10</v>
      </c>
      <c r="H224">
        <f t="shared" si="2"/>
        <v>223</v>
      </c>
    </row>
    <row r="225" spans="2:8" x14ac:dyDescent="0.25">
      <c r="B225" t="s">
        <v>209</v>
      </c>
      <c r="C225" s="11" t="s">
        <v>210</v>
      </c>
      <c r="D225" t="s">
        <v>196</v>
      </c>
      <c r="E225" s="11" t="s">
        <v>217</v>
      </c>
      <c r="F225">
        <v>10</v>
      </c>
      <c r="G225">
        <v>7</v>
      </c>
      <c r="H225">
        <f t="shared" si="2"/>
        <v>224</v>
      </c>
    </row>
    <row r="226" spans="2:8" x14ac:dyDescent="0.25">
      <c r="B226" t="s">
        <v>227</v>
      </c>
      <c r="C226" s="11" t="s">
        <v>210</v>
      </c>
      <c r="D226" t="s">
        <v>222</v>
      </c>
      <c r="E226" s="11" t="s">
        <v>192</v>
      </c>
      <c r="F226">
        <v>3</v>
      </c>
      <c r="G226">
        <v>10</v>
      </c>
      <c r="H226">
        <f t="shared" si="2"/>
        <v>225</v>
      </c>
    </row>
    <row r="227" spans="2:8" x14ac:dyDescent="0.25">
      <c r="B227" t="s">
        <v>227</v>
      </c>
      <c r="C227" s="11" t="s">
        <v>210</v>
      </c>
      <c r="D227" t="s">
        <v>222</v>
      </c>
      <c r="E227" s="11" t="s">
        <v>192</v>
      </c>
      <c r="F227">
        <v>6</v>
      </c>
      <c r="G227">
        <v>10</v>
      </c>
      <c r="H227">
        <f t="shared" si="2"/>
        <v>226</v>
      </c>
    </row>
    <row r="228" spans="2:8" x14ac:dyDescent="0.25">
      <c r="B228" t="s">
        <v>226</v>
      </c>
      <c r="C228" s="11" t="s">
        <v>223</v>
      </c>
      <c r="D228" t="s">
        <v>198</v>
      </c>
      <c r="E228" s="11" t="s">
        <v>234</v>
      </c>
      <c r="F228">
        <v>10</v>
      </c>
      <c r="G228">
        <v>9</v>
      </c>
      <c r="H228">
        <f t="shared" si="2"/>
        <v>227</v>
      </c>
    </row>
    <row r="229" spans="2:8" x14ac:dyDescent="0.25">
      <c r="B229" t="s">
        <v>226</v>
      </c>
      <c r="C229" s="11" t="s">
        <v>223</v>
      </c>
      <c r="D229" t="s">
        <v>198</v>
      </c>
      <c r="E229" s="11" t="s">
        <v>234</v>
      </c>
      <c r="F229">
        <v>8</v>
      </c>
      <c r="G229">
        <v>10</v>
      </c>
      <c r="H229">
        <f t="shared" si="2"/>
        <v>228</v>
      </c>
    </row>
    <row r="230" spans="2:8" x14ac:dyDescent="0.25">
      <c r="B230" t="s">
        <v>204</v>
      </c>
      <c r="C230" s="11" t="s">
        <v>231</v>
      </c>
      <c r="D230" t="s">
        <v>214</v>
      </c>
      <c r="E230" s="11" t="s">
        <v>222</v>
      </c>
      <c r="F230">
        <v>10</v>
      </c>
      <c r="G230">
        <v>7</v>
      </c>
      <c r="H230">
        <f t="shared" si="2"/>
        <v>229</v>
      </c>
    </row>
    <row r="231" spans="2:8" x14ac:dyDescent="0.25">
      <c r="B231" t="s">
        <v>204</v>
      </c>
      <c r="C231" s="11" t="s">
        <v>231</v>
      </c>
      <c r="D231" t="s">
        <v>214</v>
      </c>
      <c r="E231" s="11" t="s">
        <v>222</v>
      </c>
      <c r="F231">
        <v>10</v>
      </c>
      <c r="G231">
        <v>5</v>
      </c>
      <c r="H231">
        <f t="shared" si="2"/>
        <v>230</v>
      </c>
    </row>
    <row r="232" spans="2:8" x14ac:dyDescent="0.25">
      <c r="B232" t="s">
        <v>204</v>
      </c>
      <c r="C232" s="11" t="s">
        <v>192</v>
      </c>
      <c r="D232" t="s">
        <v>210</v>
      </c>
      <c r="E232" s="11" t="s">
        <v>222</v>
      </c>
      <c r="F232">
        <v>10</v>
      </c>
      <c r="G232">
        <v>5</v>
      </c>
      <c r="H232">
        <f t="shared" si="2"/>
        <v>231</v>
      </c>
    </row>
    <row r="233" spans="2:8" x14ac:dyDescent="0.25">
      <c r="B233" t="s">
        <v>204</v>
      </c>
      <c r="C233" s="11" t="s">
        <v>192</v>
      </c>
      <c r="D233" t="s">
        <v>210</v>
      </c>
      <c r="E233" s="11" t="s">
        <v>222</v>
      </c>
      <c r="F233">
        <v>10</v>
      </c>
      <c r="G233">
        <v>4</v>
      </c>
      <c r="H233">
        <f t="shared" si="2"/>
        <v>232</v>
      </c>
    </row>
    <row r="234" spans="2:8" x14ac:dyDescent="0.25">
      <c r="B234" t="s">
        <v>223</v>
      </c>
      <c r="C234" s="11" t="s">
        <v>234</v>
      </c>
      <c r="D234" t="s">
        <v>196</v>
      </c>
      <c r="E234" s="11" t="s">
        <v>222</v>
      </c>
      <c r="F234">
        <v>10</v>
      </c>
      <c r="G234">
        <v>4</v>
      </c>
      <c r="H234">
        <f t="shared" si="2"/>
        <v>233</v>
      </c>
    </row>
    <row r="235" spans="2:8" x14ac:dyDescent="0.25">
      <c r="B235" t="s">
        <v>223</v>
      </c>
      <c r="C235" s="11" t="s">
        <v>234</v>
      </c>
      <c r="D235" t="s">
        <v>196</v>
      </c>
      <c r="E235" s="11" t="s">
        <v>222</v>
      </c>
      <c r="F235">
        <v>10</v>
      </c>
      <c r="G235">
        <v>2</v>
      </c>
      <c r="H235">
        <f t="shared" si="2"/>
        <v>234</v>
      </c>
    </row>
    <row r="236" spans="2:8" x14ac:dyDescent="0.25">
      <c r="B236" t="s">
        <v>222</v>
      </c>
      <c r="C236" s="11" t="s">
        <v>231</v>
      </c>
      <c r="D236" t="s">
        <v>207</v>
      </c>
      <c r="E236" s="11" t="s">
        <v>196</v>
      </c>
      <c r="F236">
        <v>10</v>
      </c>
      <c r="G236">
        <v>8</v>
      </c>
      <c r="H236">
        <f t="shared" si="2"/>
        <v>235</v>
      </c>
    </row>
    <row r="237" spans="2:8" x14ac:dyDescent="0.25">
      <c r="B237" t="s">
        <v>222</v>
      </c>
      <c r="C237" s="11" t="s">
        <v>231</v>
      </c>
      <c r="D237" t="s">
        <v>207</v>
      </c>
      <c r="E237" s="11" t="s">
        <v>196</v>
      </c>
      <c r="F237">
        <v>9</v>
      </c>
      <c r="G237">
        <v>10</v>
      </c>
      <c r="H237">
        <f t="shared" si="2"/>
        <v>236</v>
      </c>
    </row>
    <row r="238" spans="2:8" x14ac:dyDescent="0.25">
      <c r="B238" t="s">
        <v>223</v>
      </c>
      <c r="C238" s="11" t="s">
        <v>234</v>
      </c>
      <c r="D238" t="s">
        <v>231</v>
      </c>
      <c r="E238" s="11" t="s">
        <v>214</v>
      </c>
      <c r="F238">
        <v>10</v>
      </c>
      <c r="G238">
        <v>2</v>
      </c>
      <c r="H238">
        <f t="shared" si="2"/>
        <v>237</v>
      </c>
    </row>
    <row r="239" spans="2:8" x14ac:dyDescent="0.25">
      <c r="B239" t="s">
        <v>223</v>
      </c>
      <c r="C239" s="11" t="s">
        <v>234</v>
      </c>
      <c r="D239" t="s">
        <v>231</v>
      </c>
      <c r="E239" s="11" t="s">
        <v>214</v>
      </c>
      <c r="F239">
        <v>10</v>
      </c>
      <c r="G239">
        <v>4</v>
      </c>
      <c r="H239">
        <f t="shared" si="2"/>
        <v>238</v>
      </c>
    </row>
    <row r="240" spans="2:8" x14ac:dyDescent="0.25">
      <c r="B240" t="s">
        <v>196</v>
      </c>
      <c r="C240" s="11" t="s">
        <v>210</v>
      </c>
      <c r="D240" t="s">
        <v>192</v>
      </c>
      <c r="E240" s="11" t="s">
        <v>204</v>
      </c>
      <c r="F240">
        <v>10</v>
      </c>
      <c r="G240">
        <v>5</v>
      </c>
      <c r="H240">
        <f t="shared" si="2"/>
        <v>239</v>
      </c>
    </row>
    <row r="241" spans="2:8" x14ac:dyDescent="0.25">
      <c r="B241" t="s">
        <v>196</v>
      </c>
      <c r="C241" s="11" t="s">
        <v>210</v>
      </c>
      <c r="D241" t="s">
        <v>192</v>
      </c>
      <c r="E241" s="11" t="s">
        <v>204</v>
      </c>
      <c r="F241">
        <v>3</v>
      </c>
      <c r="G241">
        <v>10</v>
      </c>
      <c r="H241">
        <f t="shared" si="2"/>
        <v>240</v>
      </c>
    </row>
    <row r="242" spans="2:8" x14ac:dyDescent="0.25">
      <c r="B242" t="s">
        <v>207</v>
      </c>
      <c r="C242" s="11" t="s">
        <v>224</v>
      </c>
      <c r="D242" t="s">
        <v>213</v>
      </c>
      <c r="E242" s="11" t="s">
        <v>196</v>
      </c>
      <c r="F242">
        <v>5</v>
      </c>
      <c r="G242">
        <v>6</v>
      </c>
      <c r="H242">
        <f t="shared" si="2"/>
        <v>241</v>
      </c>
    </row>
    <row r="243" spans="2:8" x14ac:dyDescent="0.25">
      <c r="B243" t="s">
        <v>207</v>
      </c>
      <c r="C243" s="11" t="s">
        <v>224</v>
      </c>
      <c r="D243" t="s">
        <v>213</v>
      </c>
      <c r="E243" s="11" t="s">
        <v>196</v>
      </c>
      <c r="F243">
        <v>6</v>
      </c>
      <c r="G243">
        <v>4</v>
      </c>
      <c r="H243">
        <f t="shared" si="2"/>
        <v>242</v>
      </c>
    </row>
    <row r="244" spans="2:8" x14ac:dyDescent="0.25">
      <c r="B244" t="s">
        <v>207</v>
      </c>
      <c r="C244" s="11" t="s">
        <v>194</v>
      </c>
      <c r="D244" t="s">
        <v>213</v>
      </c>
      <c r="E244" s="11" t="s">
        <v>232</v>
      </c>
      <c r="F244">
        <v>6</v>
      </c>
      <c r="G244">
        <v>5</v>
      </c>
      <c r="H244">
        <f t="shared" si="2"/>
        <v>243</v>
      </c>
    </row>
    <row r="245" spans="2:8" x14ac:dyDescent="0.25">
      <c r="B245" t="s">
        <v>207</v>
      </c>
      <c r="C245" s="11" t="s">
        <v>194</v>
      </c>
      <c r="D245" t="s">
        <v>213</v>
      </c>
      <c r="E245" s="11" t="s">
        <v>232</v>
      </c>
      <c r="F245">
        <v>6</v>
      </c>
      <c r="G245">
        <v>2</v>
      </c>
      <c r="H245">
        <f t="shared" si="2"/>
        <v>244</v>
      </c>
    </row>
    <row r="246" spans="2:8" x14ac:dyDescent="0.25">
      <c r="B246" t="s">
        <v>232</v>
      </c>
      <c r="C246" s="11" t="s">
        <v>221</v>
      </c>
      <c r="D246" t="s">
        <v>235</v>
      </c>
      <c r="E246" s="11" t="s">
        <v>233</v>
      </c>
      <c r="F246">
        <v>10</v>
      </c>
      <c r="G246">
        <v>4</v>
      </c>
      <c r="H246">
        <f t="shared" si="2"/>
        <v>245</v>
      </c>
    </row>
    <row r="247" spans="2:8" x14ac:dyDescent="0.25">
      <c r="B247" t="s">
        <v>232</v>
      </c>
      <c r="C247" s="11" t="s">
        <v>221</v>
      </c>
      <c r="D247" t="s">
        <v>235</v>
      </c>
      <c r="E247" s="11" t="s">
        <v>233</v>
      </c>
      <c r="F247">
        <v>9</v>
      </c>
      <c r="G247">
        <v>10</v>
      </c>
      <c r="H247">
        <f t="shared" si="2"/>
        <v>246</v>
      </c>
    </row>
    <row r="248" spans="2:8" x14ac:dyDescent="0.25">
      <c r="B248" t="s">
        <v>222</v>
      </c>
      <c r="C248" s="11" t="s">
        <v>225</v>
      </c>
      <c r="D248" t="s">
        <v>231</v>
      </c>
      <c r="E248" s="11" t="s">
        <v>227</v>
      </c>
      <c r="F248">
        <v>4</v>
      </c>
      <c r="G248">
        <v>10</v>
      </c>
      <c r="H248">
        <f t="shared" si="2"/>
        <v>247</v>
      </c>
    </row>
    <row r="249" spans="2:8" x14ac:dyDescent="0.25">
      <c r="B249" t="s">
        <v>222</v>
      </c>
      <c r="C249" s="11" t="s">
        <v>225</v>
      </c>
      <c r="D249" t="s">
        <v>231</v>
      </c>
      <c r="E249" s="11" t="s">
        <v>227</v>
      </c>
      <c r="F249">
        <v>3</v>
      </c>
      <c r="G249">
        <v>10</v>
      </c>
      <c r="H249">
        <f t="shared" si="2"/>
        <v>248</v>
      </c>
    </row>
    <row r="250" spans="2:8" x14ac:dyDescent="0.25">
      <c r="B250" t="s">
        <v>222</v>
      </c>
      <c r="C250" s="11" t="s">
        <v>210</v>
      </c>
      <c r="D250" t="s">
        <v>231</v>
      </c>
      <c r="E250" s="11" t="s">
        <v>220</v>
      </c>
      <c r="F250">
        <v>5</v>
      </c>
      <c r="G250">
        <v>10</v>
      </c>
      <c r="H250">
        <f t="shared" si="2"/>
        <v>249</v>
      </c>
    </row>
    <row r="251" spans="2:8" x14ac:dyDescent="0.25">
      <c r="B251" t="s">
        <v>222</v>
      </c>
      <c r="C251" s="11" t="s">
        <v>210</v>
      </c>
      <c r="D251" t="s">
        <v>231</v>
      </c>
      <c r="E251" s="11" t="s">
        <v>220</v>
      </c>
      <c r="F251">
        <v>5</v>
      </c>
      <c r="G251">
        <v>10</v>
      </c>
      <c r="H251">
        <f t="shared" si="2"/>
        <v>250</v>
      </c>
    </row>
    <row r="252" spans="2:8" x14ac:dyDescent="0.25">
      <c r="B252" t="s">
        <v>207</v>
      </c>
      <c r="C252" s="11" t="s">
        <v>232</v>
      </c>
      <c r="D252" t="s">
        <v>235</v>
      </c>
      <c r="E252" s="11" t="s">
        <v>233</v>
      </c>
      <c r="F252">
        <v>10</v>
      </c>
      <c r="G252">
        <v>2</v>
      </c>
      <c r="H252">
        <f t="shared" si="2"/>
        <v>251</v>
      </c>
    </row>
    <row r="253" spans="2:8" x14ac:dyDescent="0.25">
      <c r="B253" t="s">
        <v>207</v>
      </c>
      <c r="C253" s="11" t="s">
        <v>232</v>
      </c>
      <c r="D253" t="s">
        <v>235</v>
      </c>
      <c r="E253" s="11" t="s">
        <v>233</v>
      </c>
      <c r="F253">
        <v>10</v>
      </c>
      <c r="G253">
        <v>3</v>
      </c>
      <c r="H253">
        <f t="shared" si="2"/>
        <v>252</v>
      </c>
    </row>
    <row r="254" spans="2:8" x14ac:dyDescent="0.25">
      <c r="B254" t="s">
        <v>222</v>
      </c>
      <c r="C254" s="11" t="s">
        <v>192</v>
      </c>
      <c r="D254" t="s">
        <v>210</v>
      </c>
      <c r="E254" s="11" t="s">
        <v>231</v>
      </c>
      <c r="F254">
        <v>10</v>
      </c>
      <c r="G254">
        <v>8</v>
      </c>
      <c r="H254">
        <f t="shared" si="2"/>
        <v>253</v>
      </c>
    </row>
    <row r="255" spans="2:8" x14ac:dyDescent="0.25">
      <c r="B255" t="s">
        <v>222</v>
      </c>
      <c r="C255" s="11" t="s">
        <v>192</v>
      </c>
      <c r="D255" t="s">
        <v>210</v>
      </c>
      <c r="E255" s="11" t="s">
        <v>231</v>
      </c>
      <c r="F255">
        <v>10</v>
      </c>
      <c r="G255">
        <v>4</v>
      </c>
      <c r="H255">
        <f t="shared" si="2"/>
        <v>254</v>
      </c>
    </row>
    <row r="256" spans="2:8" x14ac:dyDescent="0.25">
      <c r="B256" t="s">
        <v>228</v>
      </c>
      <c r="C256" s="11" t="s">
        <v>223</v>
      </c>
      <c r="D256" t="s">
        <v>214</v>
      </c>
      <c r="E256" s="11" t="s">
        <v>231</v>
      </c>
      <c r="F256">
        <v>10</v>
      </c>
      <c r="G256">
        <v>2</v>
      </c>
      <c r="H256">
        <f t="shared" si="2"/>
        <v>255</v>
      </c>
    </row>
    <row r="257" spans="2:8" x14ac:dyDescent="0.25">
      <c r="B257" t="s">
        <v>228</v>
      </c>
      <c r="C257" s="11" t="s">
        <v>223</v>
      </c>
      <c r="D257" t="s">
        <v>214</v>
      </c>
      <c r="E257" s="11" t="s">
        <v>231</v>
      </c>
      <c r="F257">
        <v>10</v>
      </c>
      <c r="G257">
        <v>5</v>
      </c>
      <c r="H257">
        <f t="shared" si="2"/>
        <v>256</v>
      </c>
    </row>
    <row r="258" spans="2:8" x14ac:dyDescent="0.25">
      <c r="B258" t="s">
        <v>222</v>
      </c>
      <c r="C258" s="11" t="s">
        <v>192</v>
      </c>
      <c r="D258" t="s">
        <v>210</v>
      </c>
      <c r="E258" s="11" t="s">
        <v>220</v>
      </c>
      <c r="F258">
        <v>10</v>
      </c>
      <c r="G258">
        <v>9</v>
      </c>
      <c r="H258">
        <f t="shared" ref="H258:H321" si="3">H257+1</f>
        <v>257</v>
      </c>
    </row>
    <row r="259" spans="2:8" x14ac:dyDescent="0.25">
      <c r="B259" t="s">
        <v>222</v>
      </c>
      <c r="C259" s="11" t="s">
        <v>192</v>
      </c>
      <c r="D259" t="s">
        <v>210</v>
      </c>
      <c r="E259" s="11" t="s">
        <v>220</v>
      </c>
      <c r="F259">
        <v>9</v>
      </c>
      <c r="G259">
        <v>10</v>
      </c>
      <c r="H259">
        <f t="shared" si="3"/>
        <v>258</v>
      </c>
    </row>
    <row r="260" spans="2:8" x14ac:dyDescent="0.25">
      <c r="B260" t="s">
        <v>210</v>
      </c>
      <c r="C260" s="11" t="s">
        <v>225</v>
      </c>
      <c r="D260" t="s">
        <v>204</v>
      </c>
      <c r="E260" s="11" t="s">
        <v>227</v>
      </c>
      <c r="F260">
        <v>10</v>
      </c>
      <c r="G260">
        <v>2</v>
      </c>
      <c r="H260">
        <f t="shared" si="3"/>
        <v>259</v>
      </c>
    </row>
    <row r="261" spans="2:8" x14ac:dyDescent="0.25">
      <c r="B261" t="s">
        <v>210</v>
      </c>
      <c r="C261" s="11" t="s">
        <v>225</v>
      </c>
      <c r="D261" t="s">
        <v>204</v>
      </c>
      <c r="E261" s="11" t="s">
        <v>227</v>
      </c>
      <c r="F261">
        <v>10</v>
      </c>
      <c r="G261">
        <v>9</v>
      </c>
      <c r="H261">
        <f t="shared" si="3"/>
        <v>260</v>
      </c>
    </row>
    <row r="262" spans="2:8" x14ac:dyDescent="0.25">
      <c r="B262" t="s">
        <v>210</v>
      </c>
      <c r="C262" s="11" t="s">
        <v>212</v>
      </c>
      <c r="D262" t="s">
        <v>231</v>
      </c>
      <c r="E262" s="11" t="s">
        <v>230</v>
      </c>
      <c r="F262">
        <v>9</v>
      </c>
      <c r="G262">
        <v>10</v>
      </c>
      <c r="H262">
        <f t="shared" si="3"/>
        <v>261</v>
      </c>
    </row>
    <row r="263" spans="2:8" x14ac:dyDescent="0.25">
      <c r="B263" t="s">
        <v>210</v>
      </c>
      <c r="C263" s="11" t="s">
        <v>212</v>
      </c>
      <c r="D263" t="s">
        <v>231</v>
      </c>
      <c r="E263" s="11" t="s">
        <v>230</v>
      </c>
      <c r="F263">
        <v>7</v>
      </c>
      <c r="G263">
        <v>10</v>
      </c>
      <c r="H263">
        <f t="shared" si="3"/>
        <v>262</v>
      </c>
    </row>
    <row r="264" spans="2:8" x14ac:dyDescent="0.25">
      <c r="B264" t="s">
        <v>210</v>
      </c>
      <c r="C264" s="11" t="s">
        <v>231</v>
      </c>
      <c r="D264" t="s">
        <v>222</v>
      </c>
      <c r="E264" s="11" t="s">
        <v>192</v>
      </c>
      <c r="F264">
        <v>10</v>
      </c>
      <c r="G264">
        <v>9</v>
      </c>
      <c r="H264">
        <f t="shared" si="3"/>
        <v>263</v>
      </c>
    </row>
    <row r="265" spans="2:8" x14ac:dyDescent="0.25">
      <c r="B265" t="s">
        <v>210</v>
      </c>
      <c r="C265" s="11" t="s">
        <v>231</v>
      </c>
      <c r="D265" t="s">
        <v>222</v>
      </c>
      <c r="E265" s="11" t="s">
        <v>192</v>
      </c>
      <c r="F265">
        <v>10</v>
      </c>
      <c r="G265">
        <v>4</v>
      </c>
      <c r="H265">
        <f t="shared" si="3"/>
        <v>264</v>
      </c>
    </row>
    <row r="266" spans="2:8" x14ac:dyDescent="0.25">
      <c r="B266" t="s">
        <v>210</v>
      </c>
      <c r="C266" s="11" t="s">
        <v>192</v>
      </c>
      <c r="D266" t="s">
        <v>225</v>
      </c>
      <c r="E266" s="11" t="s">
        <v>204</v>
      </c>
      <c r="F266">
        <v>10</v>
      </c>
      <c r="G266">
        <v>4</v>
      </c>
      <c r="H266">
        <f t="shared" si="3"/>
        <v>265</v>
      </c>
    </row>
    <row r="267" spans="2:8" x14ac:dyDescent="0.25">
      <c r="B267" t="s">
        <v>210</v>
      </c>
      <c r="C267" s="11" t="s">
        <v>192</v>
      </c>
      <c r="D267" t="s">
        <v>225</v>
      </c>
      <c r="E267" s="11" t="s">
        <v>204</v>
      </c>
      <c r="F267">
        <v>10</v>
      </c>
      <c r="G267">
        <v>5</v>
      </c>
      <c r="H267">
        <f t="shared" si="3"/>
        <v>266</v>
      </c>
    </row>
    <row r="268" spans="2:8" x14ac:dyDescent="0.25">
      <c r="B268" t="s">
        <v>222</v>
      </c>
      <c r="C268" s="11" t="s">
        <v>231</v>
      </c>
      <c r="D268" t="s">
        <v>196</v>
      </c>
      <c r="E268" s="11" t="s">
        <v>230</v>
      </c>
      <c r="F268">
        <v>10</v>
      </c>
      <c r="G268">
        <v>9</v>
      </c>
      <c r="H268">
        <f t="shared" si="3"/>
        <v>267</v>
      </c>
    </row>
    <row r="269" spans="2:8" x14ac:dyDescent="0.25">
      <c r="B269" t="s">
        <v>222</v>
      </c>
      <c r="C269" s="11" t="s">
        <v>231</v>
      </c>
      <c r="D269" t="s">
        <v>196</v>
      </c>
      <c r="E269" s="11" t="s">
        <v>230</v>
      </c>
      <c r="F269">
        <v>10</v>
      </c>
      <c r="G269">
        <v>6</v>
      </c>
      <c r="H269">
        <f t="shared" si="3"/>
        <v>268</v>
      </c>
    </row>
    <row r="270" spans="2:8" x14ac:dyDescent="0.25">
      <c r="B270" t="s">
        <v>198</v>
      </c>
      <c r="C270" s="11" t="s">
        <v>225</v>
      </c>
      <c r="D270" t="s">
        <v>208</v>
      </c>
      <c r="E270" s="11" t="s">
        <v>195</v>
      </c>
      <c r="F270">
        <v>6</v>
      </c>
      <c r="G270">
        <v>2</v>
      </c>
      <c r="H270">
        <f t="shared" si="3"/>
        <v>269</v>
      </c>
    </row>
    <row r="271" spans="2:8" x14ac:dyDescent="0.25">
      <c r="B271" t="s">
        <v>198</v>
      </c>
      <c r="C271" s="11" t="s">
        <v>225</v>
      </c>
      <c r="D271" t="s">
        <v>208</v>
      </c>
      <c r="E271" s="11" t="s">
        <v>195</v>
      </c>
      <c r="F271">
        <v>2</v>
      </c>
      <c r="G271">
        <v>6</v>
      </c>
      <c r="H271">
        <f t="shared" si="3"/>
        <v>270</v>
      </c>
    </row>
    <row r="272" spans="2:8" x14ac:dyDescent="0.25">
      <c r="B272" t="s">
        <v>208</v>
      </c>
      <c r="C272" s="11" t="s">
        <v>225</v>
      </c>
      <c r="D272" t="s">
        <v>231</v>
      </c>
      <c r="E272" s="11" t="s">
        <v>196</v>
      </c>
      <c r="F272">
        <v>10</v>
      </c>
      <c r="G272">
        <v>5</v>
      </c>
      <c r="H272">
        <f t="shared" si="3"/>
        <v>271</v>
      </c>
    </row>
    <row r="273" spans="2:8" x14ac:dyDescent="0.25">
      <c r="B273" t="s">
        <v>208</v>
      </c>
      <c r="C273" s="11" t="s">
        <v>225</v>
      </c>
      <c r="D273" t="s">
        <v>231</v>
      </c>
      <c r="E273" s="11" t="s">
        <v>196</v>
      </c>
      <c r="F273">
        <v>10</v>
      </c>
      <c r="G273">
        <v>5</v>
      </c>
      <c r="H273">
        <f t="shared" si="3"/>
        <v>272</v>
      </c>
    </row>
    <row r="274" spans="2:8" x14ac:dyDescent="0.25">
      <c r="B274" t="s">
        <v>209</v>
      </c>
      <c r="C274" s="11" t="s">
        <v>222</v>
      </c>
      <c r="D274" t="s">
        <v>192</v>
      </c>
      <c r="E274" s="11" t="s">
        <v>213</v>
      </c>
      <c r="F274">
        <v>6</v>
      </c>
      <c r="G274">
        <v>4</v>
      </c>
      <c r="H274">
        <f t="shared" si="3"/>
        <v>273</v>
      </c>
    </row>
    <row r="275" spans="2:8" x14ac:dyDescent="0.25">
      <c r="B275" t="s">
        <v>209</v>
      </c>
      <c r="C275" s="11" t="s">
        <v>222</v>
      </c>
      <c r="D275" t="s">
        <v>192</v>
      </c>
      <c r="E275" s="11" t="s">
        <v>213</v>
      </c>
      <c r="F275">
        <v>2</v>
      </c>
      <c r="G275">
        <v>6</v>
      </c>
      <c r="H275">
        <f t="shared" si="3"/>
        <v>274</v>
      </c>
    </row>
    <row r="276" spans="2:8" x14ac:dyDescent="0.25">
      <c r="B276" t="s">
        <v>227</v>
      </c>
      <c r="C276" s="11" t="s">
        <v>225</v>
      </c>
      <c r="D276" t="s">
        <v>210</v>
      </c>
      <c r="E276" s="11" t="s">
        <v>204</v>
      </c>
      <c r="F276">
        <v>10</v>
      </c>
      <c r="G276">
        <v>3</v>
      </c>
      <c r="H276">
        <f t="shared" si="3"/>
        <v>275</v>
      </c>
    </row>
    <row r="277" spans="2:8" x14ac:dyDescent="0.25">
      <c r="B277" t="s">
        <v>227</v>
      </c>
      <c r="C277" s="11" t="s">
        <v>225</v>
      </c>
      <c r="D277" t="s">
        <v>210</v>
      </c>
      <c r="E277" s="11" t="s">
        <v>204</v>
      </c>
      <c r="F277">
        <v>10</v>
      </c>
      <c r="G277">
        <v>6</v>
      </c>
      <c r="H277">
        <f t="shared" si="3"/>
        <v>276</v>
      </c>
    </row>
    <row r="278" spans="2:8" x14ac:dyDescent="0.25">
      <c r="B278" t="s">
        <v>231</v>
      </c>
      <c r="C278" s="11" t="s">
        <v>190</v>
      </c>
      <c r="D278" t="s">
        <v>196</v>
      </c>
      <c r="E278" s="11" t="s">
        <v>220</v>
      </c>
      <c r="F278">
        <v>7</v>
      </c>
      <c r="G278">
        <v>10</v>
      </c>
      <c r="H278">
        <f t="shared" si="3"/>
        <v>277</v>
      </c>
    </row>
    <row r="279" spans="2:8" x14ac:dyDescent="0.25">
      <c r="B279" t="s">
        <v>231</v>
      </c>
      <c r="C279" s="11" t="s">
        <v>190</v>
      </c>
      <c r="D279" t="s">
        <v>196</v>
      </c>
      <c r="E279" s="11" t="s">
        <v>220</v>
      </c>
      <c r="F279">
        <v>10</v>
      </c>
      <c r="G279">
        <v>6</v>
      </c>
      <c r="H279">
        <f t="shared" si="3"/>
        <v>278</v>
      </c>
    </row>
    <row r="280" spans="2:8" x14ac:dyDescent="0.25">
      <c r="B280" t="s">
        <v>222</v>
      </c>
      <c r="C280" s="11" t="s">
        <v>210</v>
      </c>
      <c r="D280" t="s">
        <v>196</v>
      </c>
      <c r="E280" s="11" t="s">
        <v>208</v>
      </c>
      <c r="F280">
        <v>10</v>
      </c>
      <c r="G280">
        <v>2</v>
      </c>
      <c r="H280">
        <f t="shared" si="3"/>
        <v>279</v>
      </c>
    </row>
    <row r="281" spans="2:8" x14ac:dyDescent="0.25">
      <c r="B281" t="s">
        <v>222</v>
      </c>
      <c r="C281" s="11" t="s">
        <v>210</v>
      </c>
      <c r="D281" t="s">
        <v>196</v>
      </c>
      <c r="E281" s="11" t="s">
        <v>208</v>
      </c>
      <c r="F281">
        <v>9</v>
      </c>
      <c r="G281">
        <v>10</v>
      </c>
      <c r="H281">
        <f t="shared" si="3"/>
        <v>280</v>
      </c>
    </row>
    <row r="282" spans="2:8" x14ac:dyDescent="0.25">
      <c r="B282" t="s">
        <v>225</v>
      </c>
      <c r="C282" s="11" t="s">
        <v>208</v>
      </c>
      <c r="D282" t="s">
        <v>231</v>
      </c>
      <c r="E282" s="11" t="s">
        <v>227</v>
      </c>
      <c r="F282">
        <v>9</v>
      </c>
      <c r="G282">
        <v>10</v>
      </c>
      <c r="H282">
        <f t="shared" si="3"/>
        <v>281</v>
      </c>
    </row>
    <row r="283" spans="2:8" x14ac:dyDescent="0.25">
      <c r="B283" t="s">
        <v>225</v>
      </c>
      <c r="C283" s="11" t="s">
        <v>208</v>
      </c>
      <c r="D283" t="s">
        <v>231</v>
      </c>
      <c r="E283" s="11" t="s">
        <v>227</v>
      </c>
      <c r="F283">
        <v>8</v>
      </c>
      <c r="G283">
        <v>10</v>
      </c>
      <c r="H283">
        <f t="shared" si="3"/>
        <v>282</v>
      </c>
    </row>
    <row r="284" spans="2:8" x14ac:dyDescent="0.25">
      <c r="B284" t="s">
        <v>203</v>
      </c>
      <c r="C284" s="11" t="s">
        <v>208</v>
      </c>
      <c r="D284" t="s">
        <v>217</v>
      </c>
      <c r="E284" s="11" t="s">
        <v>230</v>
      </c>
      <c r="F284">
        <v>9</v>
      </c>
      <c r="G284">
        <v>10</v>
      </c>
      <c r="H284">
        <f t="shared" si="3"/>
        <v>283</v>
      </c>
    </row>
    <row r="285" spans="2:8" x14ac:dyDescent="0.25">
      <c r="B285" t="s">
        <v>203</v>
      </c>
      <c r="C285" s="11" t="s">
        <v>208</v>
      </c>
      <c r="D285" t="s">
        <v>217</v>
      </c>
      <c r="E285" s="11" t="s">
        <v>230</v>
      </c>
      <c r="F285">
        <v>7</v>
      </c>
      <c r="G285">
        <v>10</v>
      </c>
      <c r="H285">
        <f t="shared" si="3"/>
        <v>284</v>
      </c>
    </row>
    <row r="286" spans="2:8" x14ac:dyDescent="0.25">
      <c r="B286" t="s">
        <v>225</v>
      </c>
      <c r="C286" s="11" t="s">
        <v>208</v>
      </c>
      <c r="D286" t="s">
        <v>222</v>
      </c>
      <c r="E286" s="11" t="s">
        <v>210</v>
      </c>
      <c r="F286">
        <v>10</v>
      </c>
      <c r="G286">
        <v>7</v>
      </c>
      <c r="H286">
        <f t="shared" si="3"/>
        <v>285</v>
      </c>
    </row>
    <row r="287" spans="2:8" x14ac:dyDescent="0.25">
      <c r="B287" t="s">
        <v>225</v>
      </c>
      <c r="C287" s="11" t="s">
        <v>208</v>
      </c>
      <c r="D287" t="s">
        <v>222</v>
      </c>
      <c r="E287" s="11" t="s">
        <v>210</v>
      </c>
      <c r="F287">
        <v>10</v>
      </c>
      <c r="G287">
        <v>7</v>
      </c>
      <c r="H287">
        <f t="shared" si="3"/>
        <v>286</v>
      </c>
    </row>
    <row r="288" spans="2:8" x14ac:dyDescent="0.25">
      <c r="B288" t="s">
        <v>222</v>
      </c>
      <c r="C288" s="11" t="s">
        <v>192</v>
      </c>
      <c r="D288" t="s">
        <v>190</v>
      </c>
      <c r="E288" s="11" t="s">
        <v>220</v>
      </c>
      <c r="F288">
        <v>10</v>
      </c>
      <c r="G288">
        <v>7</v>
      </c>
      <c r="H288">
        <f t="shared" si="3"/>
        <v>287</v>
      </c>
    </row>
    <row r="289" spans="2:8" x14ac:dyDescent="0.25">
      <c r="B289" t="s">
        <v>222</v>
      </c>
      <c r="C289" s="11" t="s">
        <v>192</v>
      </c>
      <c r="D289" t="s">
        <v>190</v>
      </c>
      <c r="E289" s="11" t="s">
        <v>220</v>
      </c>
      <c r="F289">
        <v>10</v>
      </c>
      <c r="G289">
        <v>3</v>
      </c>
      <c r="H289">
        <f t="shared" si="3"/>
        <v>288</v>
      </c>
    </row>
    <row r="290" spans="2:8" x14ac:dyDescent="0.25">
      <c r="B290" t="s">
        <v>207</v>
      </c>
      <c r="C290" s="11" t="s">
        <v>232</v>
      </c>
      <c r="D290" t="s">
        <v>233</v>
      </c>
      <c r="E290" s="11" t="s">
        <v>202</v>
      </c>
      <c r="F290">
        <v>6</v>
      </c>
      <c r="G290">
        <v>3</v>
      </c>
      <c r="H290">
        <f t="shared" si="3"/>
        <v>289</v>
      </c>
    </row>
    <row r="291" spans="2:8" x14ac:dyDescent="0.25">
      <c r="B291" t="s">
        <v>207</v>
      </c>
      <c r="C291" s="11" t="s">
        <v>232</v>
      </c>
      <c r="D291" t="s">
        <v>233</v>
      </c>
      <c r="E291" s="11" t="s">
        <v>202</v>
      </c>
      <c r="F291">
        <v>6</v>
      </c>
      <c r="G291">
        <v>1</v>
      </c>
      <c r="H291">
        <f t="shared" si="3"/>
        <v>290</v>
      </c>
    </row>
    <row r="292" spans="2:8" x14ac:dyDescent="0.25">
      <c r="B292" t="s">
        <v>192</v>
      </c>
      <c r="C292" s="11" t="s">
        <v>230</v>
      </c>
      <c r="D292" t="s">
        <v>208</v>
      </c>
      <c r="E292" s="11" t="s">
        <v>225</v>
      </c>
      <c r="F292">
        <v>10</v>
      </c>
      <c r="G292">
        <v>7</v>
      </c>
      <c r="H292">
        <f t="shared" si="3"/>
        <v>291</v>
      </c>
    </row>
    <row r="293" spans="2:8" x14ac:dyDescent="0.25">
      <c r="B293" t="s">
        <v>192</v>
      </c>
      <c r="C293" s="11" t="s">
        <v>230</v>
      </c>
      <c r="D293" t="s">
        <v>208</v>
      </c>
      <c r="E293" s="11" t="s">
        <v>225</v>
      </c>
      <c r="F293">
        <v>9</v>
      </c>
      <c r="G293">
        <v>10</v>
      </c>
      <c r="H293">
        <f t="shared" si="3"/>
        <v>292</v>
      </c>
    </row>
    <row r="294" spans="2:8" x14ac:dyDescent="0.25">
      <c r="B294" t="s">
        <v>204</v>
      </c>
      <c r="C294" s="11" t="s">
        <v>231</v>
      </c>
      <c r="D294" t="s">
        <v>210</v>
      </c>
      <c r="E294" s="11" t="s">
        <v>214</v>
      </c>
      <c r="F294">
        <v>10</v>
      </c>
      <c r="G294">
        <v>9</v>
      </c>
      <c r="H294">
        <f t="shared" si="3"/>
        <v>293</v>
      </c>
    </row>
    <row r="295" spans="2:8" x14ac:dyDescent="0.25">
      <c r="B295" t="s">
        <v>204</v>
      </c>
      <c r="C295" s="11" t="s">
        <v>231</v>
      </c>
      <c r="D295" t="s">
        <v>210</v>
      </c>
      <c r="E295" s="11" t="s">
        <v>214</v>
      </c>
      <c r="F295">
        <v>9</v>
      </c>
      <c r="G295">
        <v>10</v>
      </c>
      <c r="H295">
        <f t="shared" si="3"/>
        <v>294</v>
      </c>
    </row>
    <row r="296" spans="2:8" x14ac:dyDescent="0.25">
      <c r="B296" t="s">
        <v>190</v>
      </c>
      <c r="C296" s="11" t="s">
        <v>220</v>
      </c>
      <c r="D296" t="s">
        <v>231</v>
      </c>
      <c r="E296" s="11" t="s">
        <v>192</v>
      </c>
      <c r="F296">
        <v>4</v>
      </c>
      <c r="G296">
        <v>10</v>
      </c>
      <c r="H296">
        <f t="shared" si="3"/>
        <v>295</v>
      </c>
    </row>
    <row r="297" spans="2:8" x14ac:dyDescent="0.25">
      <c r="B297" t="s">
        <v>190</v>
      </c>
      <c r="C297" s="11" t="s">
        <v>220</v>
      </c>
      <c r="D297" t="s">
        <v>231</v>
      </c>
      <c r="E297" s="11" t="s">
        <v>192</v>
      </c>
      <c r="F297">
        <v>2</v>
      </c>
      <c r="G297">
        <v>10</v>
      </c>
      <c r="H297">
        <f t="shared" si="3"/>
        <v>296</v>
      </c>
    </row>
    <row r="298" spans="2:8" x14ac:dyDescent="0.25">
      <c r="B298" t="s">
        <v>192</v>
      </c>
      <c r="C298" s="11" t="s">
        <v>230</v>
      </c>
      <c r="D298" t="s">
        <v>231</v>
      </c>
      <c r="E298" s="11" t="s">
        <v>210</v>
      </c>
      <c r="F298">
        <v>5</v>
      </c>
      <c r="G298">
        <v>10</v>
      </c>
      <c r="H298">
        <f t="shared" si="3"/>
        <v>297</v>
      </c>
    </row>
    <row r="299" spans="2:8" x14ac:dyDescent="0.25">
      <c r="B299" t="s">
        <v>192</v>
      </c>
      <c r="C299" s="11" t="s">
        <v>230</v>
      </c>
      <c r="D299" t="s">
        <v>231</v>
      </c>
      <c r="E299" s="11" t="s">
        <v>210</v>
      </c>
      <c r="F299">
        <v>10</v>
      </c>
      <c r="G299">
        <v>5</v>
      </c>
      <c r="H299">
        <f t="shared" si="3"/>
        <v>298</v>
      </c>
    </row>
    <row r="300" spans="2:8" x14ac:dyDescent="0.25">
      <c r="B300" t="s">
        <v>232</v>
      </c>
      <c r="C300" s="11" t="s">
        <v>207</v>
      </c>
      <c r="D300" t="s">
        <v>233</v>
      </c>
      <c r="E300" s="11" t="s">
        <v>229</v>
      </c>
      <c r="F300">
        <v>10</v>
      </c>
      <c r="G300">
        <v>4</v>
      </c>
      <c r="H300">
        <f t="shared" si="3"/>
        <v>299</v>
      </c>
    </row>
    <row r="301" spans="2:8" x14ac:dyDescent="0.25">
      <c r="B301" t="s">
        <v>232</v>
      </c>
      <c r="C301" s="11" t="s">
        <v>207</v>
      </c>
      <c r="D301" t="s">
        <v>233</v>
      </c>
      <c r="E301" s="11" t="s">
        <v>229</v>
      </c>
      <c r="F301">
        <v>10</v>
      </c>
      <c r="G301">
        <v>7</v>
      </c>
      <c r="H301">
        <f t="shared" si="3"/>
        <v>300</v>
      </c>
    </row>
    <row r="302" spans="2:8" x14ac:dyDescent="0.25">
      <c r="B302" t="s">
        <v>217</v>
      </c>
      <c r="C302" s="11" t="s">
        <v>190</v>
      </c>
      <c r="D302" t="s">
        <v>225</v>
      </c>
      <c r="E302" s="11" t="s">
        <v>208</v>
      </c>
      <c r="F302">
        <v>9</v>
      </c>
      <c r="G302">
        <v>10</v>
      </c>
      <c r="H302">
        <f t="shared" si="3"/>
        <v>301</v>
      </c>
    </row>
    <row r="303" spans="2:8" x14ac:dyDescent="0.25">
      <c r="B303" t="s">
        <v>217</v>
      </c>
      <c r="C303" s="11" t="s">
        <v>190</v>
      </c>
      <c r="D303" t="s">
        <v>225</v>
      </c>
      <c r="E303" s="11" t="s">
        <v>208</v>
      </c>
      <c r="F303">
        <v>10</v>
      </c>
      <c r="G303">
        <v>8</v>
      </c>
      <c r="H303">
        <f t="shared" si="3"/>
        <v>302</v>
      </c>
    </row>
    <row r="304" spans="2:8" x14ac:dyDescent="0.25">
      <c r="B304" t="s">
        <v>230</v>
      </c>
      <c r="C304" s="11" t="s">
        <v>231</v>
      </c>
      <c r="D304" t="s">
        <v>212</v>
      </c>
      <c r="E304" s="11" t="s">
        <v>203</v>
      </c>
      <c r="F304">
        <v>10</v>
      </c>
      <c r="G304">
        <v>0</v>
      </c>
      <c r="H304">
        <f t="shared" si="3"/>
        <v>303</v>
      </c>
    </row>
    <row r="305" spans="2:8" x14ac:dyDescent="0.25">
      <c r="B305" t="s">
        <v>230</v>
      </c>
      <c r="C305" s="11" t="s">
        <v>231</v>
      </c>
      <c r="D305" t="s">
        <v>212</v>
      </c>
      <c r="E305" s="11" t="s">
        <v>203</v>
      </c>
      <c r="F305">
        <v>10</v>
      </c>
      <c r="G305">
        <v>4</v>
      </c>
      <c r="H305">
        <f t="shared" si="3"/>
        <v>304</v>
      </c>
    </row>
    <row r="306" spans="2:8" x14ac:dyDescent="0.25">
      <c r="B306" t="s">
        <v>217</v>
      </c>
      <c r="C306" s="11" t="s">
        <v>231</v>
      </c>
      <c r="D306" t="s">
        <v>196</v>
      </c>
      <c r="E306" s="11" t="s">
        <v>210</v>
      </c>
      <c r="F306">
        <v>10</v>
      </c>
      <c r="G306">
        <v>8</v>
      </c>
      <c r="H306">
        <f t="shared" si="3"/>
        <v>305</v>
      </c>
    </row>
    <row r="307" spans="2:8" x14ac:dyDescent="0.25">
      <c r="B307" t="s">
        <v>217</v>
      </c>
      <c r="C307" s="11" t="s">
        <v>231</v>
      </c>
      <c r="D307" t="s">
        <v>196</v>
      </c>
      <c r="E307" s="11" t="s">
        <v>210</v>
      </c>
      <c r="F307">
        <v>10</v>
      </c>
      <c r="G307">
        <v>3</v>
      </c>
      <c r="H307">
        <f t="shared" si="3"/>
        <v>306</v>
      </c>
    </row>
    <row r="308" spans="2:8" x14ac:dyDescent="0.25">
      <c r="B308" t="s">
        <v>225</v>
      </c>
      <c r="C308" s="11" t="s">
        <v>208</v>
      </c>
      <c r="D308" t="s">
        <v>192</v>
      </c>
      <c r="E308" s="11" t="s">
        <v>210</v>
      </c>
      <c r="F308">
        <v>6</v>
      </c>
      <c r="G308">
        <v>10</v>
      </c>
      <c r="H308">
        <f t="shared" si="3"/>
        <v>307</v>
      </c>
    </row>
    <row r="309" spans="2:8" x14ac:dyDescent="0.25">
      <c r="B309" t="s">
        <v>225</v>
      </c>
      <c r="C309" s="11" t="s">
        <v>208</v>
      </c>
      <c r="D309" t="s">
        <v>192</v>
      </c>
      <c r="E309" s="11" t="s">
        <v>210</v>
      </c>
      <c r="F309">
        <v>7</v>
      </c>
      <c r="G309">
        <v>10</v>
      </c>
      <c r="H309">
        <f t="shared" si="3"/>
        <v>308</v>
      </c>
    </row>
    <row r="310" spans="2:8" x14ac:dyDescent="0.25">
      <c r="B310" t="s">
        <v>190</v>
      </c>
      <c r="C310" s="11" t="s">
        <v>225</v>
      </c>
      <c r="D310" t="s">
        <v>208</v>
      </c>
      <c r="E310" s="11" t="s">
        <v>222</v>
      </c>
      <c r="F310">
        <v>10</v>
      </c>
      <c r="G310">
        <v>9</v>
      </c>
      <c r="H310">
        <f t="shared" si="3"/>
        <v>309</v>
      </c>
    </row>
    <row r="311" spans="2:8" x14ac:dyDescent="0.25">
      <c r="B311" t="s">
        <v>190</v>
      </c>
      <c r="C311" s="11" t="s">
        <v>225</v>
      </c>
      <c r="D311" t="s">
        <v>208</v>
      </c>
      <c r="E311" s="11" t="s">
        <v>222</v>
      </c>
      <c r="F311">
        <v>10</v>
      </c>
      <c r="G311">
        <v>4</v>
      </c>
      <c r="H311">
        <f t="shared" si="3"/>
        <v>310</v>
      </c>
    </row>
    <row r="312" spans="2:8" x14ac:dyDescent="0.25">
      <c r="B312" t="s">
        <v>208</v>
      </c>
      <c r="C312" s="11" t="s">
        <v>192</v>
      </c>
      <c r="D312" t="s">
        <v>198</v>
      </c>
      <c r="E312" s="11" t="s">
        <v>228</v>
      </c>
      <c r="F312">
        <v>8</v>
      </c>
      <c r="G312">
        <v>10</v>
      </c>
      <c r="H312">
        <f t="shared" si="3"/>
        <v>311</v>
      </c>
    </row>
    <row r="313" spans="2:8" x14ac:dyDescent="0.25">
      <c r="B313" t="s">
        <v>208</v>
      </c>
      <c r="C313" s="11" t="s">
        <v>192</v>
      </c>
      <c r="D313" t="s">
        <v>198</v>
      </c>
      <c r="E313" s="11" t="s">
        <v>228</v>
      </c>
      <c r="F313">
        <v>3</v>
      </c>
      <c r="G313">
        <v>3</v>
      </c>
      <c r="H313">
        <f t="shared" si="3"/>
        <v>312</v>
      </c>
    </row>
    <row r="314" spans="2:8" x14ac:dyDescent="0.25">
      <c r="B314" t="s">
        <v>230</v>
      </c>
      <c r="C314" s="11" t="s">
        <v>229</v>
      </c>
      <c r="D314" t="s">
        <v>210</v>
      </c>
      <c r="E314" s="11" t="s">
        <v>231</v>
      </c>
      <c r="F314">
        <v>3</v>
      </c>
      <c r="G314">
        <v>10</v>
      </c>
      <c r="H314">
        <f t="shared" si="3"/>
        <v>313</v>
      </c>
    </row>
    <row r="315" spans="2:8" x14ac:dyDescent="0.25">
      <c r="B315" t="s">
        <v>230</v>
      </c>
      <c r="C315" s="11" t="s">
        <v>229</v>
      </c>
      <c r="D315" t="s">
        <v>210</v>
      </c>
      <c r="E315" s="11" t="s">
        <v>231</v>
      </c>
      <c r="F315">
        <v>2</v>
      </c>
      <c r="G315">
        <v>10</v>
      </c>
      <c r="H315">
        <f t="shared" si="3"/>
        <v>314</v>
      </c>
    </row>
    <row r="316" spans="2:8" x14ac:dyDescent="0.25">
      <c r="B316" t="s">
        <v>192</v>
      </c>
      <c r="C316" s="11" t="s">
        <v>225</v>
      </c>
      <c r="D316" t="s">
        <v>208</v>
      </c>
      <c r="E316" s="11" t="s">
        <v>222</v>
      </c>
      <c r="F316">
        <v>10</v>
      </c>
      <c r="G316">
        <v>8</v>
      </c>
      <c r="H316">
        <f t="shared" si="3"/>
        <v>315</v>
      </c>
    </row>
    <row r="317" spans="2:8" x14ac:dyDescent="0.25">
      <c r="B317" t="s">
        <v>192</v>
      </c>
      <c r="C317" s="11" t="s">
        <v>225</v>
      </c>
      <c r="D317" t="s">
        <v>208</v>
      </c>
      <c r="E317" s="11" t="s">
        <v>222</v>
      </c>
      <c r="F317">
        <v>10</v>
      </c>
      <c r="G317">
        <v>4</v>
      </c>
      <c r="H317">
        <f t="shared" si="3"/>
        <v>316</v>
      </c>
    </row>
    <row r="318" spans="2:8" x14ac:dyDescent="0.25">
      <c r="B318" t="s">
        <v>208</v>
      </c>
      <c r="C318" s="11" t="s">
        <v>230</v>
      </c>
      <c r="D318" t="s">
        <v>210</v>
      </c>
      <c r="E318" s="11" t="s">
        <v>225</v>
      </c>
      <c r="F318">
        <v>10</v>
      </c>
      <c r="G318">
        <v>4</v>
      </c>
      <c r="H318">
        <f t="shared" si="3"/>
        <v>317</v>
      </c>
    </row>
    <row r="319" spans="2:8" x14ac:dyDescent="0.25">
      <c r="B319" t="s">
        <v>208</v>
      </c>
      <c r="C319" s="11" t="s">
        <v>230</v>
      </c>
      <c r="D319" t="s">
        <v>210</v>
      </c>
      <c r="E319" s="11" t="s">
        <v>225</v>
      </c>
      <c r="F319">
        <v>8</v>
      </c>
      <c r="G319">
        <v>10</v>
      </c>
      <c r="H319">
        <f t="shared" si="3"/>
        <v>318</v>
      </c>
    </row>
    <row r="320" spans="2:8" x14ac:dyDescent="0.25">
      <c r="B320" t="s">
        <v>212</v>
      </c>
      <c r="C320" s="11" t="s">
        <v>225</v>
      </c>
      <c r="D320" t="s">
        <v>231</v>
      </c>
      <c r="E320" s="11" t="s">
        <v>230</v>
      </c>
      <c r="F320">
        <v>4</v>
      </c>
      <c r="G320">
        <v>10</v>
      </c>
      <c r="H320">
        <f t="shared" si="3"/>
        <v>319</v>
      </c>
    </row>
    <row r="321" spans="2:8" x14ac:dyDescent="0.25">
      <c r="B321" t="s">
        <v>212</v>
      </c>
      <c r="C321" s="11" t="s">
        <v>225</v>
      </c>
      <c r="D321" t="s">
        <v>231</v>
      </c>
      <c r="E321" s="11" t="s">
        <v>230</v>
      </c>
      <c r="F321">
        <v>10</v>
      </c>
      <c r="G321">
        <v>8</v>
      </c>
      <c r="H321">
        <f t="shared" si="3"/>
        <v>320</v>
      </c>
    </row>
    <row r="322" spans="2:8" x14ac:dyDescent="0.25">
      <c r="B322" t="s">
        <v>192</v>
      </c>
      <c r="C322" s="11" t="s">
        <v>230</v>
      </c>
      <c r="D322" t="s">
        <v>190</v>
      </c>
      <c r="E322" s="11" t="s">
        <v>222</v>
      </c>
      <c r="F322">
        <v>10</v>
      </c>
      <c r="G322">
        <v>4</v>
      </c>
      <c r="H322">
        <f t="shared" ref="H322:H385" si="4">H321+1</f>
        <v>321</v>
      </c>
    </row>
    <row r="323" spans="2:8" x14ac:dyDescent="0.25">
      <c r="B323" t="s">
        <v>192</v>
      </c>
      <c r="C323" s="11" t="s">
        <v>230</v>
      </c>
      <c r="D323" t="s">
        <v>190</v>
      </c>
      <c r="E323" s="11" t="s">
        <v>222</v>
      </c>
      <c r="F323">
        <v>10</v>
      </c>
      <c r="G323">
        <v>3</v>
      </c>
      <c r="H323">
        <f t="shared" si="4"/>
        <v>322</v>
      </c>
    </row>
    <row r="324" spans="2:8" x14ac:dyDescent="0.25">
      <c r="B324" t="s">
        <v>192</v>
      </c>
      <c r="C324" s="11" t="s">
        <v>229</v>
      </c>
      <c r="D324" t="s">
        <v>231</v>
      </c>
      <c r="E324" s="11" t="s">
        <v>210</v>
      </c>
      <c r="F324">
        <v>10</v>
      </c>
      <c r="G324">
        <v>0</v>
      </c>
      <c r="H324">
        <f t="shared" si="4"/>
        <v>323</v>
      </c>
    </row>
    <row r="325" spans="2:8" x14ac:dyDescent="0.25">
      <c r="B325" t="s">
        <v>192</v>
      </c>
      <c r="C325" s="11" t="s">
        <v>229</v>
      </c>
      <c r="D325" t="s">
        <v>231</v>
      </c>
      <c r="E325" s="11" t="s">
        <v>210</v>
      </c>
      <c r="F325">
        <v>8</v>
      </c>
      <c r="G325">
        <v>10</v>
      </c>
      <c r="H325">
        <f t="shared" si="4"/>
        <v>324</v>
      </c>
    </row>
    <row r="326" spans="2:8" x14ac:dyDescent="0.25">
      <c r="B326" t="s">
        <v>208</v>
      </c>
      <c r="C326" s="11" t="s">
        <v>227</v>
      </c>
      <c r="D326" t="s">
        <v>230</v>
      </c>
      <c r="E326" s="11" t="s">
        <v>214</v>
      </c>
      <c r="F326">
        <v>10</v>
      </c>
      <c r="G326">
        <v>2</v>
      </c>
      <c r="H326">
        <f t="shared" si="4"/>
        <v>325</v>
      </c>
    </row>
    <row r="327" spans="2:8" x14ac:dyDescent="0.25">
      <c r="B327" t="s">
        <v>208</v>
      </c>
      <c r="C327" s="11" t="s">
        <v>227</v>
      </c>
      <c r="D327" t="s">
        <v>230</v>
      </c>
      <c r="E327" s="11" t="s">
        <v>214</v>
      </c>
      <c r="F327">
        <v>10</v>
      </c>
      <c r="G327">
        <v>4</v>
      </c>
      <c r="H327">
        <f t="shared" si="4"/>
        <v>326</v>
      </c>
    </row>
    <row r="328" spans="2:8" x14ac:dyDescent="0.25">
      <c r="B328" t="s">
        <v>204</v>
      </c>
      <c r="C328" s="11" t="s">
        <v>192</v>
      </c>
      <c r="D328" t="s">
        <v>210</v>
      </c>
      <c r="E328" s="11" t="s">
        <v>222</v>
      </c>
      <c r="F328">
        <v>10</v>
      </c>
      <c r="G328">
        <v>9</v>
      </c>
      <c r="H328">
        <f t="shared" si="4"/>
        <v>327</v>
      </c>
    </row>
    <row r="329" spans="2:8" x14ac:dyDescent="0.25">
      <c r="B329" t="s">
        <v>204</v>
      </c>
      <c r="C329" s="11" t="s">
        <v>192</v>
      </c>
      <c r="D329" t="s">
        <v>210</v>
      </c>
      <c r="E329" s="11" t="s">
        <v>222</v>
      </c>
      <c r="F329">
        <v>10</v>
      </c>
      <c r="G329">
        <v>1</v>
      </c>
      <c r="H329">
        <f t="shared" si="4"/>
        <v>328</v>
      </c>
    </row>
    <row r="330" spans="2:8" x14ac:dyDescent="0.25">
      <c r="B330" t="s">
        <v>217</v>
      </c>
      <c r="C330" s="11" t="s">
        <v>203</v>
      </c>
      <c r="D330" t="s">
        <v>231</v>
      </c>
      <c r="E330" s="11" t="s">
        <v>230</v>
      </c>
      <c r="F330">
        <v>4</v>
      </c>
      <c r="G330">
        <v>10</v>
      </c>
      <c r="H330">
        <f t="shared" si="4"/>
        <v>329</v>
      </c>
    </row>
    <row r="331" spans="2:8" x14ac:dyDescent="0.25">
      <c r="B331" t="s">
        <v>217</v>
      </c>
      <c r="C331" s="11" t="s">
        <v>203</v>
      </c>
      <c r="D331" t="s">
        <v>231</v>
      </c>
      <c r="E331" s="11" t="s">
        <v>230</v>
      </c>
      <c r="F331">
        <v>6</v>
      </c>
      <c r="G331">
        <v>10</v>
      </c>
      <c r="H331">
        <f t="shared" si="4"/>
        <v>330</v>
      </c>
    </row>
    <row r="332" spans="2:8" x14ac:dyDescent="0.25">
      <c r="B332" t="s">
        <v>208</v>
      </c>
      <c r="C332" s="11" t="s">
        <v>222</v>
      </c>
      <c r="D332" t="s">
        <v>227</v>
      </c>
      <c r="E332" s="11" t="s">
        <v>230</v>
      </c>
      <c r="F332">
        <v>5</v>
      </c>
      <c r="G332">
        <v>10</v>
      </c>
      <c r="H332">
        <f t="shared" si="4"/>
        <v>331</v>
      </c>
    </row>
    <row r="333" spans="2:8" x14ac:dyDescent="0.25">
      <c r="B333" t="s">
        <v>208</v>
      </c>
      <c r="C333" s="11" t="s">
        <v>222</v>
      </c>
      <c r="D333" t="s">
        <v>227</v>
      </c>
      <c r="E333" s="11" t="s">
        <v>230</v>
      </c>
      <c r="F333">
        <v>6</v>
      </c>
      <c r="G333">
        <v>10</v>
      </c>
      <c r="H333">
        <f t="shared" si="4"/>
        <v>332</v>
      </c>
    </row>
    <row r="334" spans="2:8" x14ac:dyDescent="0.25">
      <c r="B334" t="s">
        <v>214</v>
      </c>
      <c r="C334" s="11" t="s">
        <v>210</v>
      </c>
      <c r="D334" t="s">
        <v>225</v>
      </c>
      <c r="E334" s="11" t="s">
        <v>217</v>
      </c>
      <c r="F334">
        <v>6</v>
      </c>
      <c r="G334">
        <v>10</v>
      </c>
      <c r="H334">
        <f t="shared" si="4"/>
        <v>333</v>
      </c>
    </row>
    <row r="335" spans="2:8" x14ac:dyDescent="0.25">
      <c r="B335" t="s">
        <v>214</v>
      </c>
      <c r="C335" s="11" t="s">
        <v>210</v>
      </c>
      <c r="D335" t="s">
        <v>225</v>
      </c>
      <c r="E335" s="11" t="s">
        <v>217</v>
      </c>
      <c r="F335">
        <v>2</v>
      </c>
      <c r="G335">
        <v>10</v>
      </c>
      <c r="H335">
        <f t="shared" si="4"/>
        <v>334</v>
      </c>
    </row>
    <row r="336" spans="2:8" x14ac:dyDescent="0.25">
      <c r="B336" t="s">
        <v>195</v>
      </c>
      <c r="C336" s="11" t="s">
        <v>208</v>
      </c>
      <c r="D336" t="s">
        <v>193</v>
      </c>
      <c r="E336" s="11" t="s">
        <v>219</v>
      </c>
      <c r="F336">
        <v>10</v>
      </c>
      <c r="G336">
        <v>3</v>
      </c>
      <c r="H336">
        <f t="shared" si="4"/>
        <v>335</v>
      </c>
    </row>
    <row r="337" spans="2:8" x14ac:dyDescent="0.25">
      <c r="B337" t="s">
        <v>207</v>
      </c>
      <c r="C337" s="11" t="s">
        <v>232</v>
      </c>
      <c r="D337" t="s">
        <v>198</v>
      </c>
      <c r="E337" s="11" t="s">
        <v>202</v>
      </c>
      <c r="F337">
        <v>5</v>
      </c>
      <c r="G337">
        <v>6</v>
      </c>
      <c r="H337">
        <f t="shared" si="4"/>
        <v>336</v>
      </c>
    </row>
    <row r="338" spans="2:8" x14ac:dyDescent="0.25">
      <c r="B338" t="s">
        <v>207</v>
      </c>
      <c r="C338" s="11" t="s">
        <v>232</v>
      </c>
      <c r="D338" t="s">
        <v>198</v>
      </c>
      <c r="E338" s="11" t="s">
        <v>202</v>
      </c>
      <c r="F338">
        <v>2</v>
      </c>
      <c r="G338">
        <v>6</v>
      </c>
      <c r="H338">
        <f t="shared" si="4"/>
        <v>337</v>
      </c>
    </row>
    <row r="339" spans="2:8" x14ac:dyDescent="0.25">
      <c r="B339" t="s">
        <v>208</v>
      </c>
      <c r="C339" s="11" t="s">
        <v>192</v>
      </c>
      <c r="D339" t="s">
        <v>222</v>
      </c>
      <c r="E339" s="11" t="s">
        <v>219</v>
      </c>
      <c r="F339">
        <v>10</v>
      </c>
      <c r="G339">
        <v>6</v>
      </c>
      <c r="H339">
        <f t="shared" si="4"/>
        <v>338</v>
      </c>
    </row>
    <row r="340" spans="2:8" x14ac:dyDescent="0.25">
      <c r="B340" t="s">
        <v>208</v>
      </c>
      <c r="C340" s="11" t="s">
        <v>192</v>
      </c>
      <c r="D340" t="s">
        <v>222</v>
      </c>
      <c r="E340" s="11" t="s">
        <v>219</v>
      </c>
      <c r="F340">
        <v>10</v>
      </c>
      <c r="G340">
        <v>2</v>
      </c>
      <c r="H340">
        <f t="shared" si="4"/>
        <v>339</v>
      </c>
    </row>
    <row r="341" spans="2:8" x14ac:dyDescent="0.25">
      <c r="B341" t="s">
        <v>208</v>
      </c>
      <c r="C341" s="11" t="s">
        <v>225</v>
      </c>
      <c r="D341" t="s">
        <v>193</v>
      </c>
      <c r="E341" s="11" t="s">
        <v>219</v>
      </c>
      <c r="F341">
        <v>10</v>
      </c>
      <c r="G341">
        <v>7</v>
      </c>
      <c r="H341">
        <f t="shared" si="4"/>
        <v>340</v>
      </c>
    </row>
    <row r="342" spans="2:8" x14ac:dyDescent="0.25">
      <c r="B342" t="s">
        <v>208</v>
      </c>
      <c r="C342" s="11" t="s">
        <v>225</v>
      </c>
      <c r="D342" t="s">
        <v>193</v>
      </c>
      <c r="E342" s="11" t="s">
        <v>219</v>
      </c>
      <c r="F342">
        <v>10</v>
      </c>
      <c r="G342">
        <v>2</v>
      </c>
      <c r="H342">
        <f t="shared" si="4"/>
        <v>341</v>
      </c>
    </row>
    <row r="343" spans="2:8" x14ac:dyDescent="0.25">
      <c r="B343" t="s">
        <v>230</v>
      </c>
      <c r="C343" s="11" t="s">
        <v>203</v>
      </c>
      <c r="D343" t="s">
        <v>190</v>
      </c>
      <c r="E343" s="11" t="s">
        <v>220</v>
      </c>
      <c r="F343">
        <v>1</v>
      </c>
      <c r="G343">
        <v>10</v>
      </c>
      <c r="H343">
        <f t="shared" si="4"/>
        <v>342</v>
      </c>
    </row>
    <row r="344" spans="2:8" x14ac:dyDescent="0.25">
      <c r="B344" t="s">
        <v>230</v>
      </c>
      <c r="C344" s="11" t="s">
        <v>203</v>
      </c>
      <c r="D344" t="s">
        <v>190</v>
      </c>
      <c r="E344" s="11" t="s">
        <v>220</v>
      </c>
      <c r="F344">
        <v>0</v>
      </c>
      <c r="G344">
        <v>10</v>
      </c>
      <c r="H344">
        <f t="shared" si="4"/>
        <v>343</v>
      </c>
    </row>
    <row r="345" spans="2:8" x14ac:dyDescent="0.25">
      <c r="B345" t="s">
        <v>229</v>
      </c>
      <c r="C345" s="11" t="s">
        <v>231</v>
      </c>
      <c r="D345" t="s">
        <v>210</v>
      </c>
      <c r="E345" s="11" t="s">
        <v>204</v>
      </c>
      <c r="F345">
        <v>10</v>
      </c>
      <c r="G345">
        <v>7</v>
      </c>
      <c r="H345">
        <f t="shared" si="4"/>
        <v>344</v>
      </c>
    </row>
    <row r="346" spans="2:8" x14ac:dyDescent="0.25">
      <c r="B346" t="s">
        <v>229</v>
      </c>
      <c r="C346" s="11" t="s">
        <v>231</v>
      </c>
      <c r="D346" t="s">
        <v>210</v>
      </c>
      <c r="E346" s="11" t="s">
        <v>204</v>
      </c>
      <c r="F346">
        <v>10</v>
      </c>
      <c r="G346">
        <v>4</v>
      </c>
      <c r="H346">
        <f t="shared" si="4"/>
        <v>345</v>
      </c>
    </row>
    <row r="347" spans="2:8" x14ac:dyDescent="0.25">
      <c r="B347" t="s">
        <v>214</v>
      </c>
      <c r="C347" s="11" t="s">
        <v>227</v>
      </c>
      <c r="D347" t="s">
        <v>225</v>
      </c>
      <c r="E347" s="11" t="s">
        <v>222</v>
      </c>
      <c r="F347">
        <v>5</v>
      </c>
      <c r="G347">
        <v>10</v>
      </c>
      <c r="H347">
        <f t="shared" si="4"/>
        <v>346</v>
      </c>
    </row>
    <row r="348" spans="2:8" x14ac:dyDescent="0.25">
      <c r="B348" t="s">
        <v>214</v>
      </c>
      <c r="C348" s="11" t="s">
        <v>227</v>
      </c>
      <c r="D348" t="s">
        <v>225</v>
      </c>
      <c r="E348" s="11" t="s">
        <v>222</v>
      </c>
      <c r="F348">
        <v>5</v>
      </c>
      <c r="G348">
        <v>10</v>
      </c>
      <c r="H348">
        <f t="shared" si="4"/>
        <v>347</v>
      </c>
    </row>
    <row r="349" spans="2:8" x14ac:dyDescent="0.25">
      <c r="B349" t="s">
        <v>190</v>
      </c>
      <c r="C349" s="11" t="s">
        <v>220</v>
      </c>
      <c r="D349" t="s">
        <v>192</v>
      </c>
      <c r="E349" s="11" t="s">
        <v>210</v>
      </c>
      <c r="F349">
        <v>3</v>
      </c>
      <c r="G349">
        <v>10</v>
      </c>
      <c r="H349">
        <f t="shared" si="4"/>
        <v>348</v>
      </c>
    </row>
    <row r="350" spans="2:8" x14ac:dyDescent="0.25">
      <c r="B350" t="s">
        <v>190</v>
      </c>
      <c r="C350" s="11" t="s">
        <v>220</v>
      </c>
      <c r="D350" t="s">
        <v>192</v>
      </c>
      <c r="E350" s="11" t="s">
        <v>210</v>
      </c>
      <c r="F350">
        <v>9</v>
      </c>
      <c r="G350">
        <v>10</v>
      </c>
      <c r="H350">
        <f t="shared" si="4"/>
        <v>349</v>
      </c>
    </row>
    <row r="351" spans="2:8" x14ac:dyDescent="0.25">
      <c r="B351" t="s">
        <v>225</v>
      </c>
      <c r="C351" s="11" t="s">
        <v>208</v>
      </c>
      <c r="D351" t="s">
        <v>192</v>
      </c>
      <c r="E351" s="11" t="s">
        <v>222</v>
      </c>
      <c r="F351">
        <v>10</v>
      </c>
      <c r="G351">
        <v>7</v>
      </c>
      <c r="H351">
        <f t="shared" si="4"/>
        <v>350</v>
      </c>
    </row>
    <row r="352" spans="2:8" x14ac:dyDescent="0.25">
      <c r="B352" t="s">
        <v>225</v>
      </c>
      <c r="C352" s="11" t="s">
        <v>208</v>
      </c>
      <c r="D352" t="s">
        <v>192</v>
      </c>
      <c r="E352" s="11" t="s">
        <v>222</v>
      </c>
      <c r="F352">
        <v>3</v>
      </c>
      <c r="G352">
        <v>10</v>
      </c>
      <c r="H352">
        <f t="shared" si="4"/>
        <v>351</v>
      </c>
    </row>
    <row r="353" spans="2:8" x14ac:dyDescent="0.25">
      <c r="B353" t="s">
        <v>210</v>
      </c>
      <c r="C353" s="11" t="s">
        <v>198</v>
      </c>
      <c r="D353" t="s">
        <v>192</v>
      </c>
      <c r="E353" s="11" t="s">
        <v>191</v>
      </c>
      <c r="F353">
        <v>6</v>
      </c>
      <c r="G353">
        <v>1</v>
      </c>
      <c r="H353">
        <f t="shared" si="4"/>
        <v>352</v>
      </c>
    </row>
    <row r="354" spans="2:8" x14ac:dyDescent="0.25">
      <c r="B354" t="s">
        <v>210</v>
      </c>
      <c r="C354" s="11" t="s">
        <v>198</v>
      </c>
      <c r="D354" t="s">
        <v>192</v>
      </c>
      <c r="E354" s="11" t="s">
        <v>191</v>
      </c>
      <c r="F354">
        <v>9</v>
      </c>
      <c r="G354">
        <v>10</v>
      </c>
      <c r="H354">
        <f t="shared" si="4"/>
        <v>353</v>
      </c>
    </row>
    <row r="355" spans="2:8" x14ac:dyDescent="0.25">
      <c r="B355" t="s">
        <v>190</v>
      </c>
      <c r="C355" s="11" t="s">
        <v>220</v>
      </c>
      <c r="D355" t="s">
        <v>231</v>
      </c>
      <c r="E355" s="11" t="s">
        <v>230</v>
      </c>
      <c r="F355">
        <v>9</v>
      </c>
      <c r="G355">
        <v>10</v>
      </c>
      <c r="H355">
        <f t="shared" si="4"/>
        <v>354</v>
      </c>
    </row>
    <row r="356" spans="2:8" x14ac:dyDescent="0.25">
      <c r="B356" t="s">
        <v>190</v>
      </c>
      <c r="C356" s="11" t="s">
        <v>220</v>
      </c>
      <c r="D356" t="s">
        <v>231</v>
      </c>
      <c r="E356" s="11" t="s">
        <v>230</v>
      </c>
      <c r="F356">
        <v>10</v>
      </c>
      <c r="G356">
        <v>5</v>
      </c>
      <c r="H356">
        <f t="shared" si="4"/>
        <v>355</v>
      </c>
    </row>
    <row r="357" spans="2:8" x14ac:dyDescent="0.25">
      <c r="B357" t="s">
        <v>210</v>
      </c>
      <c r="C357" s="11" t="s">
        <v>227</v>
      </c>
      <c r="D357" t="s">
        <v>229</v>
      </c>
      <c r="E357" s="11" t="s">
        <v>231</v>
      </c>
      <c r="F357">
        <v>10</v>
      </c>
      <c r="G357">
        <v>7</v>
      </c>
      <c r="H357">
        <f t="shared" si="4"/>
        <v>356</v>
      </c>
    </row>
    <row r="358" spans="2:8" x14ac:dyDescent="0.25">
      <c r="B358" t="s">
        <v>210</v>
      </c>
      <c r="C358" s="11" t="s">
        <v>227</v>
      </c>
      <c r="D358" t="s">
        <v>229</v>
      </c>
      <c r="E358" s="11" t="s">
        <v>231</v>
      </c>
      <c r="F358">
        <v>9</v>
      </c>
      <c r="G358">
        <v>10</v>
      </c>
      <c r="H358">
        <f t="shared" si="4"/>
        <v>357</v>
      </c>
    </row>
    <row r="359" spans="2:8" x14ac:dyDescent="0.25">
      <c r="B359" t="s">
        <v>232</v>
      </c>
      <c r="C359" s="11" t="s">
        <v>198</v>
      </c>
      <c r="D359" t="s">
        <v>234</v>
      </c>
      <c r="E359" s="11" t="s">
        <v>207</v>
      </c>
      <c r="F359">
        <v>2</v>
      </c>
      <c r="G359">
        <v>6</v>
      </c>
      <c r="H359">
        <f t="shared" si="4"/>
        <v>358</v>
      </c>
    </row>
    <row r="360" spans="2:8" x14ac:dyDescent="0.25">
      <c r="B360" t="s">
        <v>232</v>
      </c>
      <c r="C360" s="11" t="s">
        <v>198</v>
      </c>
      <c r="D360" t="s">
        <v>234</v>
      </c>
      <c r="E360" s="11" t="s">
        <v>207</v>
      </c>
      <c r="F360">
        <v>6</v>
      </c>
      <c r="G360">
        <v>5</v>
      </c>
      <c r="H360">
        <f t="shared" si="4"/>
        <v>359</v>
      </c>
    </row>
    <row r="361" spans="2:8" x14ac:dyDescent="0.25">
      <c r="B361" t="s">
        <v>229</v>
      </c>
      <c r="C361" s="11" t="s">
        <v>231</v>
      </c>
      <c r="D361" t="s">
        <v>203</v>
      </c>
      <c r="E361" s="11" t="s">
        <v>190</v>
      </c>
      <c r="F361">
        <v>10</v>
      </c>
      <c r="G361">
        <v>7</v>
      </c>
      <c r="H361">
        <f t="shared" si="4"/>
        <v>360</v>
      </c>
    </row>
    <row r="362" spans="2:8" x14ac:dyDescent="0.25">
      <c r="B362" t="s">
        <v>229</v>
      </c>
      <c r="C362" s="11" t="s">
        <v>231</v>
      </c>
      <c r="D362" t="s">
        <v>203</v>
      </c>
      <c r="E362" s="11" t="s">
        <v>190</v>
      </c>
      <c r="F362">
        <v>10</v>
      </c>
      <c r="G362">
        <v>3</v>
      </c>
      <c r="H362">
        <f t="shared" si="4"/>
        <v>361</v>
      </c>
    </row>
    <row r="363" spans="2:8" x14ac:dyDescent="0.25">
      <c r="B363" t="s">
        <v>210</v>
      </c>
      <c r="C363" s="11" t="s">
        <v>230</v>
      </c>
      <c r="D363" t="s">
        <v>217</v>
      </c>
      <c r="E363" s="11" t="s">
        <v>212</v>
      </c>
      <c r="F363">
        <v>10</v>
      </c>
      <c r="G363">
        <v>8</v>
      </c>
      <c r="H363">
        <f t="shared" si="4"/>
        <v>362</v>
      </c>
    </row>
    <row r="364" spans="2:8" x14ac:dyDescent="0.25">
      <c r="B364" t="s">
        <v>210</v>
      </c>
      <c r="C364" s="11" t="s">
        <v>230</v>
      </c>
      <c r="D364" t="s">
        <v>217</v>
      </c>
      <c r="E364" s="11" t="s">
        <v>212</v>
      </c>
      <c r="F364">
        <v>10</v>
      </c>
      <c r="G364">
        <v>5</v>
      </c>
      <c r="H364">
        <f t="shared" si="4"/>
        <v>363</v>
      </c>
    </row>
    <row r="365" spans="2:8" x14ac:dyDescent="0.25">
      <c r="B365" t="s">
        <v>210</v>
      </c>
      <c r="C365" s="11" t="s">
        <v>229</v>
      </c>
      <c r="D365" t="s">
        <v>227</v>
      </c>
      <c r="E365" s="11" t="s">
        <v>231</v>
      </c>
      <c r="F365">
        <v>8</v>
      </c>
      <c r="G365">
        <v>10</v>
      </c>
      <c r="H365">
        <f t="shared" si="4"/>
        <v>364</v>
      </c>
    </row>
    <row r="366" spans="2:8" x14ac:dyDescent="0.25">
      <c r="B366" t="s">
        <v>210</v>
      </c>
      <c r="C366" s="11" t="s">
        <v>229</v>
      </c>
      <c r="D366" t="s">
        <v>227</v>
      </c>
      <c r="E366" s="11" t="s">
        <v>231</v>
      </c>
      <c r="F366">
        <v>0</v>
      </c>
      <c r="G366">
        <v>10</v>
      </c>
      <c r="H366">
        <f t="shared" si="4"/>
        <v>365</v>
      </c>
    </row>
    <row r="367" spans="2:8" x14ac:dyDescent="0.25">
      <c r="B367" t="s">
        <v>190</v>
      </c>
      <c r="C367" s="11" t="s">
        <v>220</v>
      </c>
      <c r="D367" t="s">
        <v>231</v>
      </c>
      <c r="E367" s="11" t="s">
        <v>203</v>
      </c>
      <c r="F367">
        <v>10</v>
      </c>
      <c r="G367">
        <v>6</v>
      </c>
      <c r="H367">
        <f t="shared" si="4"/>
        <v>366</v>
      </c>
    </row>
    <row r="368" spans="2:8" x14ac:dyDescent="0.25">
      <c r="B368" t="s">
        <v>190</v>
      </c>
      <c r="C368" s="11" t="s">
        <v>220</v>
      </c>
      <c r="D368" t="s">
        <v>231</v>
      </c>
      <c r="E368" s="11" t="s">
        <v>203</v>
      </c>
      <c r="F368">
        <v>10</v>
      </c>
      <c r="G368">
        <v>4</v>
      </c>
      <c r="H368">
        <f t="shared" si="4"/>
        <v>367</v>
      </c>
    </row>
    <row r="369" spans="2:8" x14ac:dyDescent="0.25">
      <c r="B369" t="s">
        <v>198</v>
      </c>
      <c r="C369" s="11" t="s">
        <v>214</v>
      </c>
      <c r="D369" t="s">
        <v>234</v>
      </c>
      <c r="E369" s="11" t="s">
        <v>226</v>
      </c>
      <c r="F369">
        <v>7</v>
      </c>
      <c r="G369">
        <v>10</v>
      </c>
      <c r="H369">
        <f t="shared" si="4"/>
        <v>368</v>
      </c>
    </row>
    <row r="370" spans="2:8" x14ac:dyDescent="0.25">
      <c r="B370" t="s">
        <v>198</v>
      </c>
      <c r="C370" s="11" t="s">
        <v>214</v>
      </c>
      <c r="D370" t="s">
        <v>234</v>
      </c>
      <c r="E370" s="11" t="s">
        <v>226</v>
      </c>
      <c r="F370">
        <v>10</v>
      </c>
      <c r="G370">
        <v>8</v>
      </c>
      <c r="H370">
        <f t="shared" si="4"/>
        <v>369</v>
      </c>
    </row>
    <row r="371" spans="2:8" x14ac:dyDescent="0.25">
      <c r="B371" t="s">
        <v>227</v>
      </c>
      <c r="C371" s="11" t="s">
        <v>210</v>
      </c>
      <c r="D371" t="s">
        <v>225</v>
      </c>
      <c r="E371" s="11" t="s">
        <v>222</v>
      </c>
      <c r="F371">
        <v>10</v>
      </c>
      <c r="G371">
        <v>3</v>
      </c>
      <c r="H371">
        <f t="shared" si="4"/>
        <v>370</v>
      </c>
    </row>
    <row r="372" spans="2:8" x14ac:dyDescent="0.25">
      <c r="B372" t="s">
        <v>227</v>
      </c>
      <c r="C372" s="11" t="s">
        <v>210</v>
      </c>
      <c r="D372" t="s">
        <v>225</v>
      </c>
      <c r="E372" s="11" t="s">
        <v>222</v>
      </c>
      <c r="F372">
        <v>10</v>
      </c>
      <c r="G372">
        <v>3</v>
      </c>
      <c r="H372">
        <f t="shared" si="4"/>
        <v>371</v>
      </c>
    </row>
    <row r="373" spans="2:8" x14ac:dyDescent="0.25">
      <c r="B373" t="s">
        <v>190</v>
      </c>
      <c r="C373" s="11" t="s">
        <v>222</v>
      </c>
      <c r="D373" t="s">
        <v>231</v>
      </c>
      <c r="E373" s="11" t="s">
        <v>230</v>
      </c>
      <c r="F373">
        <v>6</v>
      </c>
      <c r="G373">
        <v>10</v>
      </c>
      <c r="H373">
        <f t="shared" si="4"/>
        <v>372</v>
      </c>
    </row>
    <row r="374" spans="2:8" x14ac:dyDescent="0.25">
      <c r="B374" t="s">
        <v>190</v>
      </c>
      <c r="C374" s="11" t="s">
        <v>222</v>
      </c>
      <c r="D374" t="s">
        <v>231</v>
      </c>
      <c r="E374" s="11" t="s">
        <v>230</v>
      </c>
      <c r="F374">
        <v>8</v>
      </c>
      <c r="G374">
        <v>10</v>
      </c>
      <c r="H374">
        <f t="shared" si="4"/>
        <v>373</v>
      </c>
    </row>
    <row r="375" spans="2:8" x14ac:dyDescent="0.25">
      <c r="B375" t="s">
        <v>229</v>
      </c>
      <c r="C375" s="11" t="s">
        <v>210</v>
      </c>
      <c r="D375" t="s">
        <v>231</v>
      </c>
      <c r="E375" s="11" t="s">
        <v>222</v>
      </c>
      <c r="F375">
        <v>8</v>
      </c>
      <c r="G375">
        <v>10</v>
      </c>
      <c r="H375">
        <f t="shared" si="4"/>
        <v>374</v>
      </c>
    </row>
    <row r="376" spans="2:8" x14ac:dyDescent="0.25">
      <c r="B376" t="s">
        <v>229</v>
      </c>
      <c r="C376" s="11" t="s">
        <v>210</v>
      </c>
      <c r="D376" t="s">
        <v>231</v>
      </c>
      <c r="E376" s="11" t="s">
        <v>222</v>
      </c>
      <c r="F376">
        <v>3</v>
      </c>
      <c r="G376">
        <v>10</v>
      </c>
      <c r="H376">
        <f t="shared" si="4"/>
        <v>375</v>
      </c>
    </row>
    <row r="377" spans="2:8" x14ac:dyDescent="0.25">
      <c r="B377" t="s">
        <v>216</v>
      </c>
      <c r="C377" s="11" t="s">
        <v>196</v>
      </c>
      <c r="D377" t="s">
        <v>203</v>
      </c>
      <c r="E377" s="11" t="s">
        <v>230</v>
      </c>
      <c r="F377">
        <v>10</v>
      </c>
      <c r="G377">
        <v>0</v>
      </c>
      <c r="H377">
        <f t="shared" si="4"/>
        <v>376</v>
      </c>
    </row>
    <row r="378" spans="2:8" x14ac:dyDescent="0.25">
      <c r="B378" t="s">
        <v>216</v>
      </c>
      <c r="C378" s="11" t="s">
        <v>196</v>
      </c>
      <c r="D378" t="s">
        <v>203</v>
      </c>
      <c r="E378" s="11" t="s">
        <v>230</v>
      </c>
      <c r="F378">
        <v>10</v>
      </c>
      <c r="G378">
        <v>1</v>
      </c>
      <c r="H378">
        <f t="shared" si="4"/>
        <v>377</v>
      </c>
    </row>
    <row r="379" spans="2:8" x14ac:dyDescent="0.25">
      <c r="B379" t="s">
        <v>216</v>
      </c>
      <c r="C379" s="11" t="s">
        <v>230</v>
      </c>
      <c r="D379" t="s">
        <v>196</v>
      </c>
      <c r="E379" s="11" t="s">
        <v>231</v>
      </c>
      <c r="F379">
        <v>10</v>
      </c>
      <c r="G379">
        <v>2</v>
      </c>
      <c r="H379">
        <f t="shared" si="4"/>
        <v>378</v>
      </c>
    </row>
    <row r="380" spans="2:8" x14ac:dyDescent="0.25">
      <c r="B380" t="s">
        <v>216</v>
      </c>
      <c r="C380" s="11" t="s">
        <v>230</v>
      </c>
      <c r="D380" t="s">
        <v>196</v>
      </c>
      <c r="E380" s="11" t="s">
        <v>231</v>
      </c>
      <c r="F380">
        <v>10</v>
      </c>
      <c r="G380">
        <v>2</v>
      </c>
      <c r="H380">
        <f t="shared" si="4"/>
        <v>379</v>
      </c>
    </row>
    <row r="381" spans="2:8" x14ac:dyDescent="0.25">
      <c r="B381" t="s">
        <v>220</v>
      </c>
      <c r="C381" s="11" t="s">
        <v>190</v>
      </c>
      <c r="D381" t="s">
        <v>229</v>
      </c>
      <c r="E381" s="11" t="s">
        <v>231</v>
      </c>
      <c r="F381">
        <v>9</v>
      </c>
      <c r="G381">
        <v>10</v>
      </c>
      <c r="H381">
        <f t="shared" si="4"/>
        <v>380</v>
      </c>
    </row>
    <row r="382" spans="2:8" x14ac:dyDescent="0.25">
      <c r="B382" t="s">
        <v>220</v>
      </c>
      <c r="C382" s="11" t="s">
        <v>190</v>
      </c>
      <c r="D382" t="s">
        <v>229</v>
      </c>
      <c r="E382" s="11" t="s">
        <v>231</v>
      </c>
      <c r="F382">
        <v>10</v>
      </c>
      <c r="G382">
        <v>3</v>
      </c>
      <c r="H382">
        <f t="shared" si="4"/>
        <v>381</v>
      </c>
    </row>
    <row r="383" spans="2:8" x14ac:dyDescent="0.25">
      <c r="B383" t="s">
        <v>230</v>
      </c>
      <c r="C383" s="11" t="s">
        <v>190</v>
      </c>
      <c r="D383" t="s">
        <v>222</v>
      </c>
      <c r="E383" s="11" t="s">
        <v>220</v>
      </c>
      <c r="F383">
        <v>6</v>
      </c>
      <c r="G383">
        <v>10</v>
      </c>
      <c r="H383">
        <f t="shared" si="4"/>
        <v>382</v>
      </c>
    </row>
    <row r="384" spans="2:8" x14ac:dyDescent="0.25">
      <c r="B384" t="s">
        <v>230</v>
      </c>
      <c r="C384" s="11" t="s">
        <v>190</v>
      </c>
      <c r="D384" t="s">
        <v>222</v>
      </c>
      <c r="E384" s="11" t="s">
        <v>220</v>
      </c>
      <c r="F384">
        <v>10</v>
      </c>
      <c r="G384">
        <v>7</v>
      </c>
      <c r="H384">
        <f t="shared" si="4"/>
        <v>383</v>
      </c>
    </row>
    <row r="385" spans="2:8" x14ac:dyDescent="0.25">
      <c r="B385" t="s">
        <v>227</v>
      </c>
      <c r="C385" s="11" t="s">
        <v>231</v>
      </c>
      <c r="D385" t="s">
        <v>229</v>
      </c>
      <c r="E385" s="11" t="s">
        <v>190</v>
      </c>
      <c r="F385">
        <v>10</v>
      </c>
      <c r="G385">
        <v>4</v>
      </c>
      <c r="H385">
        <f t="shared" si="4"/>
        <v>384</v>
      </c>
    </row>
    <row r="386" spans="2:8" x14ac:dyDescent="0.25">
      <c r="B386" t="s">
        <v>227</v>
      </c>
      <c r="C386" s="11" t="s">
        <v>231</v>
      </c>
      <c r="D386" t="s">
        <v>229</v>
      </c>
      <c r="E386" s="11" t="s">
        <v>190</v>
      </c>
      <c r="F386">
        <v>10</v>
      </c>
      <c r="G386">
        <v>4</v>
      </c>
      <c r="H386">
        <f t="shared" ref="H386:H449" si="5">H385+1</f>
        <v>385</v>
      </c>
    </row>
    <row r="387" spans="2:8" x14ac:dyDescent="0.25">
      <c r="B387" t="s">
        <v>221</v>
      </c>
      <c r="C387" s="11" t="s">
        <v>232</v>
      </c>
      <c r="D387" t="s">
        <v>207</v>
      </c>
      <c r="E387" s="11" t="s">
        <v>202</v>
      </c>
      <c r="F387">
        <v>3</v>
      </c>
      <c r="G387">
        <v>6</v>
      </c>
      <c r="H387">
        <f t="shared" si="5"/>
        <v>386</v>
      </c>
    </row>
    <row r="388" spans="2:8" x14ac:dyDescent="0.25">
      <c r="B388" t="s">
        <v>221</v>
      </c>
      <c r="C388" s="11" t="s">
        <v>232</v>
      </c>
      <c r="D388" t="s">
        <v>207</v>
      </c>
      <c r="E388" s="11" t="s">
        <v>202</v>
      </c>
      <c r="F388">
        <v>6</v>
      </c>
      <c r="G388">
        <v>5</v>
      </c>
      <c r="H388">
        <f t="shared" si="5"/>
        <v>387</v>
      </c>
    </row>
    <row r="389" spans="2:8" x14ac:dyDescent="0.25">
      <c r="B389" t="s">
        <v>210</v>
      </c>
      <c r="C389" s="11" t="s">
        <v>190</v>
      </c>
      <c r="D389" t="s">
        <v>222</v>
      </c>
      <c r="E389" s="11" t="s">
        <v>220</v>
      </c>
      <c r="F389">
        <v>10</v>
      </c>
      <c r="G389">
        <v>9</v>
      </c>
      <c r="H389">
        <f t="shared" si="5"/>
        <v>388</v>
      </c>
    </row>
    <row r="390" spans="2:8" x14ac:dyDescent="0.25">
      <c r="B390" t="s">
        <v>210</v>
      </c>
      <c r="C390" s="11" t="s">
        <v>190</v>
      </c>
      <c r="D390" t="s">
        <v>222</v>
      </c>
      <c r="E390" s="11" t="s">
        <v>220</v>
      </c>
      <c r="F390">
        <v>6</v>
      </c>
      <c r="G390">
        <v>10</v>
      </c>
      <c r="H390">
        <f t="shared" si="5"/>
        <v>389</v>
      </c>
    </row>
    <row r="391" spans="2:8" x14ac:dyDescent="0.25">
      <c r="B391" t="s">
        <v>227</v>
      </c>
      <c r="C391" s="11" t="s">
        <v>204</v>
      </c>
      <c r="D391" t="s">
        <v>190</v>
      </c>
      <c r="E391" s="11" t="s">
        <v>220</v>
      </c>
      <c r="F391">
        <v>7</v>
      </c>
      <c r="G391">
        <v>10</v>
      </c>
      <c r="H391">
        <f t="shared" si="5"/>
        <v>390</v>
      </c>
    </row>
    <row r="392" spans="2:8" x14ac:dyDescent="0.25">
      <c r="B392" t="s">
        <v>227</v>
      </c>
      <c r="C392" s="11" t="s">
        <v>204</v>
      </c>
      <c r="D392" t="s">
        <v>190</v>
      </c>
      <c r="E392" s="11" t="s">
        <v>220</v>
      </c>
      <c r="F392">
        <v>4</v>
      </c>
      <c r="G392">
        <v>10</v>
      </c>
      <c r="H392">
        <f t="shared" si="5"/>
        <v>391</v>
      </c>
    </row>
    <row r="393" spans="2:8" x14ac:dyDescent="0.25">
      <c r="B393" t="s">
        <v>207</v>
      </c>
      <c r="C393" s="11" t="s">
        <v>232</v>
      </c>
      <c r="D393" t="s">
        <v>202</v>
      </c>
      <c r="E393" s="11" t="s">
        <v>233</v>
      </c>
      <c r="F393">
        <v>4</v>
      </c>
      <c r="G393">
        <v>6</v>
      </c>
      <c r="H393">
        <f t="shared" si="5"/>
        <v>392</v>
      </c>
    </row>
    <row r="394" spans="2:8" x14ac:dyDescent="0.25">
      <c r="B394" t="s">
        <v>207</v>
      </c>
      <c r="C394" s="11" t="s">
        <v>232</v>
      </c>
      <c r="D394" t="s">
        <v>202</v>
      </c>
      <c r="E394" s="11" t="s">
        <v>233</v>
      </c>
      <c r="F394">
        <v>6</v>
      </c>
      <c r="G394">
        <v>0</v>
      </c>
      <c r="H394">
        <f t="shared" si="5"/>
        <v>393</v>
      </c>
    </row>
    <row r="395" spans="2:8" x14ac:dyDescent="0.25">
      <c r="B395" t="s">
        <v>222</v>
      </c>
      <c r="C395" s="11" t="s">
        <v>203</v>
      </c>
      <c r="D395" t="s">
        <v>230</v>
      </c>
      <c r="E395" s="11" t="s">
        <v>231</v>
      </c>
      <c r="F395">
        <v>1</v>
      </c>
      <c r="G395">
        <v>10</v>
      </c>
      <c r="H395">
        <f t="shared" si="5"/>
        <v>394</v>
      </c>
    </row>
    <row r="396" spans="2:8" x14ac:dyDescent="0.25">
      <c r="B396" t="s">
        <v>222</v>
      </c>
      <c r="C396" s="11" t="s">
        <v>203</v>
      </c>
      <c r="D396" t="s">
        <v>230</v>
      </c>
      <c r="E396" s="11" t="s">
        <v>231</v>
      </c>
      <c r="F396">
        <v>4</v>
      </c>
      <c r="G396">
        <v>10</v>
      </c>
      <c r="H396">
        <f t="shared" si="5"/>
        <v>395</v>
      </c>
    </row>
    <row r="397" spans="2:8" x14ac:dyDescent="0.25">
      <c r="B397" t="s">
        <v>231</v>
      </c>
      <c r="C397" s="11" t="s">
        <v>204</v>
      </c>
      <c r="D397" t="s">
        <v>190</v>
      </c>
      <c r="E397" s="11" t="s">
        <v>227</v>
      </c>
      <c r="F397">
        <v>8</v>
      </c>
      <c r="G397">
        <v>10</v>
      </c>
      <c r="H397">
        <f t="shared" si="5"/>
        <v>396</v>
      </c>
    </row>
    <row r="398" spans="2:8" x14ac:dyDescent="0.25">
      <c r="B398" t="s">
        <v>231</v>
      </c>
      <c r="C398" s="11" t="s">
        <v>204</v>
      </c>
      <c r="D398" t="s">
        <v>190</v>
      </c>
      <c r="E398" s="11" t="s">
        <v>227</v>
      </c>
      <c r="F398">
        <v>7</v>
      </c>
      <c r="G398">
        <v>10</v>
      </c>
      <c r="H398">
        <f t="shared" si="5"/>
        <v>397</v>
      </c>
    </row>
    <row r="399" spans="2:8" x14ac:dyDescent="0.25">
      <c r="B399" t="s">
        <v>208</v>
      </c>
      <c r="C399" s="11" t="s">
        <v>222</v>
      </c>
      <c r="D399" t="s">
        <v>220</v>
      </c>
      <c r="E399" s="11" t="s">
        <v>190</v>
      </c>
      <c r="F399">
        <v>8</v>
      </c>
      <c r="G399">
        <v>10</v>
      </c>
      <c r="H399">
        <f t="shared" si="5"/>
        <v>398</v>
      </c>
    </row>
    <row r="400" spans="2:8" x14ac:dyDescent="0.25">
      <c r="B400" t="s">
        <v>208</v>
      </c>
      <c r="C400" s="11" t="s">
        <v>222</v>
      </c>
      <c r="D400" t="s">
        <v>220</v>
      </c>
      <c r="E400" s="11" t="s">
        <v>190</v>
      </c>
      <c r="F400">
        <v>5</v>
      </c>
      <c r="G400">
        <v>10</v>
      </c>
      <c r="H400">
        <f t="shared" si="5"/>
        <v>399</v>
      </c>
    </row>
    <row r="401" spans="2:8" x14ac:dyDescent="0.25">
      <c r="B401" t="s">
        <v>208</v>
      </c>
      <c r="C401" s="11" t="s">
        <v>231</v>
      </c>
      <c r="D401" t="s">
        <v>220</v>
      </c>
      <c r="E401" s="11" t="s">
        <v>229</v>
      </c>
      <c r="F401">
        <v>10</v>
      </c>
      <c r="G401">
        <v>8</v>
      </c>
      <c r="H401">
        <f t="shared" si="5"/>
        <v>400</v>
      </c>
    </row>
    <row r="402" spans="2:8" x14ac:dyDescent="0.25">
      <c r="B402" t="s">
        <v>208</v>
      </c>
      <c r="C402" s="11" t="s">
        <v>231</v>
      </c>
      <c r="D402" t="s">
        <v>220</v>
      </c>
      <c r="E402" s="11" t="s">
        <v>229</v>
      </c>
      <c r="F402">
        <v>4</v>
      </c>
      <c r="G402">
        <v>10</v>
      </c>
      <c r="H402">
        <f t="shared" si="5"/>
        <v>401</v>
      </c>
    </row>
    <row r="403" spans="2:8" x14ac:dyDescent="0.25">
      <c r="B403" t="s">
        <v>227</v>
      </c>
      <c r="C403" s="11" t="s">
        <v>231</v>
      </c>
      <c r="D403" t="s">
        <v>190</v>
      </c>
      <c r="E403" s="11" t="s">
        <v>203</v>
      </c>
      <c r="F403">
        <v>10</v>
      </c>
      <c r="G403">
        <v>3</v>
      </c>
      <c r="H403">
        <f t="shared" si="5"/>
        <v>402</v>
      </c>
    </row>
    <row r="404" spans="2:8" x14ac:dyDescent="0.25">
      <c r="B404" t="s">
        <v>227</v>
      </c>
      <c r="C404" s="11" t="s">
        <v>231</v>
      </c>
      <c r="D404" t="s">
        <v>190</v>
      </c>
      <c r="E404" s="11" t="s">
        <v>203</v>
      </c>
      <c r="F404">
        <v>10</v>
      </c>
      <c r="G404">
        <v>2</v>
      </c>
      <c r="H404">
        <f t="shared" si="5"/>
        <v>403</v>
      </c>
    </row>
    <row r="405" spans="2:8" x14ac:dyDescent="0.25">
      <c r="B405" t="s">
        <v>230</v>
      </c>
      <c r="C405" s="11" t="s">
        <v>231</v>
      </c>
      <c r="D405" t="s">
        <v>208</v>
      </c>
      <c r="E405" s="11" t="s">
        <v>214</v>
      </c>
      <c r="F405">
        <v>10</v>
      </c>
      <c r="G405">
        <v>1</v>
      </c>
      <c r="H405">
        <f t="shared" si="5"/>
        <v>404</v>
      </c>
    </row>
    <row r="406" spans="2:8" x14ac:dyDescent="0.25">
      <c r="B406" t="s">
        <v>230</v>
      </c>
      <c r="C406" s="11" t="s">
        <v>231</v>
      </c>
      <c r="D406" t="s">
        <v>208</v>
      </c>
      <c r="E406" s="11" t="s">
        <v>214</v>
      </c>
      <c r="F406">
        <v>10</v>
      </c>
      <c r="G406">
        <v>4</v>
      </c>
      <c r="H406">
        <f t="shared" si="5"/>
        <v>405</v>
      </c>
    </row>
    <row r="407" spans="2:8" x14ac:dyDescent="0.25">
      <c r="B407" t="s">
        <v>190</v>
      </c>
      <c r="C407" s="11" t="s">
        <v>192</v>
      </c>
      <c r="D407" t="s">
        <v>222</v>
      </c>
      <c r="E407" s="11" t="s">
        <v>215</v>
      </c>
      <c r="F407">
        <v>9</v>
      </c>
      <c r="G407">
        <v>10</v>
      </c>
      <c r="H407">
        <f t="shared" si="5"/>
        <v>406</v>
      </c>
    </row>
    <row r="408" spans="2:8" x14ac:dyDescent="0.25">
      <c r="B408" t="s">
        <v>190</v>
      </c>
      <c r="C408" s="11" t="s">
        <v>192</v>
      </c>
      <c r="D408" t="s">
        <v>222</v>
      </c>
      <c r="E408" s="11" t="s">
        <v>215</v>
      </c>
      <c r="F408">
        <v>10</v>
      </c>
      <c r="G408">
        <v>3</v>
      </c>
      <c r="H408">
        <f t="shared" si="5"/>
        <v>407</v>
      </c>
    </row>
    <row r="409" spans="2:8" x14ac:dyDescent="0.25">
      <c r="B409" t="s">
        <v>190</v>
      </c>
      <c r="C409" s="11" t="s">
        <v>220</v>
      </c>
      <c r="D409" t="s">
        <v>231</v>
      </c>
      <c r="E409" s="11" t="s">
        <v>203</v>
      </c>
      <c r="F409">
        <v>10</v>
      </c>
      <c r="G409">
        <v>2</v>
      </c>
      <c r="H409">
        <f t="shared" si="5"/>
        <v>408</v>
      </c>
    </row>
    <row r="410" spans="2:8" x14ac:dyDescent="0.25">
      <c r="B410" t="s">
        <v>190</v>
      </c>
      <c r="C410" s="11" t="s">
        <v>220</v>
      </c>
      <c r="D410" t="s">
        <v>231</v>
      </c>
      <c r="E410" s="11" t="s">
        <v>203</v>
      </c>
      <c r="F410">
        <v>10</v>
      </c>
      <c r="G410">
        <v>8</v>
      </c>
      <c r="H410">
        <f t="shared" si="5"/>
        <v>409</v>
      </c>
    </row>
    <row r="411" spans="2:8" x14ac:dyDescent="0.25">
      <c r="B411" t="s">
        <v>226</v>
      </c>
      <c r="C411" s="11" t="s">
        <v>207</v>
      </c>
      <c r="D411" t="s">
        <v>202</v>
      </c>
      <c r="E411" s="11" t="s">
        <v>232</v>
      </c>
      <c r="F411">
        <v>3</v>
      </c>
      <c r="G411">
        <v>6</v>
      </c>
      <c r="H411">
        <f t="shared" si="5"/>
        <v>410</v>
      </c>
    </row>
    <row r="412" spans="2:8" x14ac:dyDescent="0.25">
      <c r="B412" t="s">
        <v>226</v>
      </c>
      <c r="C412" s="11" t="s">
        <v>207</v>
      </c>
      <c r="D412" t="s">
        <v>202</v>
      </c>
      <c r="E412" s="11" t="s">
        <v>232</v>
      </c>
      <c r="F412">
        <v>6</v>
      </c>
      <c r="G412">
        <v>2</v>
      </c>
      <c r="H412">
        <f t="shared" si="5"/>
        <v>411</v>
      </c>
    </row>
    <row r="413" spans="2:8" x14ac:dyDescent="0.25">
      <c r="B413" t="s">
        <v>192</v>
      </c>
      <c r="C413" s="11" t="s">
        <v>219</v>
      </c>
      <c r="D413" t="s">
        <v>222</v>
      </c>
      <c r="E413" s="11" t="s">
        <v>230</v>
      </c>
      <c r="F413">
        <v>10</v>
      </c>
      <c r="G413">
        <v>1</v>
      </c>
      <c r="H413">
        <f t="shared" si="5"/>
        <v>412</v>
      </c>
    </row>
    <row r="414" spans="2:8" x14ac:dyDescent="0.25">
      <c r="B414" t="s">
        <v>192</v>
      </c>
      <c r="C414" s="11" t="s">
        <v>219</v>
      </c>
      <c r="D414" t="s">
        <v>222</v>
      </c>
      <c r="E414" s="11" t="s">
        <v>230</v>
      </c>
      <c r="F414">
        <v>10</v>
      </c>
      <c r="G414">
        <v>3</v>
      </c>
      <c r="H414">
        <f t="shared" si="5"/>
        <v>413</v>
      </c>
    </row>
    <row r="415" spans="2:8" x14ac:dyDescent="0.25">
      <c r="B415" t="s">
        <v>217</v>
      </c>
      <c r="C415" s="11" t="s">
        <v>231</v>
      </c>
      <c r="D415" t="s">
        <v>190</v>
      </c>
      <c r="E415" s="11" t="s">
        <v>220</v>
      </c>
      <c r="F415">
        <v>10</v>
      </c>
      <c r="G415">
        <v>7</v>
      </c>
      <c r="H415">
        <f t="shared" si="5"/>
        <v>414</v>
      </c>
    </row>
    <row r="416" spans="2:8" x14ac:dyDescent="0.25">
      <c r="B416" t="s">
        <v>217</v>
      </c>
      <c r="C416" s="11" t="s">
        <v>231</v>
      </c>
      <c r="D416" t="s">
        <v>190</v>
      </c>
      <c r="E416" s="11" t="s">
        <v>220</v>
      </c>
      <c r="F416">
        <v>8</v>
      </c>
      <c r="G416">
        <v>10</v>
      </c>
      <c r="H416">
        <f t="shared" si="5"/>
        <v>415</v>
      </c>
    </row>
    <row r="417" spans="2:8" x14ac:dyDescent="0.25">
      <c r="B417" t="s">
        <v>192</v>
      </c>
      <c r="C417" s="11" t="s">
        <v>224</v>
      </c>
      <c r="D417" t="s">
        <v>190</v>
      </c>
      <c r="E417" s="11" t="s">
        <v>222</v>
      </c>
      <c r="F417">
        <v>10</v>
      </c>
      <c r="G417">
        <v>8</v>
      </c>
      <c r="H417">
        <f t="shared" si="5"/>
        <v>416</v>
      </c>
    </row>
    <row r="418" spans="2:8" x14ac:dyDescent="0.25">
      <c r="B418" t="s">
        <v>192</v>
      </c>
      <c r="C418" s="11" t="s">
        <v>224</v>
      </c>
      <c r="D418" t="s">
        <v>190</v>
      </c>
      <c r="E418" s="11" t="s">
        <v>222</v>
      </c>
      <c r="F418">
        <v>7</v>
      </c>
      <c r="G418">
        <v>10</v>
      </c>
      <c r="H418">
        <f t="shared" si="5"/>
        <v>417</v>
      </c>
    </row>
    <row r="419" spans="2:8" x14ac:dyDescent="0.25">
      <c r="B419" t="s">
        <v>192</v>
      </c>
      <c r="C419" s="11" t="s">
        <v>220</v>
      </c>
      <c r="D419" t="s">
        <v>200</v>
      </c>
      <c r="E419" s="11" t="s">
        <v>190</v>
      </c>
      <c r="F419">
        <v>10</v>
      </c>
      <c r="G419">
        <v>8</v>
      </c>
      <c r="H419">
        <f t="shared" si="5"/>
        <v>418</v>
      </c>
    </row>
    <row r="420" spans="2:8" x14ac:dyDescent="0.25">
      <c r="B420" t="s">
        <v>192</v>
      </c>
      <c r="C420" s="11" t="s">
        <v>220</v>
      </c>
      <c r="D420" t="s">
        <v>200</v>
      </c>
      <c r="E420" s="11" t="s">
        <v>190</v>
      </c>
      <c r="F420">
        <v>10</v>
      </c>
      <c r="G420">
        <v>6</v>
      </c>
      <c r="H420">
        <f t="shared" si="5"/>
        <v>419</v>
      </c>
    </row>
    <row r="421" spans="2:8" x14ac:dyDescent="0.25">
      <c r="B421" t="s">
        <v>224</v>
      </c>
      <c r="C421" s="11" t="s">
        <v>231</v>
      </c>
      <c r="D421" t="s">
        <v>192</v>
      </c>
      <c r="E421" s="11" t="s">
        <v>229</v>
      </c>
      <c r="F421">
        <v>10</v>
      </c>
      <c r="G421">
        <v>9</v>
      </c>
      <c r="H421">
        <f t="shared" si="5"/>
        <v>420</v>
      </c>
    </row>
    <row r="422" spans="2:8" x14ac:dyDescent="0.25">
      <c r="B422" t="s">
        <v>224</v>
      </c>
      <c r="C422" s="11" t="s">
        <v>231</v>
      </c>
      <c r="D422" t="s">
        <v>192</v>
      </c>
      <c r="E422" s="11" t="s">
        <v>229</v>
      </c>
      <c r="F422">
        <v>10</v>
      </c>
      <c r="G422">
        <v>6</v>
      </c>
      <c r="H422">
        <f t="shared" si="5"/>
        <v>421</v>
      </c>
    </row>
    <row r="423" spans="2:8" x14ac:dyDescent="0.25">
      <c r="B423" t="s">
        <v>203</v>
      </c>
      <c r="C423" s="11" t="s">
        <v>231</v>
      </c>
      <c r="D423" t="s">
        <v>220</v>
      </c>
      <c r="E423" s="11" t="s">
        <v>190</v>
      </c>
      <c r="F423">
        <v>4</v>
      </c>
      <c r="G423">
        <v>10</v>
      </c>
      <c r="H423">
        <f t="shared" si="5"/>
        <v>422</v>
      </c>
    </row>
    <row r="424" spans="2:8" x14ac:dyDescent="0.25">
      <c r="B424" t="s">
        <v>203</v>
      </c>
      <c r="C424" s="11" t="s">
        <v>231</v>
      </c>
      <c r="D424" t="s">
        <v>220</v>
      </c>
      <c r="E424" s="11" t="s">
        <v>190</v>
      </c>
      <c r="F424">
        <v>4</v>
      </c>
      <c r="G424">
        <v>10</v>
      </c>
      <c r="H424">
        <f t="shared" si="5"/>
        <v>423</v>
      </c>
    </row>
    <row r="425" spans="2:8" x14ac:dyDescent="0.25">
      <c r="B425" t="s">
        <v>224</v>
      </c>
      <c r="C425" s="11" t="s">
        <v>231</v>
      </c>
      <c r="D425" t="s">
        <v>220</v>
      </c>
      <c r="E425" s="11" t="s">
        <v>190</v>
      </c>
      <c r="F425">
        <v>10</v>
      </c>
      <c r="G425">
        <v>6</v>
      </c>
      <c r="H425">
        <f t="shared" si="5"/>
        <v>424</v>
      </c>
    </row>
    <row r="426" spans="2:8" x14ac:dyDescent="0.25">
      <c r="B426" t="s">
        <v>224</v>
      </c>
      <c r="C426" s="11" t="s">
        <v>231</v>
      </c>
      <c r="D426" t="s">
        <v>220</v>
      </c>
      <c r="E426" s="11" t="s">
        <v>190</v>
      </c>
      <c r="F426">
        <v>10</v>
      </c>
      <c r="G426">
        <v>9</v>
      </c>
      <c r="H426">
        <f t="shared" si="5"/>
        <v>425</v>
      </c>
    </row>
    <row r="427" spans="2:8" x14ac:dyDescent="0.25">
      <c r="B427" t="s">
        <v>231</v>
      </c>
      <c r="C427" s="11" t="s">
        <v>192</v>
      </c>
      <c r="D427" t="s">
        <v>229</v>
      </c>
      <c r="E427" s="11" t="s">
        <v>190</v>
      </c>
      <c r="F427">
        <v>10</v>
      </c>
      <c r="G427">
        <v>3</v>
      </c>
      <c r="H427">
        <f t="shared" si="5"/>
        <v>426</v>
      </c>
    </row>
    <row r="428" spans="2:8" x14ac:dyDescent="0.25">
      <c r="B428" t="s">
        <v>231</v>
      </c>
      <c r="C428" s="11" t="s">
        <v>192</v>
      </c>
      <c r="D428" t="s">
        <v>229</v>
      </c>
      <c r="E428" s="11" t="s">
        <v>190</v>
      </c>
      <c r="F428">
        <v>8</v>
      </c>
      <c r="G428">
        <v>10</v>
      </c>
      <c r="H428">
        <f t="shared" si="5"/>
        <v>427</v>
      </c>
    </row>
    <row r="429" spans="2:8" x14ac:dyDescent="0.25">
      <c r="B429" t="s">
        <v>231</v>
      </c>
      <c r="C429" s="11" t="s">
        <v>192</v>
      </c>
      <c r="D429" t="s">
        <v>196</v>
      </c>
      <c r="E429" s="11" t="s">
        <v>216</v>
      </c>
      <c r="F429">
        <v>4</v>
      </c>
      <c r="G429">
        <v>10</v>
      </c>
      <c r="H429">
        <f t="shared" si="5"/>
        <v>428</v>
      </c>
    </row>
    <row r="430" spans="2:8" x14ac:dyDescent="0.25">
      <c r="B430" t="s">
        <v>231</v>
      </c>
      <c r="C430" s="11" t="s">
        <v>192</v>
      </c>
      <c r="D430" t="s">
        <v>196</v>
      </c>
      <c r="E430" s="11" t="s">
        <v>216</v>
      </c>
      <c r="F430">
        <v>10</v>
      </c>
      <c r="G430">
        <v>9</v>
      </c>
      <c r="H430">
        <f t="shared" si="5"/>
        <v>429</v>
      </c>
    </row>
    <row r="431" spans="2:8" x14ac:dyDescent="0.25">
      <c r="B431" t="s">
        <v>224</v>
      </c>
      <c r="C431" s="11" t="s">
        <v>225</v>
      </c>
      <c r="D431" t="s">
        <v>220</v>
      </c>
      <c r="E431" s="11" t="s">
        <v>214</v>
      </c>
      <c r="F431">
        <v>8</v>
      </c>
      <c r="G431">
        <v>10</v>
      </c>
      <c r="H431">
        <f t="shared" si="5"/>
        <v>430</v>
      </c>
    </row>
    <row r="432" spans="2:8" x14ac:dyDescent="0.25">
      <c r="B432" t="s">
        <v>224</v>
      </c>
      <c r="C432" s="11" t="s">
        <v>225</v>
      </c>
      <c r="D432" t="s">
        <v>220</v>
      </c>
      <c r="E432" s="11" t="s">
        <v>214</v>
      </c>
      <c r="F432">
        <v>10</v>
      </c>
      <c r="G432">
        <v>6</v>
      </c>
      <c r="H432">
        <f t="shared" si="5"/>
        <v>431</v>
      </c>
    </row>
    <row r="433" spans="2:8" x14ac:dyDescent="0.25">
      <c r="B433" t="s">
        <v>229</v>
      </c>
      <c r="C433" s="11" t="s">
        <v>222</v>
      </c>
      <c r="D433" t="s">
        <v>192</v>
      </c>
      <c r="E433" s="11" t="s">
        <v>190</v>
      </c>
      <c r="F433">
        <v>2</v>
      </c>
      <c r="G433">
        <v>10</v>
      </c>
      <c r="H433">
        <f t="shared" si="5"/>
        <v>432</v>
      </c>
    </row>
    <row r="434" spans="2:8" x14ac:dyDescent="0.25">
      <c r="B434" t="s">
        <v>229</v>
      </c>
      <c r="C434" s="11" t="s">
        <v>222</v>
      </c>
      <c r="D434" t="s">
        <v>192</v>
      </c>
      <c r="E434" s="11" t="s">
        <v>190</v>
      </c>
      <c r="F434">
        <v>3</v>
      </c>
      <c r="G434">
        <v>10</v>
      </c>
      <c r="H434">
        <f t="shared" si="5"/>
        <v>433</v>
      </c>
    </row>
    <row r="435" spans="2:8" x14ac:dyDescent="0.25">
      <c r="B435" t="s">
        <v>224</v>
      </c>
      <c r="C435" s="11" t="s">
        <v>222</v>
      </c>
      <c r="D435" t="s">
        <v>192</v>
      </c>
      <c r="E435" s="11" t="s">
        <v>230</v>
      </c>
      <c r="F435">
        <v>3</v>
      </c>
      <c r="G435">
        <v>10</v>
      </c>
      <c r="H435">
        <f t="shared" si="5"/>
        <v>434</v>
      </c>
    </row>
    <row r="436" spans="2:8" x14ac:dyDescent="0.25">
      <c r="B436" t="s">
        <v>224</v>
      </c>
      <c r="C436" s="11" t="s">
        <v>222</v>
      </c>
      <c r="D436" t="s">
        <v>192</v>
      </c>
      <c r="E436" s="11" t="s">
        <v>230</v>
      </c>
      <c r="F436">
        <v>7</v>
      </c>
      <c r="G436">
        <v>10</v>
      </c>
      <c r="H436">
        <f t="shared" si="5"/>
        <v>435</v>
      </c>
    </row>
    <row r="437" spans="2:8" x14ac:dyDescent="0.25">
      <c r="B437" s="41" t="s">
        <v>190</v>
      </c>
      <c r="C437" s="41" t="s">
        <v>203</v>
      </c>
      <c r="D437" s="4" t="s">
        <v>231</v>
      </c>
      <c r="E437" s="38" t="s">
        <v>230</v>
      </c>
      <c r="F437">
        <v>3</v>
      </c>
      <c r="G437">
        <v>10</v>
      </c>
      <c r="H437">
        <f t="shared" si="5"/>
        <v>436</v>
      </c>
    </row>
    <row r="438" spans="2:8" x14ac:dyDescent="0.25">
      <c r="B438" s="40" t="s">
        <v>190</v>
      </c>
      <c r="C438" s="40" t="s">
        <v>203</v>
      </c>
      <c r="D438" s="3" t="s">
        <v>231</v>
      </c>
      <c r="E438" s="39" t="s">
        <v>230</v>
      </c>
      <c r="F438">
        <v>10</v>
      </c>
      <c r="G438">
        <v>6</v>
      </c>
      <c r="H438">
        <f t="shared" si="5"/>
        <v>437</v>
      </c>
    </row>
    <row r="439" spans="2:8" x14ac:dyDescent="0.25">
      <c r="B439" s="4" t="s">
        <v>224</v>
      </c>
      <c r="C439" s="41" t="s">
        <v>200</v>
      </c>
      <c r="D439" s="4" t="s">
        <v>231</v>
      </c>
      <c r="E439" s="38" t="s">
        <v>229</v>
      </c>
      <c r="F439">
        <v>10</v>
      </c>
      <c r="G439">
        <v>9</v>
      </c>
      <c r="H439">
        <f t="shared" si="5"/>
        <v>438</v>
      </c>
    </row>
    <row r="440" spans="2:8" x14ac:dyDescent="0.25">
      <c r="B440" s="3" t="s">
        <v>224</v>
      </c>
      <c r="C440" s="40" t="s">
        <v>200</v>
      </c>
      <c r="D440" s="3" t="s">
        <v>231</v>
      </c>
      <c r="E440" s="38" t="s">
        <v>229</v>
      </c>
      <c r="F440">
        <v>10</v>
      </c>
      <c r="G440">
        <v>9</v>
      </c>
      <c r="H440">
        <f t="shared" si="5"/>
        <v>439</v>
      </c>
    </row>
    <row r="441" spans="2:8" x14ac:dyDescent="0.25">
      <c r="B441" s="38" t="s">
        <v>227</v>
      </c>
      <c r="C441" s="41" t="s">
        <v>225</v>
      </c>
      <c r="D441" s="4" t="s">
        <v>231</v>
      </c>
      <c r="E441" s="41" t="s">
        <v>222</v>
      </c>
      <c r="F441">
        <v>10</v>
      </c>
      <c r="G441">
        <v>6</v>
      </c>
      <c r="H441">
        <f t="shared" si="5"/>
        <v>440</v>
      </c>
    </row>
    <row r="442" spans="2:8" x14ac:dyDescent="0.25">
      <c r="B442" s="39" t="s">
        <v>227</v>
      </c>
      <c r="C442" s="40" t="s">
        <v>225</v>
      </c>
      <c r="D442" s="3" t="s">
        <v>231</v>
      </c>
      <c r="E442" s="40" t="s">
        <v>222</v>
      </c>
      <c r="F442">
        <v>10</v>
      </c>
      <c r="G442">
        <v>9</v>
      </c>
      <c r="H442">
        <f t="shared" si="5"/>
        <v>441</v>
      </c>
    </row>
    <row r="443" spans="2:8" x14ac:dyDescent="0.25">
      <c r="B443" s="38" t="s">
        <v>224</v>
      </c>
      <c r="C443" s="41" t="s">
        <v>203</v>
      </c>
      <c r="D443" s="38" t="s">
        <v>230</v>
      </c>
      <c r="E443" s="41" t="s">
        <v>214</v>
      </c>
      <c r="F443">
        <v>10</v>
      </c>
      <c r="G443">
        <v>5</v>
      </c>
      <c r="H443">
        <f t="shared" si="5"/>
        <v>442</v>
      </c>
    </row>
    <row r="444" spans="2:8" x14ac:dyDescent="0.25">
      <c r="B444" s="39" t="s">
        <v>224</v>
      </c>
      <c r="C444" s="40" t="s">
        <v>203</v>
      </c>
      <c r="D444" s="39" t="s">
        <v>230</v>
      </c>
      <c r="E444" s="40" t="s">
        <v>214</v>
      </c>
      <c r="F444">
        <v>10</v>
      </c>
      <c r="G444">
        <v>9</v>
      </c>
      <c r="H444">
        <f t="shared" si="5"/>
        <v>443</v>
      </c>
    </row>
    <row r="445" spans="2:8" x14ac:dyDescent="0.25">
      <c r="B445" t="s">
        <v>222</v>
      </c>
      <c r="C445" s="11" t="s">
        <v>192</v>
      </c>
      <c r="D445" t="s">
        <v>230</v>
      </c>
      <c r="E445" s="11" t="s">
        <v>209</v>
      </c>
      <c r="F445">
        <v>10</v>
      </c>
      <c r="G445">
        <v>9</v>
      </c>
      <c r="H445">
        <f t="shared" si="5"/>
        <v>444</v>
      </c>
    </row>
    <row r="446" spans="2:8" x14ac:dyDescent="0.25">
      <c r="B446" t="s">
        <v>222</v>
      </c>
      <c r="C446" s="11" t="s">
        <v>192</v>
      </c>
      <c r="D446" t="s">
        <v>230</v>
      </c>
      <c r="E446" s="11" t="s">
        <v>209</v>
      </c>
      <c r="F446">
        <v>10</v>
      </c>
      <c r="G446">
        <v>5</v>
      </c>
      <c r="H446">
        <f t="shared" si="5"/>
        <v>445</v>
      </c>
    </row>
    <row r="447" spans="2:8" x14ac:dyDescent="0.25">
      <c r="B447" t="s">
        <v>217</v>
      </c>
      <c r="C447" s="11" t="s">
        <v>190</v>
      </c>
      <c r="D447" t="s">
        <v>231</v>
      </c>
      <c r="E447" s="11" t="s">
        <v>204</v>
      </c>
      <c r="F447">
        <v>10</v>
      </c>
      <c r="G447">
        <v>6</v>
      </c>
      <c r="H447">
        <f t="shared" si="5"/>
        <v>446</v>
      </c>
    </row>
    <row r="448" spans="2:8" x14ac:dyDescent="0.25">
      <c r="B448" t="s">
        <v>217</v>
      </c>
      <c r="C448" s="11" t="s">
        <v>190</v>
      </c>
      <c r="D448" t="s">
        <v>231</v>
      </c>
      <c r="E448" s="11" t="s">
        <v>204</v>
      </c>
      <c r="F448">
        <v>10</v>
      </c>
      <c r="G448">
        <v>3</v>
      </c>
      <c r="H448">
        <f t="shared" si="5"/>
        <v>447</v>
      </c>
    </row>
    <row r="449" spans="2:8" x14ac:dyDescent="0.25">
      <c r="B449" t="s">
        <v>210</v>
      </c>
      <c r="C449" s="11" t="s">
        <v>192</v>
      </c>
      <c r="D449" t="s">
        <v>231</v>
      </c>
      <c r="E449" s="11" t="s">
        <v>222</v>
      </c>
      <c r="F449">
        <v>10</v>
      </c>
      <c r="G449">
        <v>3</v>
      </c>
      <c r="H449">
        <f t="shared" si="5"/>
        <v>448</v>
      </c>
    </row>
    <row r="450" spans="2:8" x14ac:dyDescent="0.25">
      <c r="B450" t="s">
        <v>210</v>
      </c>
      <c r="C450" s="11" t="s">
        <v>192</v>
      </c>
      <c r="D450" t="s">
        <v>231</v>
      </c>
      <c r="E450" s="11" t="s">
        <v>222</v>
      </c>
      <c r="F450">
        <v>10</v>
      </c>
      <c r="G450">
        <v>9</v>
      </c>
      <c r="H450">
        <f t="shared" ref="H450:H513" si="6">H449+1</f>
        <v>449</v>
      </c>
    </row>
    <row r="451" spans="2:8" x14ac:dyDescent="0.25">
      <c r="B451" t="s">
        <v>208</v>
      </c>
      <c r="C451" s="11" t="s">
        <v>230</v>
      </c>
      <c r="D451" t="s">
        <v>203</v>
      </c>
      <c r="E451" s="11" t="s">
        <v>190</v>
      </c>
      <c r="F451">
        <v>9</v>
      </c>
      <c r="G451">
        <v>10</v>
      </c>
      <c r="H451">
        <f t="shared" si="6"/>
        <v>450</v>
      </c>
    </row>
    <row r="452" spans="2:8" x14ac:dyDescent="0.25">
      <c r="B452" t="s">
        <v>208</v>
      </c>
      <c r="C452" s="11" t="s">
        <v>230</v>
      </c>
      <c r="D452" t="s">
        <v>203</v>
      </c>
      <c r="E452" s="11" t="s">
        <v>190</v>
      </c>
      <c r="F452">
        <v>10</v>
      </c>
      <c r="G452">
        <v>6</v>
      </c>
      <c r="H452">
        <f t="shared" si="6"/>
        <v>451</v>
      </c>
    </row>
    <row r="453" spans="2:8" x14ac:dyDescent="0.25">
      <c r="B453" t="s">
        <v>208</v>
      </c>
      <c r="C453" s="11" t="s">
        <v>234</v>
      </c>
      <c r="D453" t="s">
        <v>192</v>
      </c>
      <c r="E453" s="11" t="s">
        <v>222</v>
      </c>
      <c r="F453">
        <v>5</v>
      </c>
      <c r="G453">
        <v>10</v>
      </c>
      <c r="H453">
        <f t="shared" si="6"/>
        <v>452</v>
      </c>
    </row>
    <row r="454" spans="2:8" x14ac:dyDescent="0.25">
      <c r="B454" t="s">
        <v>208</v>
      </c>
      <c r="C454" s="11" t="s">
        <v>234</v>
      </c>
      <c r="D454" t="s">
        <v>192</v>
      </c>
      <c r="E454" s="11" t="s">
        <v>222</v>
      </c>
      <c r="F454">
        <v>10</v>
      </c>
      <c r="G454">
        <v>6</v>
      </c>
      <c r="H454">
        <f t="shared" si="6"/>
        <v>453</v>
      </c>
    </row>
    <row r="455" spans="2:8" x14ac:dyDescent="0.25">
      <c r="B455" t="s">
        <v>190</v>
      </c>
      <c r="C455" s="11" t="s">
        <v>212</v>
      </c>
      <c r="D455" t="s">
        <v>230</v>
      </c>
      <c r="E455" s="11" t="s">
        <v>222</v>
      </c>
      <c r="F455">
        <v>9</v>
      </c>
      <c r="G455">
        <v>10</v>
      </c>
      <c r="H455">
        <f t="shared" si="6"/>
        <v>454</v>
      </c>
    </row>
    <row r="456" spans="2:8" x14ac:dyDescent="0.25">
      <c r="B456" t="s">
        <v>190</v>
      </c>
      <c r="C456" s="11" t="s">
        <v>212</v>
      </c>
      <c r="D456" t="s">
        <v>230</v>
      </c>
      <c r="E456" s="11" t="s">
        <v>222</v>
      </c>
      <c r="F456">
        <v>10</v>
      </c>
      <c r="G456">
        <v>6</v>
      </c>
      <c r="H456">
        <f t="shared" si="6"/>
        <v>455</v>
      </c>
    </row>
    <row r="457" spans="2:8" x14ac:dyDescent="0.25">
      <c r="B457" t="s">
        <v>190</v>
      </c>
      <c r="C457" s="11" t="s">
        <v>203</v>
      </c>
      <c r="D457" t="s">
        <v>229</v>
      </c>
      <c r="E457" s="11" t="s">
        <v>222</v>
      </c>
      <c r="F457">
        <v>5</v>
      </c>
      <c r="G457">
        <v>10</v>
      </c>
      <c r="H457">
        <f t="shared" si="6"/>
        <v>456</v>
      </c>
    </row>
    <row r="458" spans="2:8" x14ac:dyDescent="0.25">
      <c r="B458" t="s">
        <v>190</v>
      </c>
      <c r="C458" s="11" t="s">
        <v>203</v>
      </c>
      <c r="D458" t="s">
        <v>229</v>
      </c>
      <c r="E458" s="11" t="s">
        <v>222</v>
      </c>
      <c r="F458">
        <v>7</v>
      </c>
      <c r="G458">
        <v>10</v>
      </c>
      <c r="H458">
        <f t="shared" si="6"/>
        <v>457</v>
      </c>
    </row>
    <row r="459" spans="2:8" x14ac:dyDescent="0.25">
      <c r="B459" t="s">
        <v>190</v>
      </c>
      <c r="C459" s="11" t="s">
        <v>213</v>
      </c>
      <c r="D459" t="s">
        <v>231</v>
      </c>
      <c r="E459" s="11" t="s">
        <v>203</v>
      </c>
      <c r="F459">
        <v>10</v>
      </c>
      <c r="G459">
        <v>4</v>
      </c>
      <c r="H459">
        <f t="shared" si="6"/>
        <v>458</v>
      </c>
    </row>
    <row r="460" spans="2:8" x14ac:dyDescent="0.25">
      <c r="B460" t="s">
        <v>190</v>
      </c>
      <c r="C460" s="11" t="s">
        <v>213</v>
      </c>
      <c r="D460" t="s">
        <v>231</v>
      </c>
      <c r="E460" s="11" t="s">
        <v>203</v>
      </c>
      <c r="F460">
        <v>10</v>
      </c>
      <c r="G460">
        <v>7</v>
      </c>
      <c r="H460">
        <f t="shared" si="6"/>
        <v>459</v>
      </c>
    </row>
    <row r="461" spans="2:8" x14ac:dyDescent="0.25">
      <c r="B461" t="s">
        <v>192</v>
      </c>
      <c r="C461" s="11" t="s">
        <v>230</v>
      </c>
      <c r="D461" t="s">
        <v>210</v>
      </c>
      <c r="E461" s="11" t="s">
        <v>212</v>
      </c>
      <c r="F461">
        <v>10</v>
      </c>
      <c r="G461">
        <v>7</v>
      </c>
      <c r="H461">
        <f t="shared" si="6"/>
        <v>460</v>
      </c>
    </row>
    <row r="462" spans="2:8" x14ac:dyDescent="0.25">
      <c r="B462" t="s">
        <v>192</v>
      </c>
      <c r="C462" s="11" t="s">
        <v>230</v>
      </c>
      <c r="D462" t="s">
        <v>210</v>
      </c>
      <c r="E462" s="11" t="s">
        <v>212</v>
      </c>
      <c r="F462">
        <v>10</v>
      </c>
      <c r="G462">
        <v>8</v>
      </c>
      <c r="H462">
        <f t="shared" si="6"/>
        <v>461</v>
      </c>
    </row>
    <row r="463" spans="2:8" x14ac:dyDescent="0.25">
      <c r="B463" t="s">
        <v>196</v>
      </c>
      <c r="C463" s="11" t="s">
        <v>231</v>
      </c>
      <c r="D463" t="s">
        <v>210</v>
      </c>
      <c r="E463" s="11" t="s">
        <v>200</v>
      </c>
      <c r="F463">
        <v>6</v>
      </c>
      <c r="G463">
        <v>10</v>
      </c>
      <c r="H463">
        <f t="shared" si="6"/>
        <v>462</v>
      </c>
    </row>
    <row r="464" spans="2:8" x14ac:dyDescent="0.25">
      <c r="B464" t="s">
        <v>196</v>
      </c>
      <c r="C464" s="11" t="s">
        <v>231</v>
      </c>
      <c r="D464" t="s">
        <v>210</v>
      </c>
      <c r="E464" s="11" t="s">
        <v>200</v>
      </c>
      <c r="F464">
        <v>10</v>
      </c>
      <c r="G464">
        <v>8</v>
      </c>
      <c r="H464">
        <f t="shared" si="6"/>
        <v>463</v>
      </c>
    </row>
    <row r="465" spans="2:8" x14ac:dyDescent="0.25">
      <c r="B465" t="s">
        <v>230</v>
      </c>
      <c r="C465" s="11" t="s">
        <v>217</v>
      </c>
      <c r="D465" t="s">
        <v>213</v>
      </c>
      <c r="E465" s="11" t="s">
        <v>218</v>
      </c>
      <c r="F465">
        <v>10</v>
      </c>
      <c r="G465">
        <v>6</v>
      </c>
      <c r="H465">
        <f t="shared" si="6"/>
        <v>464</v>
      </c>
    </row>
    <row r="466" spans="2:8" x14ac:dyDescent="0.25">
      <c r="B466" t="s">
        <v>230</v>
      </c>
      <c r="C466" s="11" t="s">
        <v>217</v>
      </c>
      <c r="D466" t="s">
        <v>213</v>
      </c>
      <c r="E466" s="11" t="s">
        <v>218</v>
      </c>
      <c r="F466">
        <v>8</v>
      </c>
      <c r="G466">
        <v>10</v>
      </c>
      <c r="H466">
        <f t="shared" si="6"/>
        <v>465</v>
      </c>
    </row>
    <row r="467" spans="2:8" x14ac:dyDescent="0.25">
      <c r="B467" t="s">
        <v>200</v>
      </c>
      <c r="C467" s="11" t="s">
        <v>229</v>
      </c>
      <c r="D467" t="s">
        <v>203</v>
      </c>
      <c r="E467" s="11" t="s">
        <v>190</v>
      </c>
      <c r="F467">
        <v>10</v>
      </c>
      <c r="G467">
        <v>4</v>
      </c>
      <c r="H467">
        <f t="shared" si="6"/>
        <v>466</v>
      </c>
    </row>
    <row r="468" spans="2:8" x14ac:dyDescent="0.25">
      <c r="B468" t="s">
        <v>200</v>
      </c>
      <c r="C468" s="11" t="s">
        <v>229</v>
      </c>
      <c r="D468" t="s">
        <v>203</v>
      </c>
      <c r="E468" s="11" t="s">
        <v>190</v>
      </c>
      <c r="F468">
        <v>10</v>
      </c>
      <c r="G468">
        <v>5</v>
      </c>
      <c r="H468">
        <f t="shared" si="6"/>
        <v>467</v>
      </c>
    </row>
    <row r="469" spans="2:8" x14ac:dyDescent="0.25">
      <c r="B469" t="s">
        <v>222</v>
      </c>
      <c r="C469" s="11" t="s">
        <v>192</v>
      </c>
      <c r="D469" t="s">
        <v>208</v>
      </c>
      <c r="E469" s="11" t="s">
        <v>230</v>
      </c>
      <c r="F469">
        <v>8</v>
      </c>
      <c r="G469">
        <v>10</v>
      </c>
      <c r="H469">
        <f t="shared" si="6"/>
        <v>468</v>
      </c>
    </row>
    <row r="470" spans="2:8" x14ac:dyDescent="0.25">
      <c r="B470" t="s">
        <v>222</v>
      </c>
      <c r="C470" s="11" t="s">
        <v>192</v>
      </c>
      <c r="D470" t="s">
        <v>208</v>
      </c>
      <c r="E470" s="11" t="s">
        <v>230</v>
      </c>
      <c r="F470">
        <v>9</v>
      </c>
      <c r="G470">
        <v>10</v>
      </c>
      <c r="H470">
        <f t="shared" si="6"/>
        <v>469</v>
      </c>
    </row>
    <row r="471" spans="2:8" x14ac:dyDescent="0.25">
      <c r="B471" t="s">
        <v>231</v>
      </c>
      <c r="C471" s="11" t="s">
        <v>203</v>
      </c>
      <c r="D471" t="s">
        <v>210</v>
      </c>
      <c r="E471" s="11" t="s">
        <v>204</v>
      </c>
      <c r="F471">
        <v>10</v>
      </c>
      <c r="G471">
        <v>9</v>
      </c>
      <c r="H471">
        <f t="shared" si="6"/>
        <v>470</v>
      </c>
    </row>
    <row r="472" spans="2:8" x14ac:dyDescent="0.25">
      <c r="B472" t="s">
        <v>231</v>
      </c>
      <c r="C472" s="11" t="s">
        <v>203</v>
      </c>
      <c r="D472" t="s">
        <v>210</v>
      </c>
      <c r="E472" s="11" t="s">
        <v>204</v>
      </c>
      <c r="F472">
        <v>10</v>
      </c>
      <c r="G472">
        <v>5</v>
      </c>
      <c r="H472">
        <f t="shared" si="6"/>
        <v>471</v>
      </c>
    </row>
    <row r="473" spans="2:8" x14ac:dyDescent="0.25">
      <c r="B473" t="s">
        <v>231</v>
      </c>
      <c r="C473" s="11" t="s">
        <v>190</v>
      </c>
      <c r="D473" t="s">
        <v>196</v>
      </c>
      <c r="E473" s="11" t="s">
        <v>192</v>
      </c>
      <c r="F473">
        <v>10</v>
      </c>
      <c r="G473">
        <v>7</v>
      </c>
      <c r="H473">
        <f t="shared" si="6"/>
        <v>472</v>
      </c>
    </row>
    <row r="474" spans="2:8" x14ac:dyDescent="0.25">
      <c r="B474" t="s">
        <v>231</v>
      </c>
      <c r="C474" s="11" t="s">
        <v>190</v>
      </c>
      <c r="D474" t="s">
        <v>196</v>
      </c>
      <c r="E474" s="11" t="s">
        <v>192</v>
      </c>
      <c r="F474">
        <v>5</v>
      </c>
      <c r="G474">
        <v>10</v>
      </c>
      <c r="H474">
        <f t="shared" si="6"/>
        <v>473</v>
      </c>
    </row>
    <row r="475" spans="2:8" x14ac:dyDescent="0.25">
      <c r="B475" t="s">
        <v>231</v>
      </c>
      <c r="C475" s="11" t="s">
        <v>229</v>
      </c>
      <c r="D475" t="s">
        <v>222</v>
      </c>
      <c r="E475" s="11" t="s">
        <v>192</v>
      </c>
      <c r="F475">
        <v>10</v>
      </c>
      <c r="G475">
        <v>7</v>
      </c>
      <c r="H475">
        <f t="shared" si="6"/>
        <v>474</v>
      </c>
    </row>
    <row r="476" spans="2:8" x14ac:dyDescent="0.25">
      <c r="B476" t="s">
        <v>231</v>
      </c>
      <c r="C476" s="11" t="s">
        <v>229</v>
      </c>
      <c r="D476" t="s">
        <v>222</v>
      </c>
      <c r="E476" s="11" t="s">
        <v>192</v>
      </c>
      <c r="F476">
        <v>6</v>
      </c>
      <c r="G476">
        <v>10</v>
      </c>
      <c r="H476">
        <f t="shared" si="6"/>
        <v>475</v>
      </c>
    </row>
    <row r="477" spans="2:8" x14ac:dyDescent="0.25">
      <c r="B477" t="s">
        <v>231</v>
      </c>
      <c r="C477" s="11" t="s">
        <v>230</v>
      </c>
      <c r="D477" t="s">
        <v>229</v>
      </c>
      <c r="E477" s="11" t="s">
        <v>196</v>
      </c>
      <c r="F477">
        <v>10</v>
      </c>
      <c r="G477">
        <v>7</v>
      </c>
      <c r="H477">
        <f t="shared" si="6"/>
        <v>476</v>
      </c>
    </row>
    <row r="478" spans="2:8" x14ac:dyDescent="0.25">
      <c r="B478" t="s">
        <v>231</v>
      </c>
      <c r="C478" s="11" t="s">
        <v>230</v>
      </c>
      <c r="D478" t="s">
        <v>229</v>
      </c>
      <c r="E478" s="11" t="s">
        <v>196</v>
      </c>
      <c r="F478">
        <v>10</v>
      </c>
      <c r="G478">
        <v>7</v>
      </c>
      <c r="H478">
        <f t="shared" si="6"/>
        <v>477</v>
      </c>
    </row>
    <row r="479" spans="2:8" x14ac:dyDescent="0.25">
      <c r="B479" t="s">
        <v>210</v>
      </c>
      <c r="C479" s="11" t="s">
        <v>230</v>
      </c>
      <c r="D479" t="s">
        <v>203</v>
      </c>
      <c r="E479" s="11" t="s">
        <v>190</v>
      </c>
      <c r="F479">
        <v>10</v>
      </c>
      <c r="G479">
        <v>2</v>
      </c>
      <c r="H479">
        <f t="shared" si="6"/>
        <v>478</v>
      </c>
    </row>
    <row r="480" spans="2:8" x14ac:dyDescent="0.25">
      <c r="B480" t="s">
        <v>210</v>
      </c>
      <c r="C480" s="11" t="s">
        <v>230</v>
      </c>
      <c r="D480" t="s">
        <v>203</v>
      </c>
      <c r="E480" s="11" t="s">
        <v>190</v>
      </c>
      <c r="F480">
        <v>10</v>
      </c>
      <c r="G480">
        <v>8</v>
      </c>
      <c r="H480">
        <f t="shared" si="6"/>
        <v>479</v>
      </c>
    </row>
    <row r="481" spans="2:8" x14ac:dyDescent="0.25">
      <c r="B481" t="s">
        <v>210</v>
      </c>
      <c r="C481" s="11" t="s">
        <v>207</v>
      </c>
      <c r="D481" t="s">
        <v>203</v>
      </c>
      <c r="E481" s="11" t="s">
        <v>232</v>
      </c>
      <c r="F481">
        <v>10</v>
      </c>
      <c r="G481">
        <v>3</v>
      </c>
      <c r="H481">
        <f t="shared" si="6"/>
        <v>480</v>
      </c>
    </row>
    <row r="482" spans="2:8" x14ac:dyDescent="0.25">
      <c r="B482" t="s">
        <v>210</v>
      </c>
      <c r="C482" s="11" t="s">
        <v>207</v>
      </c>
      <c r="D482" t="s">
        <v>203</v>
      </c>
      <c r="E482" s="11" t="s">
        <v>232</v>
      </c>
      <c r="F482">
        <v>10</v>
      </c>
      <c r="G482">
        <v>2</v>
      </c>
      <c r="H482">
        <f t="shared" si="6"/>
        <v>481</v>
      </c>
    </row>
    <row r="483" spans="2:8" x14ac:dyDescent="0.25">
      <c r="B483" t="s">
        <v>213</v>
      </c>
      <c r="C483" s="11" t="s">
        <v>231</v>
      </c>
      <c r="D483" t="s">
        <v>218</v>
      </c>
      <c r="E483" s="11" t="s">
        <v>206</v>
      </c>
      <c r="F483">
        <v>10</v>
      </c>
      <c r="G483">
        <v>3</v>
      </c>
      <c r="H483">
        <f t="shared" si="6"/>
        <v>482</v>
      </c>
    </row>
    <row r="484" spans="2:8" x14ac:dyDescent="0.25">
      <c r="B484" t="s">
        <v>213</v>
      </c>
      <c r="C484" s="11" t="s">
        <v>231</v>
      </c>
      <c r="D484" t="s">
        <v>218</v>
      </c>
      <c r="E484" s="11" t="s">
        <v>206</v>
      </c>
      <c r="F484">
        <v>10</v>
      </c>
      <c r="G484">
        <v>7</v>
      </c>
      <c r="H484">
        <f t="shared" si="6"/>
        <v>483</v>
      </c>
    </row>
    <row r="485" spans="2:8" x14ac:dyDescent="0.25">
      <c r="B485" t="s">
        <v>192</v>
      </c>
      <c r="C485" s="11" t="s">
        <v>196</v>
      </c>
      <c r="D485" t="s">
        <v>208</v>
      </c>
      <c r="E485" s="11" t="s">
        <v>222</v>
      </c>
      <c r="F485">
        <v>10</v>
      </c>
      <c r="G485">
        <v>4</v>
      </c>
      <c r="H485">
        <f t="shared" si="6"/>
        <v>484</v>
      </c>
    </row>
    <row r="486" spans="2:8" x14ac:dyDescent="0.25">
      <c r="B486" t="s">
        <v>192</v>
      </c>
      <c r="C486" s="11" t="s">
        <v>196</v>
      </c>
      <c r="D486" t="s">
        <v>208</v>
      </c>
      <c r="E486" s="11" t="s">
        <v>222</v>
      </c>
      <c r="F486">
        <v>10</v>
      </c>
      <c r="G486">
        <v>3</v>
      </c>
      <c r="H486">
        <f t="shared" si="6"/>
        <v>485</v>
      </c>
    </row>
    <row r="487" spans="2:8" x14ac:dyDescent="0.25">
      <c r="B487" t="s">
        <v>231</v>
      </c>
      <c r="C487" s="11" t="s">
        <v>197</v>
      </c>
      <c r="D487" t="s">
        <v>196</v>
      </c>
      <c r="E487" s="11" t="s">
        <v>210</v>
      </c>
      <c r="F487">
        <v>10</v>
      </c>
      <c r="G487">
        <v>8</v>
      </c>
      <c r="H487">
        <f t="shared" si="6"/>
        <v>486</v>
      </c>
    </row>
    <row r="488" spans="2:8" x14ac:dyDescent="0.25">
      <c r="B488" t="s">
        <v>231</v>
      </c>
      <c r="C488" s="11" t="s">
        <v>197</v>
      </c>
      <c r="D488" t="s">
        <v>196</v>
      </c>
      <c r="E488" s="11" t="s">
        <v>210</v>
      </c>
      <c r="F488">
        <v>10</v>
      </c>
      <c r="G488">
        <v>5</v>
      </c>
      <c r="H488">
        <f t="shared" si="6"/>
        <v>487</v>
      </c>
    </row>
    <row r="489" spans="2:8" x14ac:dyDescent="0.25">
      <c r="B489" t="s">
        <v>207</v>
      </c>
      <c r="C489" s="11" t="s">
        <v>231</v>
      </c>
      <c r="D489" t="s">
        <v>220</v>
      </c>
      <c r="E489" s="11" t="s">
        <v>190</v>
      </c>
      <c r="F489">
        <v>10</v>
      </c>
      <c r="G489">
        <v>8</v>
      </c>
      <c r="H489">
        <f t="shared" si="6"/>
        <v>488</v>
      </c>
    </row>
    <row r="490" spans="2:8" x14ac:dyDescent="0.25">
      <c r="B490" t="s">
        <v>207</v>
      </c>
      <c r="C490" s="11" t="s">
        <v>231</v>
      </c>
      <c r="D490" t="s">
        <v>220</v>
      </c>
      <c r="E490" s="11" t="s">
        <v>190</v>
      </c>
      <c r="F490">
        <v>9</v>
      </c>
      <c r="G490">
        <v>10</v>
      </c>
      <c r="H490">
        <f t="shared" si="6"/>
        <v>489</v>
      </c>
    </row>
    <row r="491" spans="2:8" x14ac:dyDescent="0.25">
      <c r="B491" t="s">
        <v>204</v>
      </c>
      <c r="C491" s="11" t="s">
        <v>231</v>
      </c>
      <c r="D491" t="s">
        <v>229</v>
      </c>
      <c r="E491" s="11" t="s">
        <v>210</v>
      </c>
      <c r="F491">
        <v>10</v>
      </c>
      <c r="G491">
        <v>8</v>
      </c>
      <c r="H491">
        <f t="shared" si="6"/>
        <v>490</v>
      </c>
    </row>
    <row r="492" spans="2:8" x14ac:dyDescent="0.25">
      <c r="B492" t="s">
        <v>204</v>
      </c>
      <c r="C492" s="11" t="s">
        <v>231</v>
      </c>
      <c r="D492" t="s">
        <v>229</v>
      </c>
      <c r="E492" s="11" t="s">
        <v>210</v>
      </c>
      <c r="F492">
        <v>6</v>
      </c>
      <c r="G492">
        <v>10</v>
      </c>
      <c r="H492">
        <f t="shared" si="6"/>
        <v>491</v>
      </c>
    </row>
    <row r="493" spans="2:8" x14ac:dyDescent="0.25">
      <c r="B493" t="s">
        <v>192</v>
      </c>
      <c r="C493" s="11" t="s">
        <v>222</v>
      </c>
      <c r="D493" t="s">
        <v>208</v>
      </c>
      <c r="E493" s="11" t="s">
        <v>196</v>
      </c>
      <c r="F493">
        <v>10</v>
      </c>
      <c r="G493">
        <v>3</v>
      </c>
      <c r="H493">
        <f t="shared" si="6"/>
        <v>492</v>
      </c>
    </row>
    <row r="494" spans="2:8" x14ac:dyDescent="0.25">
      <c r="B494" t="s">
        <v>192</v>
      </c>
      <c r="C494" s="11" t="s">
        <v>222</v>
      </c>
      <c r="D494" t="s">
        <v>208</v>
      </c>
      <c r="E494" s="11" t="s">
        <v>196</v>
      </c>
      <c r="F494">
        <v>10</v>
      </c>
      <c r="G494">
        <v>7</v>
      </c>
      <c r="H494">
        <f t="shared" si="6"/>
        <v>493</v>
      </c>
    </row>
    <row r="495" spans="2:8" x14ac:dyDescent="0.25">
      <c r="B495" t="s">
        <v>192</v>
      </c>
      <c r="C495" s="11" t="s">
        <v>230</v>
      </c>
      <c r="D495" t="s">
        <v>222</v>
      </c>
      <c r="E495" s="11" t="s">
        <v>210</v>
      </c>
      <c r="F495">
        <v>10</v>
      </c>
      <c r="G495">
        <v>2</v>
      </c>
      <c r="H495">
        <f t="shared" si="6"/>
        <v>494</v>
      </c>
    </row>
    <row r="496" spans="2:8" x14ac:dyDescent="0.25">
      <c r="B496" t="s">
        <v>192</v>
      </c>
      <c r="C496" s="11" t="s">
        <v>230</v>
      </c>
      <c r="D496" t="s">
        <v>222</v>
      </c>
      <c r="E496" s="11" t="s">
        <v>210</v>
      </c>
      <c r="F496">
        <v>10</v>
      </c>
      <c r="G496">
        <v>7</v>
      </c>
      <c r="H496">
        <f t="shared" si="6"/>
        <v>495</v>
      </c>
    </row>
    <row r="497" spans="2:8" x14ac:dyDescent="0.25">
      <c r="B497" t="s">
        <v>192</v>
      </c>
      <c r="C497" s="11" t="s">
        <v>196</v>
      </c>
      <c r="D497" t="s">
        <v>227</v>
      </c>
      <c r="E497" s="11" t="s">
        <v>231</v>
      </c>
      <c r="F497">
        <v>10</v>
      </c>
      <c r="G497">
        <v>7</v>
      </c>
      <c r="H497">
        <f t="shared" si="6"/>
        <v>496</v>
      </c>
    </row>
    <row r="498" spans="2:8" x14ac:dyDescent="0.25">
      <c r="B498" t="s">
        <v>192</v>
      </c>
      <c r="C498" s="11" t="s">
        <v>196</v>
      </c>
      <c r="D498" t="s">
        <v>227</v>
      </c>
      <c r="E498" s="11" t="s">
        <v>231</v>
      </c>
      <c r="F498">
        <v>1</v>
      </c>
      <c r="G498">
        <v>10</v>
      </c>
      <c r="H498">
        <f t="shared" si="6"/>
        <v>497</v>
      </c>
    </row>
    <row r="499" spans="2:8" x14ac:dyDescent="0.25">
      <c r="B499" t="s">
        <v>225</v>
      </c>
      <c r="C499" s="11" t="s">
        <v>230</v>
      </c>
      <c r="D499" t="s">
        <v>190</v>
      </c>
      <c r="E499" s="11" t="s">
        <v>200</v>
      </c>
      <c r="F499">
        <v>7</v>
      </c>
      <c r="G499">
        <v>10</v>
      </c>
      <c r="H499">
        <f t="shared" si="6"/>
        <v>498</v>
      </c>
    </row>
    <row r="500" spans="2:8" x14ac:dyDescent="0.25">
      <c r="B500" t="s">
        <v>225</v>
      </c>
      <c r="C500" s="11" t="s">
        <v>230</v>
      </c>
      <c r="D500" t="s">
        <v>190</v>
      </c>
      <c r="E500" s="11" t="s">
        <v>200</v>
      </c>
      <c r="F500">
        <v>6</v>
      </c>
      <c r="G500">
        <v>10</v>
      </c>
      <c r="H500">
        <f t="shared" si="6"/>
        <v>499</v>
      </c>
    </row>
    <row r="501" spans="2:8" x14ac:dyDescent="0.25">
      <c r="B501" t="s">
        <v>231</v>
      </c>
      <c r="C501" s="11" t="s">
        <v>212</v>
      </c>
      <c r="D501" t="s">
        <v>200</v>
      </c>
      <c r="E501" s="11" t="s">
        <v>190</v>
      </c>
      <c r="F501">
        <v>5</v>
      </c>
      <c r="G501">
        <v>10</v>
      </c>
      <c r="H501">
        <f t="shared" si="6"/>
        <v>500</v>
      </c>
    </row>
    <row r="502" spans="2:8" x14ac:dyDescent="0.25">
      <c r="B502" t="s">
        <v>231</v>
      </c>
      <c r="C502" s="11" t="s">
        <v>212</v>
      </c>
      <c r="D502" t="s">
        <v>200</v>
      </c>
      <c r="E502" s="11" t="s">
        <v>190</v>
      </c>
      <c r="F502">
        <v>10</v>
      </c>
      <c r="G502">
        <v>8</v>
      </c>
      <c r="H502">
        <f t="shared" si="6"/>
        <v>501</v>
      </c>
    </row>
    <row r="503" spans="2:8" x14ac:dyDescent="0.25">
      <c r="B503" t="s">
        <v>231</v>
      </c>
      <c r="C503" s="11" t="s">
        <v>230</v>
      </c>
      <c r="D503" t="s">
        <v>200</v>
      </c>
      <c r="E503" s="11" t="s">
        <v>207</v>
      </c>
      <c r="F503">
        <v>4</v>
      </c>
      <c r="G503">
        <v>10</v>
      </c>
      <c r="H503">
        <f t="shared" si="6"/>
        <v>502</v>
      </c>
    </row>
    <row r="504" spans="2:8" x14ac:dyDescent="0.25">
      <c r="B504" t="s">
        <v>231</v>
      </c>
      <c r="C504" s="11" t="s">
        <v>230</v>
      </c>
      <c r="D504" t="s">
        <v>200</v>
      </c>
      <c r="E504" s="11" t="s">
        <v>207</v>
      </c>
      <c r="F504">
        <v>10</v>
      </c>
      <c r="G504">
        <v>4</v>
      </c>
      <c r="H504">
        <f t="shared" si="6"/>
        <v>503</v>
      </c>
    </row>
    <row r="505" spans="2:8" x14ac:dyDescent="0.25">
      <c r="B505" t="s">
        <v>191</v>
      </c>
      <c r="C505" s="11" t="s">
        <v>205</v>
      </c>
      <c r="D505" t="s">
        <v>213</v>
      </c>
      <c r="E505" s="11" t="s">
        <v>218</v>
      </c>
      <c r="F505">
        <v>10</v>
      </c>
      <c r="G505">
        <v>6</v>
      </c>
      <c r="H505">
        <f t="shared" si="6"/>
        <v>504</v>
      </c>
    </row>
    <row r="506" spans="2:8" x14ac:dyDescent="0.25">
      <c r="B506" t="s">
        <v>191</v>
      </c>
      <c r="C506" s="11" t="s">
        <v>205</v>
      </c>
      <c r="D506" t="s">
        <v>213</v>
      </c>
      <c r="E506" s="11" t="s">
        <v>218</v>
      </c>
      <c r="F506">
        <v>6</v>
      </c>
      <c r="G506">
        <v>4</v>
      </c>
      <c r="H506">
        <f t="shared" si="6"/>
        <v>505</v>
      </c>
    </row>
    <row r="507" spans="2:8" x14ac:dyDescent="0.25">
      <c r="B507" t="s">
        <v>208</v>
      </c>
      <c r="C507" s="11" t="s">
        <v>225</v>
      </c>
      <c r="D507" t="s">
        <v>210</v>
      </c>
      <c r="E507" s="11" t="s">
        <v>190</v>
      </c>
      <c r="F507">
        <v>7</v>
      </c>
      <c r="G507">
        <v>10</v>
      </c>
      <c r="H507">
        <f t="shared" si="6"/>
        <v>506</v>
      </c>
    </row>
    <row r="508" spans="2:8" x14ac:dyDescent="0.25">
      <c r="B508" t="s">
        <v>208</v>
      </c>
      <c r="C508" s="11" t="s">
        <v>225</v>
      </c>
      <c r="D508" t="s">
        <v>210</v>
      </c>
      <c r="E508" s="11" t="s">
        <v>190</v>
      </c>
      <c r="F508">
        <v>5</v>
      </c>
      <c r="G508">
        <v>10</v>
      </c>
      <c r="H508">
        <f t="shared" si="6"/>
        <v>507</v>
      </c>
    </row>
    <row r="509" spans="2:8" x14ac:dyDescent="0.25">
      <c r="B509" s="41" t="s">
        <v>196</v>
      </c>
      <c r="C509" s="38" t="s">
        <v>192</v>
      </c>
      <c r="D509" s="41" t="s">
        <v>200</v>
      </c>
      <c r="E509" s="41" t="s">
        <v>230</v>
      </c>
      <c r="F509">
        <v>10</v>
      </c>
      <c r="G509">
        <v>8</v>
      </c>
      <c r="H509">
        <f t="shared" si="6"/>
        <v>508</v>
      </c>
    </row>
    <row r="510" spans="2:8" x14ac:dyDescent="0.25">
      <c r="B510" s="40" t="s">
        <v>196</v>
      </c>
      <c r="C510" s="39" t="s">
        <v>192</v>
      </c>
      <c r="D510" s="40" t="s">
        <v>200</v>
      </c>
      <c r="E510" s="40" t="s">
        <v>230</v>
      </c>
      <c r="F510">
        <v>10</v>
      </c>
      <c r="G510">
        <v>4</v>
      </c>
      <c r="H510">
        <f t="shared" si="6"/>
        <v>509</v>
      </c>
    </row>
    <row r="511" spans="2:8" x14ac:dyDescent="0.25">
      <c r="B511" t="s">
        <v>208</v>
      </c>
      <c r="C511" s="41" t="s">
        <v>224</v>
      </c>
      <c r="D511" s="41" t="s">
        <v>200</v>
      </c>
      <c r="E511" s="41" t="s">
        <v>214</v>
      </c>
      <c r="F511">
        <v>10</v>
      </c>
      <c r="G511">
        <v>7</v>
      </c>
      <c r="H511">
        <f t="shared" si="6"/>
        <v>510</v>
      </c>
    </row>
    <row r="512" spans="2:8" x14ac:dyDescent="0.25">
      <c r="B512" t="s">
        <v>208</v>
      </c>
      <c r="C512" s="41" t="s">
        <v>224</v>
      </c>
      <c r="D512" s="40" t="s">
        <v>200</v>
      </c>
      <c r="E512" s="40" t="s">
        <v>214</v>
      </c>
      <c r="F512">
        <v>10</v>
      </c>
      <c r="G512">
        <v>4</v>
      </c>
      <c r="H512">
        <f t="shared" si="6"/>
        <v>511</v>
      </c>
    </row>
    <row r="513" spans="2:8" x14ac:dyDescent="0.25">
      <c r="B513" s="38" t="s">
        <v>207</v>
      </c>
      <c r="C513" s="41" t="s">
        <v>232</v>
      </c>
      <c r="D513" s="4" t="s">
        <v>221</v>
      </c>
      <c r="E513" t="s">
        <v>233</v>
      </c>
      <c r="F513">
        <v>10</v>
      </c>
      <c r="G513">
        <v>5</v>
      </c>
      <c r="H513">
        <f t="shared" si="6"/>
        <v>512</v>
      </c>
    </row>
    <row r="514" spans="2:8" x14ac:dyDescent="0.25">
      <c r="B514" s="39" t="s">
        <v>207</v>
      </c>
      <c r="C514" s="40" t="s">
        <v>232</v>
      </c>
      <c r="D514" s="3" t="s">
        <v>221</v>
      </c>
      <c r="E514" t="s">
        <v>233</v>
      </c>
      <c r="F514">
        <v>10</v>
      </c>
      <c r="G514">
        <v>7</v>
      </c>
      <c r="H514">
        <f t="shared" ref="H514:H577" si="7">H513+1</f>
        <v>513</v>
      </c>
    </row>
    <row r="515" spans="2:8" x14ac:dyDescent="0.25">
      <c r="B515" s="38" t="s">
        <v>207</v>
      </c>
      <c r="C515" s="4" t="s">
        <v>210</v>
      </c>
      <c r="D515" s="38" t="s">
        <v>192</v>
      </c>
      <c r="E515" s="41" t="s">
        <v>230</v>
      </c>
      <c r="F515">
        <v>4</v>
      </c>
      <c r="G515">
        <v>10</v>
      </c>
      <c r="H515">
        <f t="shared" si="7"/>
        <v>514</v>
      </c>
    </row>
    <row r="516" spans="2:8" x14ac:dyDescent="0.25">
      <c r="B516" s="39" t="s">
        <v>207</v>
      </c>
      <c r="C516" s="3" t="s">
        <v>210</v>
      </c>
      <c r="D516" s="39" t="s">
        <v>192</v>
      </c>
      <c r="E516" s="40" t="s">
        <v>230</v>
      </c>
      <c r="F516">
        <v>5</v>
      </c>
      <c r="G516">
        <v>10</v>
      </c>
      <c r="H516">
        <f t="shared" si="7"/>
        <v>515</v>
      </c>
    </row>
    <row r="517" spans="2:8" x14ac:dyDescent="0.25">
      <c r="B517" s="41" t="s">
        <v>196</v>
      </c>
      <c r="C517" s="41" t="s">
        <v>200</v>
      </c>
      <c r="D517" s="38" t="s">
        <v>192</v>
      </c>
      <c r="E517" s="41" t="s">
        <v>231</v>
      </c>
      <c r="F517">
        <v>6</v>
      </c>
      <c r="G517">
        <v>10</v>
      </c>
      <c r="H517">
        <f t="shared" si="7"/>
        <v>516</v>
      </c>
    </row>
    <row r="518" spans="2:8" x14ac:dyDescent="0.25">
      <c r="B518" s="40" t="s">
        <v>196</v>
      </c>
      <c r="C518" s="40" t="s">
        <v>200</v>
      </c>
      <c r="D518" s="39" t="s">
        <v>192</v>
      </c>
      <c r="E518" s="40" t="s">
        <v>231</v>
      </c>
      <c r="F518">
        <v>4</v>
      </c>
      <c r="G518">
        <v>10</v>
      </c>
      <c r="H518">
        <f t="shared" si="7"/>
        <v>517</v>
      </c>
    </row>
    <row r="519" spans="2:8" x14ac:dyDescent="0.25">
      <c r="B519" s="38" t="s">
        <v>213</v>
      </c>
      <c r="C519" s="41" t="s">
        <v>191</v>
      </c>
      <c r="D519" s="4" t="s">
        <v>218</v>
      </c>
      <c r="E519" s="41" t="s">
        <v>206</v>
      </c>
      <c r="F519">
        <v>8</v>
      </c>
      <c r="G519">
        <v>10</v>
      </c>
      <c r="H519">
        <f t="shared" si="7"/>
        <v>518</v>
      </c>
    </row>
    <row r="520" spans="2:8" x14ac:dyDescent="0.25">
      <c r="B520" s="39" t="s">
        <v>213</v>
      </c>
      <c r="C520" s="41" t="s">
        <v>191</v>
      </c>
      <c r="D520" s="3" t="s">
        <v>218</v>
      </c>
      <c r="E520" s="40" t="s">
        <v>206</v>
      </c>
      <c r="F520">
        <v>10</v>
      </c>
      <c r="G520">
        <v>7</v>
      </c>
      <c r="H520">
        <f t="shared" si="7"/>
        <v>519</v>
      </c>
    </row>
    <row r="521" spans="2:8" x14ac:dyDescent="0.25">
      <c r="B521" s="41" t="s">
        <v>190</v>
      </c>
      <c r="C521" s="41" t="s">
        <v>214</v>
      </c>
      <c r="D521" s="41" t="s">
        <v>231</v>
      </c>
      <c r="E521" s="41" t="s">
        <v>196</v>
      </c>
      <c r="F521">
        <v>10</v>
      </c>
      <c r="G521">
        <v>3</v>
      </c>
      <c r="H521">
        <f t="shared" si="7"/>
        <v>520</v>
      </c>
    </row>
    <row r="522" spans="2:8" x14ac:dyDescent="0.25">
      <c r="B522" s="40" t="s">
        <v>190</v>
      </c>
      <c r="C522" s="40" t="s">
        <v>214</v>
      </c>
      <c r="D522" s="40" t="s">
        <v>231</v>
      </c>
      <c r="E522" s="40" t="s">
        <v>196</v>
      </c>
      <c r="F522">
        <v>10</v>
      </c>
      <c r="G522">
        <v>9</v>
      </c>
      <c r="H522">
        <f t="shared" si="7"/>
        <v>521</v>
      </c>
    </row>
    <row r="523" spans="2:8" x14ac:dyDescent="0.25">
      <c r="B523" s="41" t="s">
        <v>190</v>
      </c>
      <c r="C523" s="4" t="s">
        <v>222</v>
      </c>
      <c r="D523" s="38" t="s">
        <v>192</v>
      </c>
      <c r="E523" s="38" t="s">
        <v>208</v>
      </c>
      <c r="F523">
        <v>1</v>
      </c>
      <c r="G523">
        <v>10</v>
      </c>
      <c r="H523">
        <f t="shared" si="7"/>
        <v>522</v>
      </c>
    </row>
    <row r="524" spans="2:8" x14ac:dyDescent="0.25">
      <c r="B524" s="40" t="s">
        <v>190</v>
      </c>
      <c r="C524" s="3" t="s">
        <v>222</v>
      </c>
      <c r="D524" s="39" t="s">
        <v>192</v>
      </c>
      <c r="E524" s="39" t="s">
        <v>208</v>
      </c>
      <c r="F524">
        <v>5</v>
      </c>
      <c r="G524">
        <v>10</v>
      </c>
      <c r="H524">
        <f t="shared" si="7"/>
        <v>523</v>
      </c>
    </row>
    <row r="525" spans="2:8" x14ac:dyDescent="0.25">
      <c r="B525" s="38" t="s">
        <v>213</v>
      </c>
      <c r="C525" s="41" t="s">
        <v>191</v>
      </c>
      <c r="D525" s="4" t="s">
        <v>218</v>
      </c>
      <c r="E525" s="41" t="s">
        <v>206</v>
      </c>
      <c r="F525" s="4">
        <v>6</v>
      </c>
      <c r="G525" s="44">
        <v>2</v>
      </c>
      <c r="H525">
        <f t="shared" si="7"/>
        <v>524</v>
      </c>
    </row>
    <row r="526" spans="2:8" x14ac:dyDescent="0.25">
      <c r="B526" s="39" t="s">
        <v>213</v>
      </c>
      <c r="C526" s="40" t="s">
        <v>191</v>
      </c>
      <c r="D526" s="3" t="s">
        <v>218</v>
      </c>
      <c r="E526" s="40" t="s">
        <v>206</v>
      </c>
      <c r="F526" s="3">
        <v>6</v>
      </c>
      <c r="G526" s="43">
        <v>3</v>
      </c>
      <c r="H526">
        <f t="shared" si="7"/>
        <v>525</v>
      </c>
    </row>
    <row r="527" spans="2:8" x14ac:dyDescent="0.25">
      <c r="B527" s="41" t="s">
        <v>231</v>
      </c>
      <c r="C527" s="4" t="s">
        <v>210</v>
      </c>
      <c r="D527" s="41" t="s">
        <v>190</v>
      </c>
      <c r="E527" s="41" t="s">
        <v>230</v>
      </c>
      <c r="F527" s="4">
        <v>10</v>
      </c>
      <c r="G527" s="44">
        <v>4</v>
      </c>
      <c r="H527">
        <f t="shared" si="7"/>
        <v>526</v>
      </c>
    </row>
    <row r="528" spans="2:8" x14ac:dyDescent="0.25">
      <c r="B528" s="40" t="s">
        <v>231</v>
      </c>
      <c r="C528" s="3" t="s">
        <v>210</v>
      </c>
      <c r="D528" s="40" t="s">
        <v>190</v>
      </c>
      <c r="E528" s="40" t="s">
        <v>230</v>
      </c>
      <c r="F528" s="3">
        <v>10</v>
      </c>
      <c r="G528" s="43">
        <v>7</v>
      </c>
      <c r="H528">
        <f t="shared" si="7"/>
        <v>527</v>
      </c>
    </row>
    <row r="529" spans="2:8" x14ac:dyDescent="0.25">
      <c r="B529" s="41" t="s">
        <v>231</v>
      </c>
      <c r="C529" s="4" t="s">
        <v>207</v>
      </c>
      <c r="D529" s="41" t="s">
        <v>227</v>
      </c>
      <c r="E529" s="4" t="s">
        <v>210</v>
      </c>
      <c r="F529" s="4">
        <v>6</v>
      </c>
      <c r="G529" s="44">
        <v>10</v>
      </c>
      <c r="H529">
        <f t="shared" si="7"/>
        <v>528</v>
      </c>
    </row>
    <row r="530" spans="2:8" x14ac:dyDescent="0.25">
      <c r="B530" s="40" t="s">
        <v>231</v>
      </c>
      <c r="C530" s="4" t="s">
        <v>207</v>
      </c>
      <c r="D530" s="40" t="s">
        <v>227</v>
      </c>
      <c r="E530" s="3" t="s">
        <v>210</v>
      </c>
      <c r="F530" s="3">
        <v>10</v>
      </c>
      <c r="G530" s="43">
        <v>5</v>
      </c>
      <c r="H530">
        <f t="shared" si="7"/>
        <v>529</v>
      </c>
    </row>
    <row r="531" spans="2:8" x14ac:dyDescent="0.25">
      <c r="B531" s="38" t="s">
        <v>196</v>
      </c>
      <c r="C531" s="41" t="s">
        <v>230</v>
      </c>
      <c r="D531" s="39" t="s">
        <v>192</v>
      </c>
      <c r="E531" s="41" t="s">
        <v>222</v>
      </c>
      <c r="F531">
        <v>6</v>
      </c>
      <c r="G531">
        <v>10</v>
      </c>
      <c r="H531">
        <f t="shared" si="7"/>
        <v>530</v>
      </c>
    </row>
    <row r="532" spans="2:8" x14ac:dyDescent="0.25">
      <c r="B532" s="38" t="s">
        <v>196</v>
      </c>
      <c r="C532" s="40" t="s">
        <v>230</v>
      </c>
      <c r="D532" s="38" t="s">
        <v>192</v>
      </c>
      <c r="E532" s="40" t="s">
        <v>222</v>
      </c>
      <c r="F532">
        <v>4</v>
      </c>
      <c r="G532">
        <v>10</v>
      </c>
      <c r="H532">
        <f t="shared" si="7"/>
        <v>531</v>
      </c>
    </row>
    <row r="533" spans="2:8" x14ac:dyDescent="0.25">
      <c r="C533" s="11"/>
      <c r="E533" s="11"/>
      <c r="H533">
        <f t="shared" si="7"/>
        <v>532</v>
      </c>
    </row>
    <row r="534" spans="2:8" x14ac:dyDescent="0.25">
      <c r="C534" s="11"/>
      <c r="E534" s="11"/>
      <c r="H534">
        <f t="shared" si="7"/>
        <v>533</v>
      </c>
    </row>
    <row r="535" spans="2:8" x14ac:dyDescent="0.25">
      <c r="C535" s="11"/>
      <c r="E535" s="11"/>
      <c r="H535">
        <f t="shared" si="7"/>
        <v>534</v>
      </c>
    </row>
    <row r="536" spans="2:8" x14ac:dyDescent="0.25">
      <c r="C536" s="11"/>
      <c r="E536" s="11"/>
      <c r="H536">
        <f t="shared" si="7"/>
        <v>535</v>
      </c>
    </row>
    <row r="537" spans="2:8" x14ac:dyDescent="0.25">
      <c r="C537" s="11"/>
      <c r="E537" s="11"/>
      <c r="H537">
        <f t="shared" si="7"/>
        <v>536</v>
      </c>
    </row>
    <row r="538" spans="2:8" x14ac:dyDescent="0.25">
      <c r="C538" s="11"/>
      <c r="E538" s="11"/>
      <c r="H538">
        <f t="shared" si="7"/>
        <v>537</v>
      </c>
    </row>
    <row r="539" spans="2:8" x14ac:dyDescent="0.25">
      <c r="C539" s="11"/>
      <c r="E539" s="11"/>
      <c r="H539">
        <f t="shared" si="7"/>
        <v>538</v>
      </c>
    </row>
    <row r="540" spans="2:8" x14ac:dyDescent="0.25">
      <c r="C540" s="11"/>
      <c r="E540" s="11"/>
      <c r="H540">
        <f t="shared" si="7"/>
        <v>539</v>
      </c>
    </row>
    <row r="541" spans="2:8" x14ac:dyDescent="0.25">
      <c r="C541" s="11"/>
      <c r="E541" s="11"/>
      <c r="H541">
        <f t="shared" si="7"/>
        <v>540</v>
      </c>
    </row>
    <row r="542" spans="2:8" x14ac:dyDescent="0.25">
      <c r="C542" s="11"/>
      <c r="E542" s="11"/>
      <c r="H542">
        <f t="shared" si="7"/>
        <v>541</v>
      </c>
    </row>
    <row r="543" spans="2:8" x14ac:dyDescent="0.25">
      <c r="C543" s="11"/>
      <c r="E543" s="11"/>
      <c r="H543">
        <f t="shared" si="7"/>
        <v>542</v>
      </c>
    </row>
    <row r="544" spans="2:8" x14ac:dyDescent="0.25">
      <c r="C544" s="11"/>
      <c r="E544" s="11"/>
      <c r="H544">
        <f t="shared" si="7"/>
        <v>543</v>
      </c>
    </row>
    <row r="545" spans="3:8" x14ac:dyDescent="0.25">
      <c r="C545" s="11"/>
      <c r="E545" s="11"/>
      <c r="H545">
        <f t="shared" si="7"/>
        <v>544</v>
      </c>
    </row>
    <row r="546" spans="3:8" x14ac:dyDescent="0.25">
      <c r="C546" s="11"/>
      <c r="E546" s="11"/>
      <c r="H546">
        <f t="shared" si="7"/>
        <v>545</v>
      </c>
    </row>
    <row r="547" spans="3:8" x14ac:dyDescent="0.25">
      <c r="C547" s="11"/>
      <c r="E547" s="11"/>
      <c r="H547">
        <f t="shared" si="7"/>
        <v>546</v>
      </c>
    </row>
    <row r="548" spans="3:8" x14ac:dyDescent="0.25">
      <c r="C548" s="11"/>
      <c r="E548" s="11"/>
      <c r="H548">
        <f t="shared" si="7"/>
        <v>547</v>
      </c>
    </row>
    <row r="549" spans="3:8" x14ac:dyDescent="0.25">
      <c r="C549" s="11"/>
      <c r="E549" s="11"/>
      <c r="H549">
        <f t="shared" si="7"/>
        <v>548</v>
      </c>
    </row>
    <row r="550" spans="3:8" x14ac:dyDescent="0.25">
      <c r="C550" s="11"/>
      <c r="E550" s="11"/>
      <c r="H550">
        <f t="shared" si="7"/>
        <v>549</v>
      </c>
    </row>
    <row r="551" spans="3:8" x14ac:dyDescent="0.25">
      <c r="C551" s="11"/>
      <c r="E551" s="11"/>
      <c r="H551">
        <f t="shared" si="7"/>
        <v>550</v>
      </c>
    </row>
    <row r="552" spans="3:8" x14ac:dyDescent="0.25">
      <c r="C552" s="11"/>
      <c r="E552" s="11"/>
      <c r="H552">
        <f t="shared" si="7"/>
        <v>551</v>
      </c>
    </row>
    <row r="553" spans="3:8" x14ac:dyDescent="0.25">
      <c r="C553" s="11"/>
      <c r="E553" s="11"/>
      <c r="H553">
        <f t="shared" si="7"/>
        <v>552</v>
      </c>
    </row>
    <row r="554" spans="3:8" x14ac:dyDescent="0.25">
      <c r="C554" s="11"/>
      <c r="E554" s="11"/>
      <c r="H554">
        <f t="shared" si="7"/>
        <v>553</v>
      </c>
    </row>
    <row r="555" spans="3:8" x14ac:dyDescent="0.25">
      <c r="C555" s="11"/>
      <c r="E555" s="11"/>
      <c r="H555">
        <f t="shared" si="7"/>
        <v>554</v>
      </c>
    </row>
    <row r="556" spans="3:8" x14ac:dyDescent="0.25">
      <c r="C556" s="11"/>
      <c r="E556" s="11"/>
      <c r="H556">
        <f t="shared" si="7"/>
        <v>555</v>
      </c>
    </row>
    <row r="557" spans="3:8" x14ac:dyDescent="0.25">
      <c r="C557" s="11"/>
      <c r="E557" s="11"/>
      <c r="H557">
        <f t="shared" si="7"/>
        <v>556</v>
      </c>
    </row>
    <row r="558" spans="3:8" x14ac:dyDescent="0.25">
      <c r="C558" s="11"/>
      <c r="E558" s="11"/>
      <c r="H558">
        <f t="shared" si="7"/>
        <v>557</v>
      </c>
    </row>
    <row r="559" spans="3:8" x14ac:dyDescent="0.25">
      <c r="C559" s="11"/>
      <c r="E559" s="11"/>
      <c r="H559">
        <f t="shared" si="7"/>
        <v>558</v>
      </c>
    </row>
    <row r="560" spans="3:8" x14ac:dyDescent="0.25">
      <c r="C560" s="11"/>
      <c r="E560" s="11"/>
      <c r="H560">
        <f t="shared" si="7"/>
        <v>559</v>
      </c>
    </row>
    <row r="561" spans="3:8" x14ac:dyDescent="0.25">
      <c r="C561" s="11"/>
      <c r="E561" s="11"/>
      <c r="H561">
        <f t="shared" si="7"/>
        <v>560</v>
      </c>
    </row>
    <row r="562" spans="3:8" x14ac:dyDescent="0.25">
      <c r="C562" s="11"/>
      <c r="E562" s="11"/>
      <c r="H562">
        <f t="shared" si="7"/>
        <v>561</v>
      </c>
    </row>
    <row r="563" spans="3:8" x14ac:dyDescent="0.25">
      <c r="C563" s="11"/>
      <c r="E563" s="11"/>
      <c r="H563">
        <f t="shared" si="7"/>
        <v>562</v>
      </c>
    </row>
    <row r="564" spans="3:8" x14ac:dyDescent="0.25">
      <c r="C564" s="11"/>
      <c r="E564" s="11"/>
      <c r="H564">
        <f t="shared" si="7"/>
        <v>563</v>
      </c>
    </row>
    <row r="565" spans="3:8" x14ac:dyDescent="0.25">
      <c r="C565" s="11"/>
      <c r="E565" s="11"/>
      <c r="H565">
        <f t="shared" si="7"/>
        <v>564</v>
      </c>
    </row>
    <row r="566" spans="3:8" x14ac:dyDescent="0.25">
      <c r="C566" s="11"/>
      <c r="E566" s="11"/>
      <c r="H566">
        <f t="shared" si="7"/>
        <v>565</v>
      </c>
    </row>
    <row r="567" spans="3:8" x14ac:dyDescent="0.25">
      <c r="C567" s="11"/>
      <c r="E567" s="11"/>
      <c r="H567">
        <f t="shared" si="7"/>
        <v>566</v>
      </c>
    </row>
    <row r="568" spans="3:8" x14ac:dyDescent="0.25">
      <c r="C568" s="11"/>
      <c r="E568" s="11"/>
      <c r="H568">
        <f t="shared" si="7"/>
        <v>567</v>
      </c>
    </row>
    <row r="569" spans="3:8" x14ac:dyDescent="0.25">
      <c r="C569" s="11"/>
      <c r="E569" s="11"/>
      <c r="H569">
        <f t="shared" si="7"/>
        <v>568</v>
      </c>
    </row>
    <row r="570" spans="3:8" x14ac:dyDescent="0.25">
      <c r="C570" s="11"/>
      <c r="E570" s="11"/>
      <c r="H570">
        <f t="shared" si="7"/>
        <v>569</v>
      </c>
    </row>
    <row r="571" spans="3:8" x14ac:dyDescent="0.25">
      <c r="C571" s="11"/>
      <c r="E571" s="11"/>
      <c r="H571">
        <f t="shared" si="7"/>
        <v>570</v>
      </c>
    </row>
    <row r="572" spans="3:8" x14ac:dyDescent="0.25">
      <c r="C572" s="11"/>
      <c r="E572" s="11"/>
      <c r="H572">
        <f t="shared" si="7"/>
        <v>571</v>
      </c>
    </row>
    <row r="573" spans="3:8" x14ac:dyDescent="0.25">
      <c r="C573" s="11"/>
      <c r="E573" s="11"/>
      <c r="H573">
        <f t="shared" si="7"/>
        <v>572</v>
      </c>
    </row>
    <row r="574" spans="3:8" x14ac:dyDescent="0.25">
      <c r="C574" s="11"/>
      <c r="E574" s="11"/>
      <c r="H574">
        <f t="shared" si="7"/>
        <v>573</v>
      </c>
    </row>
    <row r="575" spans="3:8" x14ac:dyDescent="0.25">
      <c r="C575" s="11"/>
      <c r="E575" s="11"/>
      <c r="H575">
        <f t="shared" si="7"/>
        <v>574</v>
      </c>
    </row>
    <row r="576" spans="3:8" x14ac:dyDescent="0.25">
      <c r="C576" s="11"/>
      <c r="E576" s="11"/>
      <c r="H576">
        <f t="shared" si="7"/>
        <v>575</v>
      </c>
    </row>
    <row r="577" spans="3:8" x14ac:dyDescent="0.25">
      <c r="C577" s="11"/>
      <c r="E577" s="11"/>
      <c r="H577">
        <f t="shared" si="7"/>
        <v>576</v>
      </c>
    </row>
    <row r="578" spans="3:8" x14ac:dyDescent="0.25">
      <c r="C578" s="11"/>
      <c r="E578" s="11"/>
      <c r="H578">
        <f t="shared" ref="H578:H641" si="8">H577+1</f>
        <v>577</v>
      </c>
    </row>
    <row r="579" spans="3:8" x14ac:dyDescent="0.25">
      <c r="C579" s="11"/>
      <c r="E579" s="11"/>
      <c r="H579">
        <f t="shared" si="8"/>
        <v>578</v>
      </c>
    </row>
    <row r="580" spans="3:8" x14ac:dyDescent="0.25">
      <c r="C580" s="11"/>
      <c r="E580" s="11"/>
      <c r="H580">
        <f t="shared" si="8"/>
        <v>579</v>
      </c>
    </row>
    <row r="581" spans="3:8" x14ac:dyDescent="0.25">
      <c r="C581" s="11"/>
      <c r="E581" s="11"/>
      <c r="H581">
        <f t="shared" si="8"/>
        <v>580</v>
      </c>
    </row>
    <row r="582" spans="3:8" x14ac:dyDescent="0.25">
      <c r="C582" s="11"/>
      <c r="E582" s="11"/>
      <c r="H582">
        <f t="shared" si="8"/>
        <v>581</v>
      </c>
    </row>
    <row r="583" spans="3:8" x14ac:dyDescent="0.25">
      <c r="C583" s="11"/>
      <c r="E583" s="11"/>
      <c r="H583">
        <f t="shared" si="8"/>
        <v>582</v>
      </c>
    </row>
    <row r="584" spans="3:8" x14ac:dyDescent="0.25">
      <c r="C584" s="11"/>
      <c r="E584" s="11"/>
      <c r="H584">
        <f t="shared" si="8"/>
        <v>583</v>
      </c>
    </row>
    <row r="585" spans="3:8" x14ac:dyDescent="0.25">
      <c r="C585" s="11"/>
      <c r="E585" s="11"/>
      <c r="H585">
        <f t="shared" si="8"/>
        <v>584</v>
      </c>
    </row>
    <row r="586" spans="3:8" x14ac:dyDescent="0.25">
      <c r="C586" s="11"/>
      <c r="E586" s="11"/>
      <c r="H586">
        <f t="shared" si="8"/>
        <v>585</v>
      </c>
    </row>
    <row r="587" spans="3:8" x14ac:dyDescent="0.25">
      <c r="C587" s="11"/>
      <c r="E587" s="11"/>
      <c r="H587">
        <f t="shared" si="8"/>
        <v>586</v>
      </c>
    </row>
    <row r="588" spans="3:8" x14ac:dyDescent="0.25">
      <c r="C588" s="11"/>
      <c r="E588" s="11"/>
      <c r="H588">
        <f t="shared" si="8"/>
        <v>587</v>
      </c>
    </row>
    <row r="589" spans="3:8" x14ac:dyDescent="0.25">
      <c r="C589" s="11"/>
      <c r="E589" s="11"/>
      <c r="H589">
        <f t="shared" si="8"/>
        <v>588</v>
      </c>
    </row>
    <row r="590" spans="3:8" x14ac:dyDescent="0.25">
      <c r="C590" s="11"/>
      <c r="E590" s="11"/>
      <c r="H590">
        <f t="shared" si="8"/>
        <v>589</v>
      </c>
    </row>
    <row r="591" spans="3:8" x14ac:dyDescent="0.25">
      <c r="C591" s="11"/>
      <c r="E591" s="11"/>
      <c r="H591">
        <f t="shared" si="8"/>
        <v>590</v>
      </c>
    </row>
    <row r="592" spans="3:8" x14ac:dyDescent="0.25">
      <c r="C592" s="11"/>
      <c r="E592" s="11"/>
      <c r="H592">
        <f t="shared" si="8"/>
        <v>591</v>
      </c>
    </row>
    <row r="593" spans="3:8" x14ac:dyDescent="0.25">
      <c r="C593" s="11"/>
      <c r="E593" s="11"/>
      <c r="H593">
        <f t="shared" si="8"/>
        <v>592</v>
      </c>
    </row>
    <row r="594" spans="3:8" x14ac:dyDescent="0.25">
      <c r="C594" s="11"/>
      <c r="E594" s="11"/>
      <c r="H594">
        <f t="shared" si="8"/>
        <v>593</v>
      </c>
    </row>
    <row r="595" spans="3:8" x14ac:dyDescent="0.25">
      <c r="C595" s="11"/>
      <c r="E595" s="11"/>
      <c r="H595">
        <f t="shared" si="8"/>
        <v>594</v>
      </c>
    </row>
    <row r="596" spans="3:8" x14ac:dyDescent="0.25">
      <c r="C596" s="11"/>
      <c r="E596" s="11"/>
      <c r="H596">
        <f t="shared" si="8"/>
        <v>595</v>
      </c>
    </row>
    <row r="597" spans="3:8" x14ac:dyDescent="0.25">
      <c r="C597" s="11"/>
      <c r="E597" s="11"/>
      <c r="H597">
        <f t="shared" si="8"/>
        <v>596</v>
      </c>
    </row>
    <row r="598" spans="3:8" x14ac:dyDescent="0.25">
      <c r="C598" s="11"/>
      <c r="E598" s="11"/>
      <c r="H598">
        <f t="shared" si="8"/>
        <v>597</v>
      </c>
    </row>
    <row r="599" spans="3:8" x14ac:dyDescent="0.25">
      <c r="C599" s="11"/>
      <c r="E599" s="11"/>
      <c r="H599">
        <f t="shared" si="8"/>
        <v>598</v>
      </c>
    </row>
    <row r="600" spans="3:8" x14ac:dyDescent="0.25">
      <c r="C600" s="11"/>
      <c r="E600" s="11"/>
      <c r="H600">
        <f t="shared" si="8"/>
        <v>599</v>
      </c>
    </row>
    <row r="601" spans="3:8" x14ac:dyDescent="0.25">
      <c r="C601" s="11"/>
      <c r="E601" s="11"/>
      <c r="H601">
        <f t="shared" si="8"/>
        <v>600</v>
      </c>
    </row>
    <row r="602" spans="3:8" x14ac:dyDescent="0.25">
      <c r="C602" s="11"/>
      <c r="E602" s="11"/>
      <c r="H602">
        <f t="shared" si="8"/>
        <v>601</v>
      </c>
    </row>
    <row r="603" spans="3:8" x14ac:dyDescent="0.25">
      <c r="C603" s="11"/>
      <c r="E603" s="11"/>
      <c r="H603">
        <f t="shared" si="8"/>
        <v>602</v>
      </c>
    </row>
    <row r="604" spans="3:8" x14ac:dyDescent="0.25">
      <c r="C604" s="11"/>
      <c r="E604" s="11"/>
      <c r="H604">
        <f t="shared" si="8"/>
        <v>603</v>
      </c>
    </row>
    <row r="605" spans="3:8" x14ac:dyDescent="0.25">
      <c r="C605" s="11"/>
      <c r="E605" s="11"/>
      <c r="H605">
        <f t="shared" si="8"/>
        <v>604</v>
      </c>
    </row>
    <row r="606" spans="3:8" x14ac:dyDescent="0.25">
      <c r="C606" s="11"/>
      <c r="E606" s="11"/>
      <c r="H606">
        <f t="shared" si="8"/>
        <v>605</v>
      </c>
    </row>
    <row r="607" spans="3:8" x14ac:dyDescent="0.25">
      <c r="C607" s="11"/>
      <c r="E607" s="11"/>
      <c r="H607">
        <f t="shared" si="8"/>
        <v>606</v>
      </c>
    </row>
    <row r="608" spans="3:8" x14ac:dyDescent="0.25">
      <c r="C608" s="11"/>
      <c r="E608" s="11"/>
      <c r="H608">
        <f t="shared" si="8"/>
        <v>607</v>
      </c>
    </row>
    <row r="609" spans="3:8" x14ac:dyDescent="0.25">
      <c r="C609" s="11"/>
      <c r="E609" s="11"/>
      <c r="H609">
        <f t="shared" si="8"/>
        <v>608</v>
      </c>
    </row>
    <row r="610" spans="3:8" x14ac:dyDescent="0.25">
      <c r="C610" s="11"/>
      <c r="E610" s="11"/>
      <c r="H610">
        <f t="shared" si="8"/>
        <v>609</v>
      </c>
    </row>
    <row r="611" spans="3:8" x14ac:dyDescent="0.25">
      <c r="C611" s="11"/>
      <c r="E611" s="11"/>
      <c r="H611">
        <f t="shared" si="8"/>
        <v>610</v>
      </c>
    </row>
    <row r="612" spans="3:8" x14ac:dyDescent="0.25">
      <c r="C612" s="11"/>
      <c r="E612" s="11"/>
      <c r="H612">
        <f t="shared" si="8"/>
        <v>611</v>
      </c>
    </row>
    <row r="613" spans="3:8" x14ac:dyDescent="0.25">
      <c r="C613" s="11"/>
      <c r="E613" s="11"/>
      <c r="H613">
        <f t="shared" si="8"/>
        <v>612</v>
      </c>
    </row>
    <row r="614" spans="3:8" x14ac:dyDescent="0.25">
      <c r="C614" s="11"/>
      <c r="E614" s="11"/>
      <c r="H614">
        <f t="shared" si="8"/>
        <v>613</v>
      </c>
    </row>
    <row r="615" spans="3:8" x14ac:dyDescent="0.25">
      <c r="C615" s="11"/>
      <c r="E615" s="11"/>
      <c r="H615">
        <f t="shared" si="8"/>
        <v>614</v>
      </c>
    </row>
    <row r="616" spans="3:8" x14ac:dyDescent="0.25">
      <c r="C616" s="11"/>
      <c r="E616" s="11"/>
      <c r="H616">
        <f t="shared" si="8"/>
        <v>615</v>
      </c>
    </row>
    <row r="617" spans="3:8" x14ac:dyDescent="0.25">
      <c r="C617" s="11"/>
      <c r="E617" s="11"/>
      <c r="H617">
        <f t="shared" si="8"/>
        <v>616</v>
      </c>
    </row>
    <row r="618" spans="3:8" x14ac:dyDescent="0.25">
      <c r="C618" s="11"/>
      <c r="E618" s="11"/>
      <c r="H618">
        <f t="shared" si="8"/>
        <v>617</v>
      </c>
    </row>
    <row r="619" spans="3:8" x14ac:dyDescent="0.25">
      <c r="C619" s="11"/>
      <c r="E619" s="11"/>
      <c r="H619">
        <f t="shared" si="8"/>
        <v>618</v>
      </c>
    </row>
    <row r="620" spans="3:8" x14ac:dyDescent="0.25">
      <c r="C620" s="11"/>
      <c r="E620" s="11"/>
      <c r="H620">
        <f t="shared" si="8"/>
        <v>619</v>
      </c>
    </row>
    <row r="621" spans="3:8" x14ac:dyDescent="0.25">
      <c r="C621" s="11"/>
      <c r="E621" s="11"/>
      <c r="H621">
        <f t="shared" si="8"/>
        <v>620</v>
      </c>
    </row>
    <row r="622" spans="3:8" x14ac:dyDescent="0.25">
      <c r="C622" s="11"/>
      <c r="E622" s="11"/>
      <c r="H622">
        <f t="shared" si="8"/>
        <v>621</v>
      </c>
    </row>
    <row r="623" spans="3:8" x14ac:dyDescent="0.25">
      <c r="C623" s="11"/>
      <c r="E623" s="11"/>
      <c r="H623">
        <f t="shared" si="8"/>
        <v>622</v>
      </c>
    </row>
    <row r="624" spans="3:8" x14ac:dyDescent="0.25">
      <c r="C624" s="11"/>
      <c r="E624" s="11"/>
      <c r="H624">
        <f t="shared" si="8"/>
        <v>623</v>
      </c>
    </row>
    <row r="625" spans="3:8" x14ac:dyDescent="0.25">
      <c r="C625" s="11"/>
      <c r="E625" s="11"/>
      <c r="H625">
        <f t="shared" si="8"/>
        <v>624</v>
      </c>
    </row>
    <row r="626" spans="3:8" x14ac:dyDescent="0.25">
      <c r="C626" s="11"/>
      <c r="E626" s="11"/>
      <c r="H626">
        <f t="shared" si="8"/>
        <v>625</v>
      </c>
    </row>
    <row r="627" spans="3:8" x14ac:dyDescent="0.25">
      <c r="C627" s="11"/>
      <c r="E627" s="11"/>
      <c r="H627">
        <f t="shared" si="8"/>
        <v>626</v>
      </c>
    </row>
    <row r="628" spans="3:8" x14ac:dyDescent="0.25">
      <c r="C628" s="11"/>
      <c r="E628" s="11"/>
      <c r="H628">
        <f t="shared" si="8"/>
        <v>627</v>
      </c>
    </row>
    <row r="629" spans="3:8" x14ac:dyDescent="0.25">
      <c r="C629" s="11"/>
      <c r="E629" s="11"/>
      <c r="H629">
        <f t="shared" si="8"/>
        <v>628</v>
      </c>
    </row>
    <row r="630" spans="3:8" x14ac:dyDescent="0.25">
      <c r="C630" s="11"/>
      <c r="E630" s="11"/>
      <c r="H630">
        <f t="shared" si="8"/>
        <v>629</v>
      </c>
    </row>
    <row r="631" spans="3:8" x14ac:dyDescent="0.25">
      <c r="C631" s="11"/>
      <c r="E631" s="11"/>
      <c r="H631">
        <f t="shared" si="8"/>
        <v>630</v>
      </c>
    </row>
    <row r="632" spans="3:8" x14ac:dyDescent="0.25">
      <c r="C632" s="11"/>
      <c r="E632" s="11"/>
      <c r="H632">
        <f t="shared" si="8"/>
        <v>631</v>
      </c>
    </row>
    <row r="633" spans="3:8" x14ac:dyDescent="0.25">
      <c r="C633" s="11"/>
      <c r="E633" s="11"/>
      <c r="H633">
        <f t="shared" si="8"/>
        <v>632</v>
      </c>
    </row>
    <row r="634" spans="3:8" x14ac:dyDescent="0.25">
      <c r="C634" s="11"/>
      <c r="E634" s="11"/>
      <c r="H634">
        <f t="shared" si="8"/>
        <v>633</v>
      </c>
    </row>
    <row r="635" spans="3:8" x14ac:dyDescent="0.25">
      <c r="C635" s="11"/>
      <c r="E635" s="11"/>
      <c r="H635">
        <f t="shared" si="8"/>
        <v>634</v>
      </c>
    </row>
    <row r="636" spans="3:8" x14ac:dyDescent="0.25">
      <c r="C636" s="11"/>
      <c r="E636" s="11"/>
      <c r="H636">
        <f t="shared" si="8"/>
        <v>635</v>
      </c>
    </row>
    <row r="637" spans="3:8" x14ac:dyDescent="0.25">
      <c r="C637" s="11"/>
      <c r="E637" s="11"/>
      <c r="H637">
        <f t="shared" si="8"/>
        <v>636</v>
      </c>
    </row>
    <row r="638" spans="3:8" x14ac:dyDescent="0.25">
      <c r="C638" s="11"/>
      <c r="E638" s="11"/>
      <c r="H638">
        <f t="shared" si="8"/>
        <v>637</v>
      </c>
    </row>
    <row r="639" spans="3:8" x14ac:dyDescent="0.25">
      <c r="C639" s="11"/>
      <c r="E639" s="11"/>
      <c r="H639">
        <f t="shared" si="8"/>
        <v>638</v>
      </c>
    </row>
    <row r="640" spans="3:8" x14ac:dyDescent="0.25">
      <c r="C640" s="11"/>
      <c r="E640" s="11"/>
      <c r="H640">
        <f t="shared" si="8"/>
        <v>639</v>
      </c>
    </row>
    <row r="641" spans="3:8" x14ac:dyDescent="0.25">
      <c r="C641" s="11"/>
      <c r="E641" s="11"/>
      <c r="H641">
        <f t="shared" si="8"/>
        <v>640</v>
      </c>
    </row>
    <row r="642" spans="3:8" x14ac:dyDescent="0.25">
      <c r="C642" s="11"/>
      <c r="E642" s="11"/>
      <c r="H642">
        <f t="shared" ref="H642:H693" si="9">H641+1</f>
        <v>641</v>
      </c>
    </row>
    <row r="643" spans="3:8" x14ac:dyDescent="0.25">
      <c r="C643" s="11"/>
      <c r="E643" s="11"/>
      <c r="H643">
        <f t="shared" si="9"/>
        <v>642</v>
      </c>
    </row>
    <row r="644" spans="3:8" x14ac:dyDescent="0.25">
      <c r="C644" s="11"/>
      <c r="E644" s="11"/>
      <c r="H644">
        <f t="shared" si="9"/>
        <v>643</v>
      </c>
    </row>
    <row r="645" spans="3:8" x14ac:dyDescent="0.25">
      <c r="C645" s="11"/>
      <c r="E645" s="11"/>
      <c r="H645">
        <f t="shared" si="9"/>
        <v>644</v>
      </c>
    </row>
    <row r="646" spans="3:8" x14ac:dyDescent="0.25">
      <c r="C646" s="11"/>
      <c r="E646" s="11"/>
      <c r="H646">
        <f t="shared" si="9"/>
        <v>645</v>
      </c>
    </row>
    <row r="647" spans="3:8" x14ac:dyDescent="0.25">
      <c r="C647" s="11"/>
      <c r="E647" s="11"/>
      <c r="H647">
        <f t="shared" si="9"/>
        <v>646</v>
      </c>
    </row>
    <row r="648" spans="3:8" x14ac:dyDescent="0.25">
      <c r="C648" s="11"/>
      <c r="E648" s="11"/>
      <c r="H648">
        <f t="shared" si="9"/>
        <v>647</v>
      </c>
    </row>
    <row r="649" spans="3:8" x14ac:dyDescent="0.25">
      <c r="C649" s="11"/>
      <c r="E649" s="11"/>
      <c r="H649">
        <f t="shared" si="9"/>
        <v>648</v>
      </c>
    </row>
    <row r="650" spans="3:8" x14ac:dyDescent="0.25">
      <c r="C650" s="11"/>
      <c r="E650" s="11"/>
      <c r="H650">
        <f t="shared" si="9"/>
        <v>649</v>
      </c>
    </row>
    <row r="651" spans="3:8" x14ac:dyDescent="0.25">
      <c r="C651" s="11"/>
      <c r="E651" s="11"/>
      <c r="H651">
        <f t="shared" si="9"/>
        <v>650</v>
      </c>
    </row>
    <row r="652" spans="3:8" x14ac:dyDescent="0.25">
      <c r="C652" s="11"/>
      <c r="E652" s="11"/>
      <c r="H652">
        <f t="shared" si="9"/>
        <v>651</v>
      </c>
    </row>
    <row r="653" spans="3:8" x14ac:dyDescent="0.25">
      <c r="C653" s="11"/>
      <c r="E653" s="11"/>
      <c r="H653">
        <f t="shared" si="9"/>
        <v>652</v>
      </c>
    </row>
    <row r="654" spans="3:8" x14ac:dyDescent="0.25">
      <c r="C654" s="11"/>
      <c r="E654" s="11"/>
      <c r="H654">
        <f t="shared" si="9"/>
        <v>653</v>
      </c>
    </row>
    <row r="655" spans="3:8" x14ac:dyDescent="0.25">
      <c r="C655" s="11"/>
      <c r="E655" s="11"/>
      <c r="H655">
        <f t="shared" si="9"/>
        <v>654</v>
      </c>
    </row>
    <row r="656" spans="3:8" x14ac:dyDescent="0.25">
      <c r="C656" s="11"/>
      <c r="E656" s="11"/>
      <c r="H656">
        <f t="shared" si="9"/>
        <v>655</v>
      </c>
    </row>
    <row r="657" spans="3:8" x14ac:dyDescent="0.25">
      <c r="C657" s="11"/>
      <c r="E657" s="11"/>
      <c r="H657">
        <f t="shared" si="9"/>
        <v>656</v>
      </c>
    </row>
    <row r="658" spans="3:8" x14ac:dyDescent="0.25">
      <c r="C658" s="11"/>
      <c r="E658" s="11"/>
      <c r="H658">
        <f t="shared" si="9"/>
        <v>657</v>
      </c>
    </row>
    <row r="659" spans="3:8" x14ac:dyDescent="0.25">
      <c r="C659" s="11"/>
      <c r="E659" s="11"/>
      <c r="H659">
        <f t="shared" si="9"/>
        <v>658</v>
      </c>
    </row>
    <row r="660" spans="3:8" x14ac:dyDescent="0.25">
      <c r="C660" s="11"/>
      <c r="E660" s="11"/>
      <c r="H660">
        <f t="shared" si="9"/>
        <v>659</v>
      </c>
    </row>
    <row r="661" spans="3:8" x14ac:dyDescent="0.25">
      <c r="C661" s="11"/>
      <c r="E661" s="11"/>
      <c r="H661">
        <f t="shared" si="9"/>
        <v>660</v>
      </c>
    </row>
    <row r="662" spans="3:8" x14ac:dyDescent="0.25">
      <c r="C662" s="11"/>
      <c r="E662" s="11"/>
      <c r="H662">
        <f t="shared" si="9"/>
        <v>661</v>
      </c>
    </row>
    <row r="663" spans="3:8" x14ac:dyDescent="0.25">
      <c r="C663" s="11"/>
      <c r="E663" s="11"/>
      <c r="H663">
        <f t="shared" si="9"/>
        <v>662</v>
      </c>
    </row>
    <row r="664" spans="3:8" x14ac:dyDescent="0.25">
      <c r="C664" s="11"/>
      <c r="E664" s="11"/>
      <c r="H664">
        <f t="shared" si="9"/>
        <v>663</v>
      </c>
    </row>
    <row r="665" spans="3:8" x14ac:dyDescent="0.25">
      <c r="C665" s="11"/>
      <c r="E665" s="11"/>
      <c r="H665">
        <f t="shared" si="9"/>
        <v>664</v>
      </c>
    </row>
    <row r="666" spans="3:8" x14ac:dyDescent="0.25">
      <c r="C666" s="11"/>
      <c r="E666" s="11"/>
      <c r="H666">
        <f t="shared" si="9"/>
        <v>665</v>
      </c>
    </row>
    <row r="667" spans="3:8" x14ac:dyDescent="0.25">
      <c r="C667" s="11"/>
      <c r="E667" s="11"/>
      <c r="H667">
        <f t="shared" si="9"/>
        <v>666</v>
      </c>
    </row>
    <row r="668" spans="3:8" x14ac:dyDescent="0.25">
      <c r="C668" s="11"/>
      <c r="E668" s="11"/>
      <c r="H668">
        <f t="shared" si="9"/>
        <v>667</v>
      </c>
    </row>
    <row r="669" spans="3:8" x14ac:dyDescent="0.25">
      <c r="C669" s="11"/>
      <c r="E669" s="11"/>
      <c r="H669">
        <f t="shared" si="9"/>
        <v>668</v>
      </c>
    </row>
    <row r="670" spans="3:8" x14ac:dyDescent="0.25">
      <c r="C670" s="11"/>
      <c r="E670" s="11"/>
      <c r="H670">
        <f t="shared" si="9"/>
        <v>669</v>
      </c>
    </row>
    <row r="671" spans="3:8" x14ac:dyDescent="0.25">
      <c r="C671" s="11"/>
      <c r="E671" s="11"/>
      <c r="H671">
        <f t="shared" si="9"/>
        <v>670</v>
      </c>
    </row>
    <row r="672" spans="3:8" x14ac:dyDescent="0.25">
      <c r="C672" s="11"/>
      <c r="E672" s="11"/>
      <c r="H672">
        <f t="shared" si="9"/>
        <v>671</v>
      </c>
    </row>
    <row r="673" spans="3:8" x14ac:dyDescent="0.25">
      <c r="C673" s="11"/>
      <c r="E673" s="11"/>
      <c r="H673">
        <f t="shared" si="9"/>
        <v>672</v>
      </c>
    </row>
    <row r="674" spans="3:8" x14ac:dyDescent="0.25">
      <c r="C674" s="11"/>
      <c r="E674" s="11"/>
      <c r="H674">
        <f t="shared" si="9"/>
        <v>673</v>
      </c>
    </row>
    <row r="675" spans="3:8" x14ac:dyDescent="0.25">
      <c r="C675" s="11"/>
      <c r="E675" s="11"/>
      <c r="H675">
        <f t="shared" si="9"/>
        <v>674</v>
      </c>
    </row>
    <row r="676" spans="3:8" x14ac:dyDescent="0.25">
      <c r="C676" s="11"/>
      <c r="E676" s="11"/>
      <c r="H676">
        <f t="shared" si="9"/>
        <v>675</v>
      </c>
    </row>
    <row r="677" spans="3:8" x14ac:dyDescent="0.25">
      <c r="C677" s="11"/>
      <c r="E677" s="11"/>
      <c r="H677">
        <f t="shared" si="9"/>
        <v>676</v>
      </c>
    </row>
    <row r="678" spans="3:8" x14ac:dyDescent="0.25">
      <c r="C678" s="11"/>
      <c r="E678" s="11"/>
      <c r="H678">
        <f t="shared" si="9"/>
        <v>677</v>
      </c>
    </row>
    <row r="679" spans="3:8" x14ac:dyDescent="0.25">
      <c r="C679" s="11"/>
      <c r="E679" s="11"/>
      <c r="H679">
        <f t="shared" si="9"/>
        <v>678</v>
      </c>
    </row>
    <row r="680" spans="3:8" x14ac:dyDescent="0.25">
      <c r="C680" s="11"/>
      <c r="E680" s="11"/>
      <c r="H680">
        <f t="shared" si="9"/>
        <v>679</v>
      </c>
    </row>
    <row r="681" spans="3:8" x14ac:dyDescent="0.25">
      <c r="C681" s="11"/>
      <c r="E681" s="11"/>
      <c r="H681">
        <f t="shared" si="9"/>
        <v>680</v>
      </c>
    </row>
    <row r="682" spans="3:8" x14ac:dyDescent="0.25">
      <c r="C682" s="11"/>
      <c r="E682" s="11"/>
      <c r="H682">
        <f t="shared" si="9"/>
        <v>681</v>
      </c>
    </row>
    <row r="683" spans="3:8" x14ac:dyDescent="0.25">
      <c r="C683" s="11"/>
      <c r="E683" s="11"/>
      <c r="H683">
        <f t="shared" si="9"/>
        <v>682</v>
      </c>
    </row>
    <row r="684" spans="3:8" x14ac:dyDescent="0.25">
      <c r="C684" s="11"/>
      <c r="E684" s="11"/>
      <c r="H684">
        <f t="shared" si="9"/>
        <v>683</v>
      </c>
    </row>
    <row r="685" spans="3:8" x14ac:dyDescent="0.25">
      <c r="C685" s="11"/>
      <c r="E685" s="11"/>
      <c r="H685">
        <f t="shared" si="9"/>
        <v>684</v>
      </c>
    </row>
    <row r="686" spans="3:8" x14ac:dyDescent="0.25">
      <c r="C686" s="11"/>
      <c r="E686" s="11"/>
      <c r="H686">
        <f t="shared" si="9"/>
        <v>685</v>
      </c>
    </row>
    <row r="687" spans="3:8" x14ac:dyDescent="0.25">
      <c r="C687" s="11"/>
      <c r="E687" s="11"/>
      <c r="H687">
        <f t="shared" si="9"/>
        <v>686</v>
      </c>
    </row>
    <row r="688" spans="3:8" x14ac:dyDescent="0.25">
      <c r="C688" s="11"/>
      <c r="E688" s="11"/>
      <c r="H688">
        <f t="shared" si="9"/>
        <v>687</v>
      </c>
    </row>
    <row r="689" spans="3:8" x14ac:dyDescent="0.25">
      <c r="C689" s="11"/>
      <c r="E689" s="11"/>
      <c r="H689">
        <f t="shared" si="9"/>
        <v>688</v>
      </c>
    </row>
    <row r="690" spans="3:8" x14ac:dyDescent="0.25">
      <c r="C690" s="11"/>
      <c r="E690" s="11"/>
      <c r="H690">
        <f t="shared" si="9"/>
        <v>689</v>
      </c>
    </row>
    <row r="691" spans="3:8" x14ac:dyDescent="0.25">
      <c r="C691" s="11"/>
      <c r="E691" s="11"/>
      <c r="H691">
        <f t="shared" si="9"/>
        <v>690</v>
      </c>
    </row>
    <row r="692" spans="3:8" x14ac:dyDescent="0.25">
      <c r="C692" s="11"/>
      <c r="E692" s="11"/>
      <c r="H692">
        <f t="shared" si="9"/>
        <v>691</v>
      </c>
    </row>
    <row r="693" spans="3:8" x14ac:dyDescent="0.25">
      <c r="C693" s="11"/>
      <c r="E693" s="11"/>
      <c r="H693">
        <f t="shared" si="9"/>
        <v>692</v>
      </c>
    </row>
    <row r="694" spans="3:8" x14ac:dyDescent="0.25">
      <c r="C694" s="11"/>
      <c r="E694" s="11"/>
    </row>
    <row r="695" spans="3:8" x14ac:dyDescent="0.25">
      <c r="C695" s="11"/>
      <c r="E695" s="11"/>
    </row>
    <row r="696" spans="3:8" x14ac:dyDescent="0.25">
      <c r="C696" s="11"/>
      <c r="E696" s="11"/>
    </row>
    <row r="697" spans="3:8" x14ac:dyDescent="0.25">
      <c r="C697" s="11"/>
      <c r="E697" s="11"/>
    </row>
    <row r="698" spans="3:8" x14ac:dyDescent="0.25">
      <c r="C698" s="11"/>
      <c r="E698" s="11"/>
    </row>
    <row r="699" spans="3:8" x14ac:dyDescent="0.25">
      <c r="C699" s="11"/>
      <c r="E699" s="11"/>
    </row>
    <row r="700" spans="3:8" x14ac:dyDescent="0.25">
      <c r="C700" s="11"/>
      <c r="E700" s="11"/>
    </row>
    <row r="701" spans="3:8" x14ac:dyDescent="0.25">
      <c r="C701" s="11"/>
      <c r="E701" s="11"/>
    </row>
    <row r="702" spans="3:8" x14ac:dyDescent="0.25">
      <c r="C702" s="11"/>
      <c r="E702" s="11"/>
    </row>
    <row r="703" spans="3:8" x14ac:dyDescent="0.25">
      <c r="C703" s="11"/>
      <c r="E703" s="11"/>
    </row>
    <row r="704" spans="3:8" x14ac:dyDescent="0.25">
      <c r="C704" s="11"/>
      <c r="E704" s="11"/>
    </row>
    <row r="705" spans="3:5" x14ac:dyDescent="0.25">
      <c r="C705" s="11"/>
      <c r="E705" s="11"/>
    </row>
    <row r="706" spans="3:5" x14ac:dyDescent="0.25">
      <c r="C706" s="11"/>
      <c r="E706" s="11"/>
    </row>
    <row r="707" spans="3:5" x14ac:dyDescent="0.25">
      <c r="C707" s="11"/>
      <c r="E707" s="11"/>
    </row>
    <row r="708" spans="3:5" x14ac:dyDescent="0.25">
      <c r="C708" s="11"/>
      <c r="E708" s="11"/>
    </row>
    <row r="709" spans="3:5" x14ac:dyDescent="0.25">
      <c r="C709" s="11"/>
      <c r="E709" s="11"/>
    </row>
    <row r="710" spans="3:5" x14ac:dyDescent="0.25">
      <c r="C710" s="11"/>
      <c r="E710" s="11"/>
    </row>
    <row r="711" spans="3:5" x14ac:dyDescent="0.25">
      <c r="C711" s="11"/>
      <c r="E711" s="11"/>
    </row>
    <row r="712" spans="3:5" x14ac:dyDescent="0.25">
      <c r="C712" s="11"/>
      <c r="E712" s="11"/>
    </row>
    <row r="713" spans="3:5" x14ac:dyDescent="0.25">
      <c r="C713" s="11"/>
      <c r="E713" s="11"/>
    </row>
    <row r="714" spans="3:5" x14ac:dyDescent="0.25">
      <c r="C714" s="11"/>
      <c r="E714" s="11"/>
    </row>
    <row r="715" spans="3:5" x14ac:dyDescent="0.25">
      <c r="C715" s="11"/>
      <c r="E715" s="11"/>
    </row>
    <row r="716" spans="3:5" x14ac:dyDescent="0.25">
      <c r="C716" s="11"/>
      <c r="E716" s="11"/>
    </row>
    <row r="717" spans="3:5" x14ac:dyDescent="0.25">
      <c r="C717" s="11"/>
      <c r="E717" s="11"/>
    </row>
    <row r="718" spans="3:5" x14ac:dyDescent="0.25">
      <c r="C718" s="11"/>
      <c r="E718" s="11"/>
    </row>
    <row r="719" spans="3:5" x14ac:dyDescent="0.25">
      <c r="C719" s="11"/>
      <c r="E719" s="11"/>
    </row>
    <row r="720" spans="3:5" x14ac:dyDescent="0.25">
      <c r="C720" s="11"/>
      <c r="E720" s="11"/>
    </row>
    <row r="721" spans="3:5" x14ac:dyDescent="0.25">
      <c r="C721" s="11"/>
      <c r="E721" s="11"/>
    </row>
    <row r="722" spans="3:5" x14ac:dyDescent="0.25">
      <c r="C722" s="11"/>
      <c r="E722" s="11"/>
    </row>
    <row r="723" spans="3:5" x14ac:dyDescent="0.25">
      <c r="C723" s="11"/>
      <c r="E723" s="11"/>
    </row>
    <row r="724" spans="3:5" x14ac:dyDescent="0.25">
      <c r="C724" s="11"/>
      <c r="E724" s="11"/>
    </row>
    <row r="725" spans="3:5" x14ac:dyDescent="0.25">
      <c r="C725" s="11"/>
      <c r="E725" s="11"/>
    </row>
    <row r="726" spans="3:5" x14ac:dyDescent="0.25">
      <c r="C726" s="11"/>
      <c r="E726" s="11"/>
    </row>
    <row r="727" spans="3:5" x14ac:dyDescent="0.25">
      <c r="C727" s="11"/>
      <c r="E727" s="11"/>
    </row>
    <row r="728" spans="3:5" x14ac:dyDescent="0.25">
      <c r="C728" s="11"/>
      <c r="E728" s="11"/>
    </row>
    <row r="729" spans="3:5" x14ac:dyDescent="0.25">
      <c r="C729" s="11"/>
      <c r="E729" s="11"/>
    </row>
    <row r="730" spans="3:5" x14ac:dyDescent="0.25">
      <c r="C730" s="11"/>
      <c r="E730" s="11"/>
    </row>
    <row r="731" spans="3:5" x14ac:dyDescent="0.25">
      <c r="C731" s="11"/>
      <c r="E731" s="11"/>
    </row>
    <row r="732" spans="3:5" x14ac:dyDescent="0.25">
      <c r="C732" s="11"/>
      <c r="E732" s="11"/>
    </row>
    <row r="733" spans="3:5" x14ac:dyDescent="0.25">
      <c r="C733" s="11"/>
      <c r="E733" s="11"/>
    </row>
    <row r="734" spans="3:5" x14ac:dyDescent="0.25">
      <c r="C734" s="11"/>
      <c r="E734" s="11"/>
    </row>
    <row r="735" spans="3:5" x14ac:dyDescent="0.25">
      <c r="C735" s="11"/>
      <c r="E735" s="11"/>
    </row>
    <row r="736" spans="3:5" x14ac:dyDescent="0.25">
      <c r="C736" s="11"/>
      <c r="E736" s="11"/>
    </row>
    <row r="737" spans="3:5" x14ac:dyDescent="0.25">
      <c r="C737" s="11"/>
      <c r="E737" s="11"/>
    </row>
    <row r="738" spans="3:5" x14ac:dyDescent="0.25">
      <c r="C738" s="11"/>
      <c r="E738" s="11"/>
    </row>
    <row r="739" spans="3:5" x14ac:dyDescent="0.25">
      <c r="C739" s="11"/>
      <c r="E739" s="11"/>
    </row>
    <row r="740" spans="3:5" x14ac:dyDescent="0.25">
      <c r="C740" s="11"/>
      <c r="E740" s="11"/>
    </row>
    <row r="741" spans="3:5" x14ac:dyDescent="0.25">
      <c r="C741" s="11"/>
      <c r="E741" s="11"/>
    </row>
    <row r="742" spans="3:5" x14ac:dyDescent="0.25">
      <c r="C742" s="11"/>
      <c r="E742" s="11"/>
    </row>
    <row r="743" spans="3:5" x14ac:dyDescent="0.25">
      <c r="C743" s="11"/>
      <c r="E743" s="11"/>
    </row>
    <row r="744" spans="3:5" x14ac:dyDescent="0.25">
      <c r="C744" s="11"/>
      <c r="E744" s="11"/>
    </row>
    <row r="745" spans="3:5" x14ac:dyDescent="0.25">
      <c r="C745" s="11"/>
      <c r="E745" s="11"/>
    </row>
    <row r="746" spans="3:5" x14ac:dyDescent="0.25">
      <c r="C746" s="11"/>
      <c r="E746" s="11"/>
    </row>
    <row r="747" spans="3:5" x14ac:dyDescent="0.25">
      <c r="C747" s="11"/>
      <c r="E747" s="11"/>
    </row>
    <row r="748" spans="3:5" x14ac:dyDescent="0.25">
      <c r="C748" s="11"/>
      <c r="E748" s="11"/>
    </row>
    <row r="749" spans="3:5" x14ac:dyDescent="0.25">
      <c r="C749" s="11"/>
      <c r="E749" s="11"/>
    </row>
    <row r="750" spans="3:5" x14ac:dyDescent="0.25">
      <c r="C750" s="11"/>
      <c r="E750" s="11"/>
    </row>
    <row r="751" spans="3:5" x14ac:dyDescent="0.25">
      <c r="C751" s="11"/>
      <c r="E751" s="11"/>
    </row>
    <row r="752" spans="3:5" x14ac:dyDescent="0.25">
      <c r="C752" s="11"/>
      <c r="E752" s="11"/>
    </row>
    <row r="753" spans="3:5" x14ac:dyDescent="0.25">
      <c r="C753" s="11"/>
      <c r="E753" s="11"/>
    </row>
    <row r="754" spans="3:5" x14ac:dyDescent="0.25">
      <c r="C754" s="11"/>
      <c r="E754" s="11"/>
    </row>
    <row r="755" spans="3:5" x14ac:dyDescent="0.25">
      <c r="C755" s="11"/>
      <c r="E755" s="11"/>
    </row>
    <row r="756" spans="3:5" x14ac:dyDescent="0.25">
      <c r="C756" s="11"/>
      <c r="E756" s="11"/>
    </row>
    <row r="757" spans="3:5" x14ac:dyDescent="0.25">
      <c r="C757" s="11"/>
      <c r="E757" s="11"/>
    </row>
    <row r="758" spans="3:5" x14ac:dyDescent="0.25">
      <c r="C758" s="11"/>
      <c r="E758" s="11"/>
    </row>
    <row r="759" spans="3:5" x14ac:dyDescent="0.25">
      <c r="C759" s="11"/>
      <c r="E759" s="11"/>
    </row>
    <row r="760" spans="3:5" x14ac:dyDescent="0.25">
      <c r="C760" s="11"/>
      <c r="E760" s="11"/>
    </row>
    <row r="761" spans="3:5" x14ac:dyDescent="0.25">
      <c r="C761" s="11"/>
      <c r="E761" s="11"/>
    </row>
    <row r="762" spans="3:5" x14ac:dyDescent="0.25">
      <c r="C762" s="11"/>
      <c r="E762" s="11"/>
    </row>
    <row r="763" spans="3:5" x14ac:dyDescent="0.25">
      <c r="C763" s="11"/>
      <c r="E763" s="11"/>
    </row>
    <row r="764" spans="3:5" x14ac:dyDescent="0.25">
      <c r="C764" s="11"/>
      <c r="E764" s="11"/>
    </row>
    <row r="765" spans="3:5" x14ac:dyDescent="0.25">
      <c r="C765" s="11"/>
      <c r="E765" s="11"/>
    </row>
    <row r="766" spans="3:5" x14ac:dyDescent="0.25">
      <c r="C766" s="11"/>
      <c r="E766" s="11"/>
    </row>
    <row r="767" spans="3:5" x14ac:dyDescent="0.25">
      <c r="C767" s="11"/>
      <c r="E767" s="11"/>
    </row>
    <row r="768" spans="3:5" x14ac:dyDescent="0.25">
      <c r="C768" s="11"/>
      <c r="E768" s="11"/>
    </row>
    <row r="769" spans="3:5" x14ac:dyDescent="0.25">
      <c r="C769" s="11"/>
      <c r="E769" s="11"/>
    </row>
    <row r="770" spans="3:5" x14ac:dyDescent="0.25">
      <c r="C770" s="11"/>
      <c r="E770" s="11"/>
    </row>
    <row r="771" spans="3:5" x14ac:dyDescent="0.25">
      <c r="C771" s="11"/>
      <c r="E771" s="11"/>
    </row>
    <row r="772" spans="3:5" x14ac:dyDescent="0.25">
      <c r="C772" s="11"/>
      <c r="E772" s="11"/>
    </row>
    <row r="773" spans="3:5" x14ac:dyDescent="0.25">
      <c r="C773" s="11"/>
      <c r="E773" s="11"/>
    </row>
    <row r="774" spans="3:5" x14ac:dyDescent="0.25">
      <c r="C774" s="11"/>
      <c r="E774" s="11"/>
    </row>
    <row r="775" spans="3:5" x14ac:dyDescent="0.25">
      <c r="C775" s="11"/>
      <c r="E775" s="11"/>
    </row>
    <row r="776" spans="3:5" x14ac:dyDescent="0.25">
      <c r="C776" s="11"/>
      <c r="E776" s="11"/>
    </row>
    <row r="777" spans="3:5" x14ac:dyDescent="0.25">
      <c r="C777" s="11"/>
      <c r="E777" s="11"/>
    </row>
    <row r="778" spans="3:5" x14ac:dyDescent="0.25">
      <c r="C778" s="11"/>
      <c r="E778" s="11"/>
    </row>
    <row r="779" spans="3:5" x14ac:dyDescent="0.25">
      <c r="C779" s="11"/>
      <c r="E779" s="11"/>
    </row>
    <row r="780" spans="3:5" x14ac:dyDescent="0.25">
      <c r="C780" s="11"/>
      <c r="E780" s="11"/>
    </row>
    <row r="781" spans="3:5" x14ac:dyDescent="0.25">
      <c r="C781" s="11"/>
      <c r="E781" s="11"/>
    </row>
    <row r="782" spans="3:5" x14ac:dyDescent="0.25">
      <c r="C782" s="11"/>
      <c r="E782" s="11"/>
    </row>
    <row r="783" spans="3:5" x14ac:dyDescent="0.25">
      <c r="C783" s="11"/>
      <c r="E783" s="11"/>
    </row>
    <row r="784" spans="3:5" x14ac:dyDescent="0.25">
      <c r="C784" s="11"/>
      <c r="E784" s="11"/>
    </row>
    <row r="785" spans="3:5" x14ac:dyDescent="0.25">
      <c r="C785" s="11"/>
      <c r="E785" s="11"/>
    </row>
    <row r="786" spans="3:5" x14ac:dyDescent="0.25">
      <c r="C786" s="11"/>
      <c r="E786" s="11"/>
    </row>
    <row r="787" spans="3:5" x14ac:dyDescent="0.25">
      <c r="C787" s="11"/>
      <c r="E787" s="11"/>
    </row>
    <row r="788" spans="3:5" x14ac:dyDescent="0.25">
      <c r="C788" s="11"/>
      <c r="E788" s="11"/>
    </row>
    <row r="789" spans="3:5" x14ac:dyDescent="0.25">
      <c r="C789" s="11"/>
      <c r="E789" s="11"/>
    </row>
    <row r="790" spans="3:5" x14ac:dyDescent="0.25">
      <c r="C790" s="11"/>
      <c r="E790" s="11"/>
    </row>
    <row r="791" spans="3:5" x14ac:dyDescent="0.25">
      <c r="C791" s="11"/>
      <c r="E791" s="11"/>
    </row>
    <row r="792" spans="3:5" x14ac:dyDescent="0.25">
      <c r="C792" s="11"/>
      <c r="E792" s="11"/>
    </row>
    <row r="793" spans="3:5" x14ac:dyDescent="0.25">
      <c r="C793" s="11"/>
      <c r="E793" s="11"/>
    </row>
    <row r="794" spans="3:5" x14ac:dyDescent="0.25">
      <c r="C794" s="11"/>
      <c r="E794" s="11"/>
    </row>
    <row r="795" spans="3:5" x14ac:dyDescent="0.25">
      <c r="C795" s="11"/>
      <c r="E795" s="11"/>
    </row>
    <row r="796" spans="3:5" x14ac:dyDescent="0.25">
      <c r="C796" s="11"/>
      <c r="E796" s="11"/>
    </row>
    <row r="797" spans="3:5" x14ac:dyDescent="0.25">
      <c r="C797" s="11"/>
      <c r="E797" s="11"/>
    </row>
    <row r="798" spans="3:5" x14ac:dyDescent="0.25">
      <c r="C798" s="11"/>
      <c r="E798" s="11"/>
    </row>
    <row r="799" spans="3:5" x14ac:dyDescent="0.25">
      <c r="C799" s="11"/>
      <c r="E799" s="11"/>
    </row>
    <row r="800" spans="3:5" x14ac:dyDescent="0.25">
      <c r="C800" s="11"/>
      <c r="E800" s="11"/>
    </row>
    <row r="801" spans="3:5" x14ac:dyDescent="0.25">
      <c r="C801" s="11"/>
      <c r="E801" s="11"/>
    </row>
    <row r="802" spans="3:5" x14ac:dyDescent="0.25">
      <c r="C802" s="11"/>
      <c r="E802" s="11"/>
    </row>
    <row r="803" spans="3:5" x14ac:dyDescent="0.25">
      <c r="C803" s="11"/>
      <c r="E803" s="11"/>
    </row>
    <row r="804" spans="3:5" x14ac:dyDescent="0.25">
      <c r="C804" s="11"/>
      <c r="E804" s="11"/>
    </row>
    <row r="805" spans="3:5" x14ac:dyDescent="0.25">
      <c r="C805" s="11"/>
      <c r="E805" s="11"/>
    </row>
    <row r="806" spans="3:5" x14ac:dyDescent="0.25">
      <c r="C806" s="11"/>
      <c r="E806" s="11"/>
    </row>
    <row r="807" spans="3:5" x14ac:dyDescent="0.25">
      <c r="C807" s="11"/>
      <c r="E807" s="11"/>
    </row>
    <row r="808" spans="3:5" x14ac:dyDescent="0.25">
      <c r="C808" s="11"/>
      <c r="E808" s="11"/>
    </row>
    <row r="809" spans="3:5" x14ac:dyDescent="0.25">
      <c r="C809" s="11"/>
      <c r="E809" s="11"/>
    </row>
    <row r="810" spans="3:5" x14ac:dyDescent="0.25">
      <c r="C810" s="11"/>
      <c r="E810" s="11"/>
    </row>
    <row r="811" spans="3:5" x14ac:dyDescent="0.25">
      <c r="C811" s="11"/>
      <c r="E811" s="11"/>
    </row>
    <row r="812" spans="3:5" x14ac:dyDescent="0.25">
      <c r="C812" s="11"/>
      <c r="E812" s="11"/>
    </row>
    <row r="813" spans="3:5" x14ac:dyDescent="0.25">
      <c r="C813" s="11"/>
      <c r="E813" s="11"/>
    </row>
    <row r="814" spans="3:5" x14ac:dyDescent="0.25">
      <c r="C814" s="11"/>
      <c r="E814" s="11"/>
    </row>
    <row r="815" spans="3:5" x14ac:dyDescent="0.25">
      <c r="C815" s="11"/>
      <c r="E815" s="11"/>
    </row>
    <row r="816" spans="3:5" x14ac:dyDescent="0.25">
      <c r="C816" s="11"/>
      <c r="E816" s="11"/>
    </row>
    <row r="817" spans="3:5" x14ac:dyDescent="0.25">
      <c r="C817" s="11"/>
      <c r="E817" s="11"/>
    </row>
    <row r="818" spans="3:5" x14ac:dyDescent="0.25">
      <c r="C818" s="11"/>
      <c r="E818" s="11"/>
    </row>
    <row r="819" spans="3:5" x14ac:dyDescent="0.25">
      <c r="C819" s="11"/>
      <c r="E819" s="11"/>
    </row>
    <row r="820" spans="3:5" x14ac:dyDescent="0.25">
      <c r="C820" s="11"/>
      <c r="E820" s="11"/>
    </row>
    <row r="821" spans="3:5" x14ac:dyDescent="0.25">
      <c r="C821" s="11"/>
      <c r="E821" s="11"/>
    </row>
    <row r="822" spans="3:5" x14ac:dyDescent="0.25">
      <c r="C822" s="11"/>
      <c r="E822" s="11"/>
    </row>
    <row r="823" spans="3:5" x14ac:dyDescent="0.25">
      <c r="C823" s="11"/>
      <c r="E823" s="11"/>
    </row>
    <row r="824" spans="3:5" x14ac:dyDescent="0.25">
      <c r="C824" s="11"/>
      <c r="E824" s="11"/>
    </row>
    <row r="825" spans="3:5" x14ac:dyDescent="0.25">
      <c r="C825" s="11"/>
      <c r="E825" s="1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2"/>
  <sheetViews>
    <sheetView workbookViewId="0">
      <selection activeCell="J2" sqref="J2"/>
    </sheetView>
  </sheetViews>
  <sheetFormatPr baseColWidth="10" defaultRowHeight="15" x14ac:dyDescent="0.25"/>
  <cols>
    <col min="1" max="1" width="7.140625" customWidth="1"/>
    <col min="2" max="2" width="20.140625" bestFit="1" customWidth="1"/>
    <col min="3" max="3" width="13.7109375" customWidth="1"/>
    <col min="8" max="8" width="4.5703125" style="16" customWidth="1"/>
    <col min="10" max="10" width="6.85546875" customWidth="1"/>
    <col min="12" max="12" width="7.7109375" bestFit="1" customWidth="1"/>
    <col min="13" max="13" width="12.28515625" bestFit="1" customWidth="1"/>
    <col min="14" max="14" width="6.5703125" style="1" customWidth="1"/>
    <col min="15" max="15" width="8" style="5" bestFit="1" customWidth="1"/>
    <col min="16" max="16" width="12.28515625" bestFit="1" customWidth="1"/>
    <col min="17" max="17" width="7.5703125" bestFit="1" customWidth="1"/>
    <col min="19" max="19" width="7.5703125" bestFit="1" customWidth="1"/>
    <col min="20" max="20" width="6.140625" style="6" bestFit="1" customWidth="1"/>
    <col min="21" max="21" width="7.140625" style="6" customWidth="1"/>
    <col min="22" max="22" width="4.28515625" style="6" customWidth="1"/>
    <col min="23" max="23" width="7.140625" style="6" customWidth="1"/>
    <col min="24" max="24" width="11.42578125" style="15" customWidth="1"/>
    <col min="25" max="36" width="11.42578125" style="28" customWidth="1"/>
    <col min="37" max="37" width="11.42578125" customWidth="1"/>
    <col min="38" max="38" width="13.5703125" customWidth="1"/>
  </cols>
  <sheetData>
    <row r="1" spans="1:36" x14ac:dyDescent="0.25">
      <c r="B1" t="s">
        <v>183</v>
      </c>
      <c r="J1">
        <v>0</v>
      </c>
      <c r="X1" s="24"/>
      <c r="Y1" s="24"/>
      <c r="Z1" s="24"/>
      <c r="AA1" s="24"/>
      <c r="AF1" s="28" t="s">
        <v>138</v>
      </c>
      <c r="AG1" s="28" t="s">
        <v>139</v>
      </c>
      <c r="AH1" s="28" t="s">
        <v>140</v>
      </c>
      <c r="AI1" s="28" t="s">
        <v>141</v>
      </c>
      <c r="AJ1" s="28" t="s">
        <v>142</v>
      </c>
    </row>
    <row r="2" spans="1:36" x14ac:dyDescent="0.25">
      <c r="A2" s="8" t="s">
        <v>34</v>
      </c>
      <c r="B2" s="33" t="s">
        <v>138</v>
      </c>
      <c r="C2" t="s">
        <v>35</v>
      </c>
      <c r="D2" t="s">
        <v>36</v>
      </c>
      <c r="E2" t="s">
        <v>45</v>
      </c>
      <c r="F2" t="s">
        <v>47</v>
      </c>
      <c r="G2" t="s">
        <v>143</v>
      </c>
      <c r="H2" s="16" t="s">
        <v>185</v>
      </c>
      <c r="J2" t="s">
        <v>22</v>
      </c>
      <c r="K2" t="s">
        <v>23</v>
      </c>
      <c r="L2" s="1" t="s">
        <v>36</v>
      </c>
      <c r="M2" t="s">
        <v>24</v>
      </c>
      <c r="N2" s="1" t="s">
        <v>133</v>
      </c>
      <c r="O2" s="5" t="s">
        <v>29</v>
      </c>
      <c r="P2" t="s">
        <v>25</v>
      </c>
      <c r="Q2" s="1" t="s">
        <v>134</v>
      </c>
      <c r="R2" t="s">
        <v>26</v>
      </c>
      <c r="S2" s="1" t="s">
        <v>135</v>
      </c>
      <c r="T2" s="6" t="s">
        <v>30</v>
      </c>
      <c r="U2" s="6" t="s">
        <v>27</v>
      </c>
      <c r="V2" s="6" t="s">
        <v>31</v>
      </c>
      <c r="W2" s="6" t="s">
        <v>28</v>
      </c>
      <c r="Y2" s="24"/>
      <c r="Z2" s="24"/>
      <c r="AA2" s="24"/>
      <c r="AG2" s="28">
        <f>MATCH(K3,SpielerDaten!$1:$1,0)</f>
        <v>9</v>
      </c>
      <c r="AH2" s="28">
        <f>MATCH(M3,SpielerDaten!$1:$1,0)</f>
        <v>31</v>
      </c>
      <c r="AI2" s="28">
        <f>MATCH(P3,SpielerDaten!$1:$1,0)</f>
        <v>5</v>
      </c>
      <c r="AJ2" s="28">
        <f>MATCH(R3,SpielerDaten!$1:$1,0)</f>
        <v>37</v>
      </c>
    </row>
    <row r="3" spans="1:36" x14ac:dyDescent="0.25">
      <c r="A3" s="4">
        <v>1</v>
      </c>
      <c r="B3" s="1" t="s">
        <v>166</v>
      </c>
      <c r="C3" t="str">
        <f>IF(Tabelle2[[#This Row],[ID]]&gt;1,INDEX(SpielerDaten!$1:$1,1,Tabelle2[[#This Row],[ID]]),"")</f>
        <v>Marius_M</v>
      </c>
      <c r="D3" s="1">
        <f>IF(Tabelle2[[#This Row],[ID]]&gt;1,INDEX(Tabelle11[#All],2,$H3),0)</f>
        <v>124.54012374585781</v>
      </c>
      <c r="E3" s="1">
        <f>IF(Tabelle2[[#This Row],[ID]]&gt;1,INDEX(Tabelle11[#All],3,$H3),0)</f>
        <v>124.58879306475568</v>
      </c>
      <c r="F3" s="1">
        <f>IF(Tabelle2[[#This Row],[ID]]&gt;1,INDEX(Tabelle11[#All],4,$H3),0)</f>
        <v>100</v>
      </c>
      <c r="G3" s="1" t="str">
        <f>IF(Tabelle2[[#This Row],[ID]]&gt;1,INDEX(Tabelle11[#All],9,$H3),"")</f>
        <v>TUV</v>
      </c>
      <c r="H3" s="16">
        <v>30</v>
      </c>
      <c r="I3" s="1"/>
      <c r="J3" s="21">
        <f>Spielauswertung!AF2-J1</f>
        <v>530</v>
      </c>
      <c r="K3" t="str">
        <f>INDEX(Tabelle6[#All],Tabelle1[[#This Row],[Match]]+1,1)</f>
        <v>Carsten_H</v>
      </c>
      <c r="L3" s="1">
        <f>INDEX(Tabelle12[#All],Tabelle1[[#This Row],[Match]]+2,28)</f>
        <v>-0.65531522325617897</v>
      </c>
      <c r="M3" t="str">
        <f>INDEX(Tabelle6[#All],Tabelle1[[#This Row],[Match]]+1,2)</f>
        <v>Marvin_W</v>
      </c>
      <c r="N3" s="1">
        <f>INDEX(Tabelle12[#All],Tabelle1[[#This Row],[Match]]+2,29)</f>
        <v>-0.69776613887306094</v>
      </c>
      <c r="O3" s="22" t="s">
        <v>29</v>
      </c>
      <c r="P3" t="str">
        <f>INDEX(Tabelle6[#All],Tabelle1[[#This Row],[Match]]+1,3)</f>
        <v>Bastian_G</v>
      </c>
      <c r="Q3" s="1">
        <f>INDEX(Tabelle12[#All],Tabelle1[[#This Row],[Match]]+2,30)</f>
        <v>0.58102937960891787</v>
      </c>
      <c r="R3" t="str">
        <f>INDEX(Tabelle6[#All],Tabelle1[[#This Row],[Match]]+1,4)</f>
        <v>Rene_P</v>
      </c>
      <c r="S3" s="1">
        <f>INDEX(Tabelle12[#All],Tabelle1[[#This Row],[Match]]+2,31)</f>
        <v>0.77205198252032115</v>
      </c>
      <c r="T3" s="23" t="s">
        <v>31</v>
      </c>
      <c r="U3" s="6">
        <f>INDEX(Tabelle6[#All],Tabelle1[[#This Row],[Match]]+1,5)</f>
        <v>6</v>
      </c>
      <c r="V3" s="6" t="str">
        <f>Tabelle1[[#Headers],[:]]</f>
        <v>:</v>
      </c>
      <c r="W3" s="6">
        <f>INDEX(Tabelle6[#All],Tabelle1[[#This Row],[Match]]+1,6)</f>
        <v>10</v>
      </c>
      <c r="X3" s="15">
        <f>ABS(Tabelle1[[#This Row],[Tore 1]]-Tabelle1[[#This Row],[Tore 2]])</f>
        <v>4</v>
      </c>
      <c r="Y3" s="24"/>
      <c r="Z3" s="24"/>
      <c r="AA3" s="24"/>
      <c r="AF3" s="29">
        <v>0</v>
      </c>
      <c r="AG3" s="29">
        <f>INDEX(Tabelle11[#All],Tabelle10[[#This Row],[Spalte1]]+14,Ranking!$AG$2)</f>
        <v>100</v>
      </c>
      <c r="AH3" s="29">
        <f>INDEX(Tabelle11[#All],Tabelle10[[#This Row],[Spalte1]]+14,$AH$2)</f>
        <v>100</v>
      </c>
      <c r="AI3" s="29">
        <f>INDEX(Tabelle11[#All],Tabelle10[[#This Row],[Spalte1]]+14,$AI$2)</f>
        <v>100</v>
      </c>
      <c r="AJ3" s="29">
        <f>INDEX(Tabelle11[#All],Tabelle10[[#This Row],[Spalte1]]+14,Ranking!$AJ$2)</f>
        <v>100</v>
      </c>
    </row>
    <row r="4" spans="1:36" x14ac:dyDescent="0.25">
      <c r="A4" s="4">
        <f t="shared" ref="A4:A49" si="0">A3+1</f>
        <v>2</v>
      </c>
      <c r="B4" s="1" t="s">
        <v>164</v>
      </c>
      <c r="C4" t="str">
        <f>IF(Tabelle2[[#This Row],[ID]]&gt;1,INDEX(SpielerDaten!$1:$1,1,Tabelle2[[#This Row],[ID]]),"")</f>
        <v>Bastian_G</v>
      </c>
      <c r="D4" s="1">
        <f>IF(Tabelle2[[#This Row],[ID]]&gt;1,INDEX(Tabelle11[#All],2,$H4),0)</f>
        <v>117.49978695184252</v>
      </c>
      <c r="E4" s="1">
        <f>IF(Tabelle2[[#This Row],[ID]]&gt;1,INDEX(Tabelle11[#All],3,$H4),0)</f>
        <v>122.20924007576623</v>
      </c>
      <c r="F4" s="1">
        <f>IF(Tabelle2[[#This Row],[ID]]&gt;1,INDEX(Tabelle11[#All],4,$H4),0)</f>
        <v>100</v>
      </c>
      <c r="G4" s="1" t="str">
        <f>IF(Tabelle2[[#This Row],[ID]]&gt;1,INDEX(Tabelle11[#All],9,$H4),"")</f>
        <v>Konferenz</v>
      </c>
      <c r="H4" s="16">
        <v>5</v>
      </c>
      <c r="I4" s="1"/>
      <c r="J4" s="21">
        <f>J3-1</f>
        <v>529</v>
      </c>
      <c r="K4" t="str">
        <f>INDEX(Tabelle6[#All],Tabelle1[[#This Row],[Match]]+1,1)</f>
        <v>Richard_D</v>
      </c>
      <c r="L4" s="1">
        <f>INDEX(Tabelle12[#All],Tabelle1[[#This Row],[Match]]+2,28)</f>
        <v>0.18504471611582374</v>
      </c>
      <c r="M4" t="str">
        <f>INDEX(Tabelle6[#All],Tabelle1[[#This Row],[Match]]+1,2)</f>
        <v>Hannes_S</v>
      </c>
      <c r="N4" s="1">
        <f>INDEX(Tabelle12[#All],Tabelle1[[#This Row],[Match]]+2,29)</f>
        <v>0.17374528324434191</v>
      </c>
      <c r="O4" s="22" t="s">
        <v>29</v>
      </c>
      <c r="P4" t="str">
        <f>INDEX(Tabelle6[#All],Tabelle1[[#This Row],[Match]]+1,3)</f>
        <v>Tom_R</v>
      </c>
      <c r="Q4" s="1">
        <f>INDEX(Tabelle12[#All],Tabelle1[[#This Row],[Match]]+2,30)</f>
        <v>-0.20472126663438817</v>
      </c>
      <c r="R4" t="str">
        <f>INDEX(Tabelle6[#All],Tabelle1[[#This Row],[Match]]+1,4)</f>
        <v>Jens_N</v>
      </c>
      <c r="S4" s="1">
        <f>INDEX(Tabelle12[#All],Tabelle1[[#This Row],[Match]]+2,31)</f>
        <v>-0.15406873272577803</v>
      </c>
      <c r="T4" s="23" t="s">
        <v>31</v>
      </c>
      <c r="U4" s="6">
        <f>INDEX(Tabelle6[#All],Tabelle1[[#This Row],[Match]]+1,5)</f>
        <v>10</v>
      </c>
      <c r="V4" s="6" t="str">
        <f>Tabelle1[[#Headers],[:]]</f>
        <v>:</v>
      </c>
      <c r="W4" s="6">
        <f>INDEX(Tabelle6[#All],Tabelle1[[#This Row],[Match]]+1,6)</f>
        <v>5</v>
      </c>
      <c r="X4" s="15">
        <f>ABS(Tabelle1[[#This Row],[Tore 1]]-Tabelle1[[#This Row],[Tore 2]])</f>
        <v>5</v>
      </c>
      <c r="Y4" s="24"/>
      <c r="Z4" s="24"/>
      <c r="AA4" s="24"/>
      <c r="AF4" s="28">
        <f>AF3+1</f>
        <v>1</v>
      </c>
      <c r="AG4" s="29">
        <f>INDEX(Tabelle11[#All],Tabelle10[[#This Row],[Spalte1]]+14,Ranking!$AG$2)</f>
        <v>99.72</v>
      </c>
      <c r="AH4" s="29">
        <f>INDEX(Tabelle11[#All],Tabelle10[[#This Row],[Spalte1]]+14,$AH$2)</f>
        <v>99.72</v>
      </c>
      <c r="AI4" s="29">
        <f>INDEX(Tabelle11[#All],Tabelle10[[#This Row],[Spalte1]]+14,$AI$2)</f>
        <v>100</v>
      </c>
      <c r="AJ4" s="29">
        <f>INDEX(Tabelle11[#All],Tabelle10[[#This Row],[Spalte1]]+14,Ranking!$AJ$2)</f>
        <v>100</v>
      </c>
    </row>
    <row r="5" spans="1:36" x14ac:dyDescent="0.25">
      <c r="A5" s="4">
        <f t="shared" si="0"/>
        <v>3</v>
      </c>
      <c r="B5" s="1" t="s">
        <v>165</v>
      </c>
      <c r="C5" s="45" t="str">
        <f>IF(Tabelle2[[#This Row],[ID]]&gt;1,INDEX(SpielerDaten!$1:$1,1,Tabelle2[[#This Row],[ID]]),"")</f>
        <v>Rodrigo_R</v>
      </c>
      <c r="D5" s="1">
        <f>IF(Tabelle2[[#This Row],[ID]]&gt;1,INDEX(Tabelle11[#All],2,$H5),0)</f>
        <v>116.7028707921346</v>
      </c>
      <c r="E5" s="1">
        <f>IF(Tabelle2[[#This Row],[ID]]&gt;1,INDEX(Tabelle11[#All],3,$H5),0)</f>
        <v>117.18975860650302</v>
      </c>
      <c r="F5" s="1">
        <f>IF(Tabelle2[[#This Row],[ID]]&gt;1,INDEX(Tabelle11[#All],4,$H5),0)</f>
        <v>100</v>
      </c>
      <c r="G5" s="1" t="str">
        <f>IF(Tabelle2[[#This Row],[ID]]&gt;1,INDEX(Tabelle11[#All],9,$H5),"")</f>
        <v>Batterie</v>
      </c>
      <c r="H5" s="16">
        <v>39</v>
      </c>
      <c r="I5" s="1"/>
      <c r="J5" s="21">
        <f t="shared" ref="J5:J12" si="1">J4-1</f>
        <v>528</v>
      </c>
      <c r="K5" t="str">
        <f>INDEX(Tabelle6[#All],Tabelle1[[#This Row],[Match]]+1,1)</f>
        <v>Richard_D</v>
      </c>
      <c r="L5" s="1">
        <f>INDEX(Tabelle12[#All],Tabelle1[[#This Row],[Match]]+2,28)</f>
        <v>1.4162123510287186</v>
      </c>
      <c r="M5" t="str">
        <f>INDEX(Tabelle6[#All],Tabelle1[[#This Row],[Match]]+1,2)</f>
        <v>Hannes_S</v>
      </c>
      <c r="N5" s="1">
        <f>INDEX(Tabelle12[#All],Tabelle1[[#This Row],[Match]]+2,29)</f>
        <v>1.4494512724783288</v>
      </c>
      <c r="O5" s="22" t="s">
        <v>29</v>
      </c>
      <c r="P5" t="str">
        <f>INDEX(Tabelle6[#All],Tabelle1[[#This Row],[Match]]+1,3)</f>
        <v>Tom_R</v>
      </c>
      <c r="Q5" s="1">
        <f>INDEX(Tabelle12[#All],Tabelle1[[#This Row],[Match]]+2,30)</f>
        <v>-1.5204480218088028</v>
      </c>
      <c r="R5" t="str">
        <f>INDEX(Tabelle6[#All],Tabelle1[[#This Row],[Match]]+1,4)</f>
        <v>Jens_N</v>
      </c>
      <c r="S5" s="1">
        <f>INDEX(Tabelle12[#All],Tabelle1[[#This Row],[Match]]+2,31)</f>
        <v>-1.3452156016982435</v>
      </c>
      <c r="T5" s="23" t="s">
        <v>31</v>
      </c>
      <c r="U5" s="6">
        <f>INDEX(Tabelle6[#All],Tabelle1[[#This Row],[Match]]+1,5)</f>
        <v>6</v>
      </c>
      <c r="V5" s="6" t="str">
        <f>Tabelle1[[#Headers],[:]]</f>
        <v>:</v>
      </c>
      <c r="W5" s="6">
        <f>INDEX(Tabelle6[#All],Tabelle1[[#This Row],[Match]]+1,6)</f>
        <v>10</v>
      </c>
      <c r="X5" s="15">
        <f>ABS(Tabelle1[[#This Row],[Tore 1]]-Tabelle1[[#This Row],[Tore 2]])</f>
        <v>4</v>
      </c>
      <c r="Y5" s="24"/>
      <c r="Z5" s="24"/>
      <c r="AA5" s="24"/>
      <c r="AF5" s="28">
        <f t="shared" ref="AF5:AF68" si="2">AF4+1</f>
        <v>2</v>
      </c>
      <c r="AG5" s="29">
        <f>INDEX(Tabelle11[#All],Tabelle10[[#This Row],[Spalte1]]+14,Ranking!$AG$2)</f>
        <v>100.26070809352049</v>
      </c>
      <c r="AH5" s="29">
        <f>INDEX(Tabelle11[#All],Tabelle10[[#This Row],[Spalte1]]+14,$AH$2)</f>
        <v>100.26070809352049</v>
      </c>
      <c r="AI5" s="29">
        <f>INDEX(Tabelle11[#All],Tabelle10[[#This Row],[Spalte1]]+14,$AI$2)</f>
        <v>100</v>
      </c>
      <c r="AJ5" s="29">
        <f>INDEX(Tabelle11[#All],Tabelle10[[#This Row],[Spalte1]]+14,Ranking!$AJ$2)</f>
        <v>100</v>
      </c>
    </row>
    <row r="6" spans="1:36" x14ac:dyDescent="0.25">
      <c r="A6" s="4">
        <f t="shared" si="0"/>
        <v>4</v>
      </c>
      <c r="B6" s="1" t="s">
        <v>167</v>
      </c>
      <c r="C6" t="str">
        <f>IF(Tabelle2[[#This Row],[ID]]&gt;1,INDEX(SpielerDaten!$1:$1,1,Tabelle2[[#This Row],[ID]]),"")</f>
        <v>Tom_R</v>
      </c>
      <c r="D6" s="1">
        <f>IF(Tabelle2[[#This Row],[ID]]&gt;1,INDEX(Tabelle11[#All],2,$H6),0)</f>
        <v>112.62344492949197</v>
      </c>
      <c r="E6" s="1">
        <f>IF(Tabelle2[[#This Row],[ID]]&gt;1,INDEX(Tabelle11[#All],3,$H6),0)</f>
        <v>114.14389295130077</v>
      </c>
      <c r="F6" s="1">
        <f>IF(Tabelle2[[#This Row],[ID]]&gt;1,INDEX(Tabelle11[#All],4,$H6),0)</f>
        <v>98.427043029091152</v>
      </c>
      <c r="G6" s="1" t="str">
        <f>IF(Tabelle2[[#This Row],[ID]]&gt;1,INDEX(Tabelle11[#All],9,$H6),"")</f>
        <v>Kompetenz</v>
      </c>
      <c r="H6" s="16">
        <v>46</v>
      </c>
      <c r="I6" s="1"/>
      <c r="J6" s="21">
        <f t="shared" si="1"/>
        <v>527</v>
      </c>
      <c r="K6" t="str">
        <f>INDEX(Tabelle6[#All],Tabelle1[[#This Row],[Match]]+1,1)</f>
        <v>Richard_D</v>
      </c>
      <c r="L6" s="1">
        <f>INDEX(Tabelle12[#All],Tabelle1[[#This Row],[Match]]+2,28)</f>
        <v>-0.52488747809078307</v>
      </c>
      <c r="M6" t="str">
        <f>INDEX(Tabelle6[#All],Tabelle1[[#This Row],[Match]]+1,2)</f>
        <v>Jens_N</v>
      </c>
      <c r="N6" s="1">
        <f>INDEX(Tabelle12[#All],Tabelle1[[#This Row],[Match]]+2,29)</f>
        <v>-0.51285072046711178</v>
      </c>
      <c r="O6" s="22" t="s">
        <v>29</v>
      </c>
      <c r="P6" t="str">
        <f>INDEX(Tabelle6[#All],Tabelle1[[#This Row],[Match]]+1,3)</f>
        <v>Aleix_V</v>
      </c>
      <c r="Q6" s="1">
        <f>INDEX(Tabelle12[#All],Tabelle1[[#This Row],[Match]]+2,30)</f>
        <v>0.48683170240280832</v>
      </c>
      <c r="R6" t="str">
        <f>INDEX(Tabelle6[#All],Tabelle1[[#This Row],[Match]]+1,4)</f>
        <v>Marvin_W</v>
      </c>
      <c r="S6" s="1">
        <f>INDEX(Tabelle12[#All],Tabelle1[[#This Row],[Match]]+2,31)</f>
        <v>0.55090649615508769</v>
      </c>
      <c r="T6" s="23" t="s">
        <v>31</v>
      </c>
      <c r="U6" s="6">
        <f>INDEX(Tabelle6[#All],Tabelle1[[#This Row],[Match]]+1,5)</f>
        <v>10</v>
      </c>
      <c r="V6" s="6" t="str">
        <f>Tabelle1[[#Headers],[:]]</f>
        <v>:</v>
      </c>
      <c r="W6" s="6">
        <f>INDEX(Tabelle6[#All],Tabelle1[[#This Row],[Match]]+1,6)</f>
        <v>7</v>
      </c>
      <c r="X6" s="15">
        <f>ABS(Tabelle1[[#This Row],[Tore 1]]-Tabelle1[[#This Row],[Tore 2]])</f>
        <v>3</v>
      </c>
      <c r="Y6" s="24"/>
      <c r="Z6" s="24"/>
      <c r="AA6" s="24"/>
      <c r="AF6" s="28">
        <f t="shared" si="2"/>
        <v>3</v>
      </c>
      <c r="AG6" s="29">
        <f>INDEX(Tabelle11[#All],Tabelle10[[#This Row],[Spalte1]]+14,Ranking!$AG$2)</f>
        <v>100.26070809352049</v>
      </c>
      <c r="AH6" s="29">
        <f>INDEX(Tabelle11[#All],Tabelle10[[#This Row],[Spalte1]]+14,$AH$2)</f>
        <v>98.683650296480891</v>
      </c>
      <c r="AI6" s="29">
        <f>INDEX(Tabelle11[#All],Tabelle10[[#This Row],[Spalte1]]+14,$AI$2)</f>
        <v>100</v>
      </c>
      <c r="AJ6" s="29">
        <f>INDEX(Tabelle11[#All],Tabelle10[[#This Row],[Spalte1]]+14,Ranking!$AJ$2)</f>
        <v>100</v>
      </c>
    </row>
    <row r="7" spans="1:36" x14ac:dyDescent="0.25">
      <c r="A7" s="4">
        <f t="shared" si="0"/>
        <v>5</v>
      </c>
      <c r="B7" s="1" t="s">
        <v>167</v>
      </c>
      <c r="C7" t="str">
        <f>IF(Tabelle2[[#This Row],[ID]]&gt;1,INDEX(SpielerDaten!$1:$1,1,Tabelle2[[#This Row],[ID]]),"")</f>
        <v>Christoph_R</v>
      </c>
      <c r="D7" s="1">
        <f>IF(Tabelle2[[#This Row],[ID]]&gt;1,INDEX(Tabelle11[#All],2,$H7),0)</f>
        <v>109.73261611443155</v>
      </c>
      <c r="E7" s="1">
        <f>IF(Tabelle2[[#This Row],[ID]]&gt;1,INDEX(Tabelle11[#All],3,$H7),0)</f>
        <v>110.39074198066388</v>
      </c>
      <c r="F7" s="1">
        <f>IF(Tabelle2[[#This Row],[ID]]&gt;1,INDEX(Tabelle11[#All],4,$H7),0)</f>
        <v>99.156392864744078</v>
      </c>
      <c r="G7" s="1" t="str">
        <f>IF(Tabelle2[[#This Row],[ID]]&gt;1,INDEX(Tabelle11[#All],9,$H7),"")</f>
        <v>Batterie</v>
      </c>
      <c r="H7" s="16">
        <v>10</v>
      </c>
      <c r="I7" s="1"/>
      <c r="J7" s="21">
        <f t="shared" si="1"/>
        <v>526</v>
      </c>
      <c r="K7" t="str">
        <f>INDEX(Tabelle6[#All],Tabelle1[[#This Row],[Match]]+1,1)</f>
        <v>Richard_D</v>
      </c>
      <c r="L7" s="1">
        <f>INDEX(Tabelle12[#All],Tabelle1[[#This Row],[Match]]+2,28)</f>
        <v>9.0428216082121746E-2</v>
      </c>
      <c r="M7" t="str">
        <f>INDEX(Tabelle6[#All],Tabelle1[[#This Row],[Match]]+1,2)</f>
        <v>Jens_N</v>
      </c>
      <c r="N7" s="1">
        <f>INDEX(Tabelle12[#All],Tabelle1[[#This Row],[Match]]+2,29)</f>
        <v>9.5752944548950863E-2</v>
      </c>
      <c r="O7" s="22" t="s">
        <v>29</v>
      </c>
      <c r="P7" t="str">
        <f>INDEX(Tabelle6[#All],Tabelle1[[#This Row],[Match]]+1,3)</f>
        <v>Aleix_V</v>
      </c>
      <c r="Q7" s="1">
        <f>INDEX(Tabelle12[#All],Tabelle1[[#This Row],[Match]]+2,30)</f>
        <v>-9.5537394024978919E-2</v>
      </c>
      <c r="R7" t="str">
        <f>INDEX(Tabelle6[#All],Tabelle1[[#This Row],[Match]]+1,4)</f>
        <v>Marvin_W</v>
      </c>
      <c r="S7" s="1">
        <f>INDEX(Tabelle12[#All],Tabelle1[[#This Row],[Match]]+2,31)</f>
        <v>-9.0643766606092024E-2</v>
      </c>
      <c r="T7" s="23" t="s">
        <v>31</v>
      </c>
      <c r="U7" s="6">
        <f>INDEX(Tabelle6[#All],Tabelle1[[#This Row],[Match]]+1,5)</f>
        <v>10</v>
      </c>
      <c r="V7" s="6" t="str">
        <f>Tabelle1[[#Headers],[:]]</f>
        <v>:</v>
      </c>
      <c r="W7" s="6">
        <f>INDEX(Tabelle6[#All],Tabelle1[[#This Row],[Match]]+1,6)</f>
        <v>4</v>
      </c>
      <c r="X7" s="15">
        <f>ABS(Tabelle1[[#This Row],[Tore 1]]-Tabelle1[[#This Row],[Tore 2]])</f>
        <v>6</v>
      </c>
      <c r="Y7" s="24"/>
      <c r="Z7" s="24"/>
      <c r="AA7" s="24"/>
      <c r="AF7" s="28">
        <f t="shared" si="2"/>
        <v>4</v>
      </c>
      <c r="AG7" s="29">
        <f>INDEX(Tabelle11[#All],Tabelle10[[#This Row],[Spalte1]]+14,Ranking!$AG$2)</f>
        <v>100.26070809352049</v>
      </c>
      <c r="AH7" s="29">
        <f>INDEX(Tabelle11[#All],Tabelle10[[#This Row],[Spalte1]]+14,$AH$2)</f>
        <v>99.308263635042167</v>
      </c>
      <c r="AI7" s="29">
        <f>INDEX(Tabelle11[#All],Tabelle10[[#This Row],[Spalte1]]+14,$AI$2)</f>
        <v>100</v>
      </c>
      <c r="AJ7" s="29">
        <f>INDEX(Tabelle11[#All],Tabelle10[[#This Row],[Spalte1]]+14,Ranking!$AJ$2)</f>
        <v>100</v>
      </c>
    </row>
    <row r="8" spans="1:36" x14ac:dyDescent="0.25">
      <c r="A8" s="4">
        <f t="shared" si="0"/>
        <v>6</v>
      </c>
      <c r="B8" s="1" t="s">
        <v>168</v>
      </c>
      <c r="C8" t="str">
        <f>IF(Tabelle2[[#This Row],[ID]]&gt;1,INDEX(SpielerDaten!$1:$1,1,Tabelle2[[#This Row],[ID]]),"")</f>
        <v>Rano_M</v>
      </c>
      <c r="D8" s="1">
        <f>IF(Tabelle2[[#This Row],[ID]]&gt;1,INDEX(Tabelle11[#All],2,$H8),0)</f>
        <v>109.38890657420265</v>
      </c>
      <c r="E8" s="1">
        <f>IF(Tabelle2[[#This Row],[ID]]&gt;1,INDEX(Tabelle11[#All],3,$H8),0)</f>
        <v>112.31470326561801</v>
      </c>
      <c r="F8" s="1">
        <f>IF(Tabelle2[[#This Row],[ID]]&gt;1,INDEX(Tabelle11[#All],4,$H8),0)</f>
        <v>97.291744176733616</v>
      </c>
      <c r="G8" s="1" t="str">
        <f>IF(Tabelle2[[#This Row],[ID]]&gt;1,INDEX(Tabelle11[#All],9,$H8),"")</f>
        <v>Konkurrenz</v>
      </c>
      <c r="H8" s="16">
        <v>35</v>
      </c>
      <c r="I8" s="1"/>
      <c r="J8" s="21">
        <f t="shared" si="1"/>
        <v>525</v>
      </c>
      <c r="K8" t="str">
        <f>INDEX(Tabelle6[#All],Tabelle1[[#This Row],[Match]]+1,1)</f>
        <v>Lukas_L</v>
      </c>
      <c r="L8" s="1">
        <f>INDEX(Tabelle12[#All],Tabelle1[[#This Row],[Match]]+2,28)</f>
        <v>1.4799879037203818</v>
      </c>
      <c r="M8" t="str">
        <f>INDEX(Tabelle6[#All],Tabelle1[[#This Row],[Match]]+1,2)</f>
        <v>Anton_K</v>
      </c>
      <c r="N8" s="1">
        <f>INDEX(Tabelle12[#All],Tabelle1[[#This Row],[Match]]+2,29)</f>
        <v>1.5698665718861564</v>
      </c>
      <c r="O8" s="22" t="s">
        <v>29</v>
      </c>
      <c r="P8" t="str">
        <f>INDEX(Tabelle6[#All],Tabelle1[[#This Row],[Match]]+1,3)</f>
        <v>Michael_D</v>
      </c>
      <c r="Q8" s="1">
        <f>INDEX(Tabelle12[#All],Tabelle1[[#This Row],[Match]]+2,30)</f>
        <v>-1.5650087676284525</v>
      </c>
      <c r="R8" t="str">
        <f>INDEX(Tabelle6[#All],Tabelle1[[#This Row],[Match]]+1,4)</f>
        <v>Fabian_M</v>
      </c>
      <c r="S8" s="1">
        <f>INDEX(Tabelle12[#All],Tabelle1[[#This Row],[Match]]+2,31)</f>
        <v>-1.4848457079780855</v>
      </c>
      <c r="T8" s="23" t="s">
        <v>31</v>
      </c>
      <c r="U8" s="6">
        <f>INDEX(Tabelle6[#All],Tabelle1[[#This Row],[Match]]+1,5)</f>
        <v>6</v>
      </c>
      <c r="V8" s="6" t="str">
        <f>Tabelle1[[#Headers],[:]]</f>
        <v>:</v>
      </c>
      <c r="W8" s="6">
        <f>INDEX(Tabelle6[#All],Tabelle1[[#This Row],[Match]]+1,6)</f>
        <v>3</v>
      </c>
      <c r="X8" s="15">
        <f>ABS(Tabelle1[[#This Row],[Tore 1]]-Tabelle1[[#This Row],[Tore 2]])</f>
        <v>3</v>
      </c>
      <c r="Y8" s="24"/>
      <c r="Z8" s="24"/>
      <c r="AA8" s="24"/>
      <c r="AF8" s="28">
        <f t="shared" si="2"/>
        <v>5</v>
      </c>
      <c r="AG8" s="29">
        <f>INDEX(Tabelle11[#All],Tabelle10[[#This Row],[Spalte1]]+14,Ranking!$AG$2)</f>
        <v>98.626972918695557</v>
      </c>
      <c r="AH8" s="29">
        <f>INDEX(Tabelle11[#All],Tabelle10[[#This Row],[Spalte1]]+14,$AH$2)</f>
        <v>99.308263635042167</v>
      </c>
      <c r="AI8" s="29">
        <f>INDEX(Tabelle11[#All],Tabelle10[[#This Row],[Spalte1]]+14,$AI$2)</f>
        <v>100</v>
      </c>
      <c r="AJ8" s="29">
        <f>INDEX(Tabelle11[#All],Tabelle10[[#This Row],[Spalte1]]+14,Ranking!$AJ$2)</f>
        <v>100</v>
      </c>
    </row>
    <row r="9" spans="1:36" x14ac:dyDescent="0.25">
      <c r="A9" s="4">
        <f t="shared" si="0"/>
        <v>7</v>
      </c>
      <c r="B9" s="1"/>
      <c r="C9" t="str">
        <f>IF(Tabelle2[[#This Row],[ID]]&gt;1,INDEX(SpielerDaten!$1:$1,1,Tabelle2[[#This Row],[ID]]),"")</f>
        <v>Richard_D</v>
      </c>
      <c r="D9" s="1">
        <f>IF(Tabelle2[[#This Row],[ID]]&gt;1,INDEX(Tabelle11[#All],2,$H9),0)</f>
        <v>107.23233592026223</v>
      </c>
      <c r="E9" s="1">
        <f>IF(Tabelle2[[#This Row],[ID]]&gt;1,INDEX(Tabelle11[#All],3,$H9),0)</f>
        <v>112.72384295562085</v>
      </c>
      <c r="F9" s="1">
        <f>IF(Tabelle2[[#This Row],[ID]]&gt;1,INDEX(Tabelle11[#All],4,$H9),0)</f>
        <v>100</v>
      </c>
      <c r="G9" s="1" t="str">
        <f>IF(Tabelle2[[#This Row],[ID]]&gt;1,INDEX(Tabelle11[#All],9,$H9),"")</f>
        <v>Teamcoach</v>
      </c>
      <c r="H9" s="16">
        <v>38</v>
      </c>
      <c r="I9" s="1"/>
      <c r="J9" s="21">
        <f t="shared" si="1"/>
        <v>524</v>
      </c>
      <c r="K9" t="str">
        <f>INDEX(Tabelle6[#All],Tabelle1[[#This Row],[Match]]+1,1)</f>
        <v>Lukas_L</v>
      </c>
      <c r="L9" s="1">
        <f>INDEX(Tabelle12[#All],Tabelle1[[#This Row],[Match]]+2,28)</f>
        <v>0.21007038365377803</v>
      </c>
      <c r="M9" t="str">
        <f>INDEX(Tabelle6[#All],Tabelle1[[#This Row],[Match]]+1,2)</f>
        <v>Anton_K</v>
      </c>
      <c r="N9" s="1">
        <f>INDEX(Tabelle12[#All],Tabelle1[[#This Row],[Match]]+2,29)</f>
        <v>0.20828604371810397</v>
      </c>
      <c r="O9" s="22" t="s">
        <v>29</v>
      </c>
      <c r="P9" t="str">
        <f>INDEX(Tabelle6[#All],Tabelle1[[#This Row],[Match]]+1,3)</f>
        <v>Michael_D</v>
      </c>
      <c r="Q9" s="1">
        <f>INDEX(Tabelle12[#All],Tabelle1[[#This Row],[Match]]+2,30)</f>
        <v>-0.20986468347033702</v>
      </c>
      <c r="R9" t="str">
        <f>INDEX(Tabelle6[#All],Tabelle1[[#This Row],[Match]]+1,4)</f>
        <v>Fabian_M</v>
      </c>
      <c r="S9" s="1">
        <f>INDEX(Tabelle12[#All],Tabelle1[[#This Row],[Match]]+2,31)</f>
        <v>-0.20849174390154449</v>
      </c>
      <c r="T9" s="23" t="s">
        <v>31</v>
      </c>
      <c r="U9" s="6">
        <f>INDEX(Tabelle6[#All],Tabelle1[[#This Row],[Match]]+1,5)</f>
        <v>6</v>
      </c>
      <c r="V9" s="6" t="str">
        <f>Tabelle1[[#Headers],[:]]</f>
        <v>:</v>
      </c>
      <c r="W9" s="6">
        <f>INDEX(Tabelle6[#All],Tabelle1[[#This Row],[Match]]+1,6)</f>
        <v>2</v>
      </c>
      <c r="X9" s="15">
        <f>ABS(Tabelle1[[#This Row],[Tore 1]]-Tabelle1[[#This Row],[Tore 2]])</f>
        <v>4</v>
      </c>
      <c r="Y9" s="24"/>
      <c r="Z9" s="24"/>
      <c r="AA9" s="24"/>
      <c r="AF9" s="28">
        <f t="shared" si="2"/>
        <v>6</v>
      </c>
      <c r="AG9" s="29">
        <f>INDEX(Tabelle11[#All],Tabelle10[[#This Row],[Spalte1]]+14,Ranking!$AG$2)</f>
        <v>98.190020511382031</v>
      </c>
      <c r="AH9" s="29">
        <f>INDEX(Tabelle11[#All],Tabelle10[[#This Row],[Spalte1]]+14,$AH$2)</f>
        <v>99.308263635042167</v>
      </c>
      <c r="AI9" s="29">
        <f>INDEX(Tabelle11[#All],Tabelle10[[#This Row],[Spalte1]]+14,$AI$2)</f>
        <v>100</v>
      </c>
      <c r="AJ9" s="29">
        <f>INDEX(Tabelle11[#All],Tabelle10[[#This Row],[Spalte1]]+14,Ranking!$AJ$2)</f>
        <v>100</v>
      </c>
    </row>
    <row r="10" spans="1:36" x14ac:dyDescent="0.25">
      <c r="A10" s="4">
        <f t="shared" si="0"/>
        <v>8</v>
      </c>
      <c r="B10" s="1"/>
      <c r="C10" t="str">
        <f>IF(Tabelle2[[#This Row],[ID]]&gt;1,INDEX(SpielerDaten!$1:$1,1,Tabelle2[[#This Row],[ID]]),"")</f>
        <v>Claudius_J</v>
      </c>
      <c r="D10" s="1">
        <f>IF(Tabelle2[[#This Row],[ID]]&gt;1,INDEX(Tabelle11[#All],2,$H10),0)</f>
        <v>106.16590636000029</v>
      </c>
      <c r="E10" s="1">
        <f>IF(Tabelle2[[#This Row],[ID]]&gt;1,INDEX(Tabelle11[#All],3,$H10),0)</f>
        <v>107.95367660115656</v>
      </c>
      <c r="F10" s="1">
        <f>IF(Tabelle2[[#This Row],[ID]]&gt;1,INDEX(Tabelle11[#All],4,$H10),0)</f>
        <v>93.376067037406614</v>
      </c>
      <c r="G10" s="1" t="str">
        <f>IF(Tabelle2[[#This Row],[ID]]&gt;1,INDEX(Tabelle11[#All],9,$H10),"")</f>
        <v>Legenden</v>
      </c>
      <c r="H10" s="16">
        <v>11</v>
      </c>
      <c r="I10" s="1"/>
      <c r="J10" s="21">
        <f t="shared" si="1"/>
        <v>523</v>
      </c>
      <c r="K10" t="str">
        <f>INDEX(Tabelle6[#All],Tabelle1[[#This Row],[Match]]+1,1)</f>
        <v>Aleix_V</v>
      </c>
      <c r="L10" s="1">
        <f>INDEX(Tabelle12[#All],Tabelle1[[#This Row],[Match]]+2,28)</f>
        <v>0.61585953117415049</v>
      </c>
      <c r="M10" t="str">
        <f>INDEX(Tabelle6[#All],Tabelle1[[#This Row],[Match]]+1,2)</f>
        <v>Rene_P</v>
      </c>
      <c r="N10" s="1">
        <f>INDEX(Tabelle12[#All],Tabelle1[[#This Row],[Match]]+2,29)</f>
        <v>0.61056285095010654</v>
      </c>
      <c r="O10" s="22" t="s">
        <v>29</v>
      </c>
      <c r="P10" t="str">
        <f>INDEX(Tabelle6[#All],Tabelle1[[#This Row],[Match]]+1,3)</f>
        <v>Bastian_G</v>
      </c>
      <c r="Q10" s="1">
        <f>INDEX(Tabelle12[#All],Tabelle1[[#This Row],[Match]]+2,30)</f>
        <v>-0.61522359448933173</v>
      </c>
      <c r="R10" t="str">
        <f>INDEX(Tabelle6[#All],Tabelle1[[#This Row],[Match]]+1,4)</f>
        <v>Jan_B</v>
      </c>
      <c r="S10" s="1">
        <f>INDEX(Tabelle12[#All],Tabelle1[[#This Row],[Match]]+2,31)</f>
        <v>-0.61119878763492552</v>
      </c>
      <c r="T10" s="23" t="s">
        <v>31</v>
      </c>
      <c r="U10" s="6">
        <f>INDEX(Tabelle6[#All],Tabelle1[[#This Row],[Match]]+1,5)</f>
        <v>5</v>
      </c>
      <c r="V10" s="6" t="str">
        <f>Tabelle1[[#Headers],[:]]</f>
        <v>:</v>
      </c>
      <c r="W10" s="6">
        <f>INDEX(Tabelle6[#All],Tabelle1[[#This Row],[Match]]+1,6)</f>
        <v>10</v>
      </c>
      <c r="X10" s="15">
        <f>ABS(Tabelle1[[#This Row],[Tore 1]]-Tabelle1[[#This Row],[Tore 2]])</f>
        <v>5</v>
      </c>
      <c r="Y10" s="24"/>
      <c r="Z10" s="24"/>
      <c r="AA10" s="24"/>
      <c r="AF10" s="28">
        <f t="shared" si="2"/>
        <v>7</v>
      </c>
      <c r="AG10" s="29">
        <f>INDEX(Tabelle11[#All],Tabelle10[[#This Row],[Spalte1]]+14,Ranking!$AG$2)</f>
        <v>98.190020511382031</v>
      </c>
      <c r="AH10" s="29">
        <f>INDEX(Tabelle11[#All],Tabelle10[[#This Row],[Spalte1]]+14,$AH$2)</f>
        <v>97.150006431810411</v>
      </c>
      <c r="AI10" s="29">
        <f>INDEX(Tabelle11[#All],Tabelle10[[#This Row],[Spalte1]]+14,$AI$2)</f>
        <v>102.17609248896345</v>
      </c>
      <c r="AJ10" s="29">
        <f>INDEX(Tabelle11[#All],Tabelle10[[#This Row],[Spalte1]]+14,Ranking!$AJ$2)</f>
        <v>102.17609248896345</v>
      </c>
    </row>
    <row r="11" spans="1:36" x14ac:dyDescent="0.25">
      <c r="A11" s="4">
        <f t="shared" si="0"/>
        <v>9</v>
      </c>
      <c r="B11" s="1"/>
      <c r="C11" t="str">
        <f>IF(Tabelle2[[#This Row],[ID]]&gt;1,INDEX(SpielerDaten!$1:$1,1,Tabelle2[[#This Row],[ID]]),"")</f>
        <v>Matthias_H</v>
      </c>
      <c r="D11" s="1">
        <f>IF(Tabelle2[[#This Row],[ID]]&gt;1,INDEX(Tabelle11[#All],2,$H11),0)</f>
        <v>105.42130178599372</v>
      </c>
      <c r="E11" s="1">
        <f>IF(Tabelle2[[#This Row],[ID]]&gt;1,INDEX(Tabelle11[#All],3,$H11),0)</f>
        <v>107.65025591769401</v>
      </c>
      <c r="F11" s="1">
        <f>IF(Tabelle2[[#This Row],[ID]]&gt;1,INDEX(Tabelle11[#All],4,$H11),0)</f>
        <v>100</v>
      </c>
      <c r="G11" s="1" t="str">
        <f>IF(Tabelle2[[#This Row],[ID]]&gt;1,INDEX(Tabelle11[#All],9,$H11),"")</f>
        <v>Teamcoach</v>
      </c>
      <c r="H11" s="16">
        <v>32</v>
      </c>
      <c r="I11" s="1"/>
      <c r="J11" s="21">
        <f t="shared" si="1"/>
        <v>522</v>
      </c>
      <c r="K11" t="str">
        <f>INDEX(Tabelle6[#All],Tabelle1[[#This Row],[Match]]+1,1)</f>
        <v>Aleix_V</v>
      </c>
      <c r="L11" s="1">
        <f>INDEX(Tabelle12[#All],Tabelle1[[#This Row],[Match]]+2,28)</f>
        <v>0.23087041613189138</v>
      </c>
      <c r="M11" t="str">
        <f>INDEX(Tabelle6[#All],Tabelle1[[#This Row],[Match]]+1,2)</f>
        <v>Rene_P</v>
      </c>
      <c r="N11" s="1">
        <f>INDEX(Tabelle12[#All],Tabelle1[[#This Row],[Match]]+2,29)</f>
        <v>0.27299040766844584</v>
      </c>
      <c r="O11" s="22" t="s">
        <v>29</v>
      </c>
      <c r="P11" t="str">
        <f>INDEX(Tabelle6[#All],Tabelle1[[#This Row],[Match]]+1,3)</f>
        <v>Bastian_G</v>
      </c>
      <c r="Q11" s="1">
        <f>INDEX(Tabelle12[#All],Tabelle1[[#This Row],[Match]]+2,30)</f>
        <v>-0.2714495844616675</v>
      </c>
      <c r="R11" t="str">
        <f>INDEX(Tabelle6[#All],Tabelle1[[#This Row],[Match]]+1,4)</f>
        <v>Jan_B</v>
      </c>
      <c r="S11" s="1">
        <f>INDEX(Tabelle12[#All],Tabelle1[[#This Row],[Match]]+2,31)</f>
        <v>-0.23241123933866978</v>
      </c>
      <c r="T11" s="23" t="s">
        <v>31</v>
      </c>
      <c r="U11" s="6">
        <f>INDEX(Tabelle6[#All],Tabelle1[[#This Row],[Match]]+1,5)</f>
        <v>1</v>
      </c>
      <c r="V11" s="6" t="str">
        <f>Tabelle1[[#Headers],[:]]</f>
        <v>:</v>
      </c>
      <c r="W11" s="6">
        <f>INDEX(Tabelle6[#All],Tabelle1[[#This Row],[Match]]+1,6)</f>
        <v>10</v>
      </c>
      <c r="X11" s="15">
        <f>ABS(Tabelle1[[#This Row],[Tore 1]]-Tabelle1[[#This Row],[Tore 2]])</f>
        <v>9</v>
      </c>
      <c r="Y11" s="24"/>
      <c r="Z11" s="24"/>
      <c r="AA11" s="24"/>
      <c r="AF11" s="28">
        <f t="shared" si="2"/>
        <v>8</v>
      </c>
      <c r="AG11" s="29">
        <f>INDEX(Tabelle11[#All],Tabelle10[[#This Row],[Spalte1]]+14,Ranking!$AG$2)</f>
        <v>98.190020511382031</v>
      </c>
      <c r="AH11" s="29">
        <f>INDEX(Tabelle11[#All],Tabelle10[[#This Row],[Spalte1]]+14,$AH$2)</f>
        <v>94.730185162258678</v>
      </c>
      <c r="AI11" s="29">
        <f>INDEX(Tabelle11[#All],Tabelle10[[#This Row],[Spalte1]]+14,$AI$2)</f>
        <v>104.61591054281757</v>
      </c>
      <c r="AJ11" s="29">
        <f>INDEX(Tabelle11[#All],Tabelle10[[#This Row],[Spalte1]]+14,Ranking!$AJ$2)</f>
        <v>104.61591054281757</v>
      </c>
    </row>
    <row r="12" spans="1:36" x14ac:dyDescent="0.25">
      <c r="A12" s="4">
        <f t="shared" si="0"/>
        <v>10</v>
      </c>
      <c r="B12" s="1"/>
      <c r="C12" t="str">
        <f>IF(Tabelle2[[#This Row],[ID]]&gt;1,INDEX(SpielerDaten!$1:$1,1,Tabelle2[[#This Row],[ID]]),"")</f>
        <v>Hannes_S</v>
      </c>
      <c r="D12" s="1">
        <f>IF(Tabelle2[[#This Row],[ID]]&gt;1,INDEX(Tabelle11[#All],2,$H12),0)</f>
        <v>104.83899184012799</v>
      </c>
      <c r="E12" s="1">
        <f>IF(Tabelle2[[#This Row],[ID]]&gt;1,INDEX(Tabelle11[#All],3,$H12),0)</f>
        <v>107.57973282486903</v>
      </c>
      <c r="F12" s="1">
        <f>IF(Tabelle2[[#This Row],[ID]]&gt;1,INDEX(Tabelle11[#All],4,$H12),0)</f>
        <v>95.541238214505867</v>
      </c>
      <c r="G12" s="1" t="str">
        <f>IF(Tabelle2[[#This Row],[ID]]&gt;1,INDEX(Tabelle11[#All],9,$H12),"")</f>
        <v>Konkurrenz</v>
      </c>
      <c r="H12" s="16">
        <v>19</v>
      </c>
      <c r="I12" s="1"/>
      <c r="J12" s="21">
        <f t="shared" si="1"/>
        <v>521</v>
      </c>
      <c r="K12" t="str">
        <f>INDEX(Tabelle6[#All],Tabelle1[[#This Row],[Match]]+1,1)</f>
        <v>Aleix_V</v>
      </c>
      <c r="L12" s="1">
        <f>INDEX(Tabelle12[#All],Tabelle1[[#This Row],[Match]]+2,28)</f>
        <v>-3.3503583878097385</v>
      </c>
      <c r="M12" t="str">
        <f>INDEX(Tabelle6[#All],Tabelle1[[#This Row],[Match]]+1,2)</f>
        <v>Marcin_S</v>
      </c>
      <c r="N12" s="1">
        <f>INDEX(Tabelle12[#All],Tabelle1[[#This Row],[Match]]+2,29)</f>
        <v>-2.8334278914446029</v>
      </c>
      <c r="O12" s="22" t="s">
        <v>29</v>
      </c>
      <c r="P12" t="str">
        <f>INDEX(Tabelle6[#All],Tabelle1[[#This Row],[Match]]+1,3)</f>
        <v>Richard_D</v>
      </c>
      <c r="Q12" s="1">
        <f>INDEX(Tabelle12[#All],Tabelle1[[#This Row],[Match]]+2,30)</f>
        <v>2.8379237659922705</v>
      </c>
      <c r="R12" t="str">
        <f>INDEX(Tabelle6[#All],Tabelle1[[#This Row],[Match]]+1,4)</f>
        <v>Carsten_H</v>
      </c>
      <c r="S12" s="1">
        <f>INDEX(Tabelle12[#All],Tabelle1[[#This Row],[Match]]+2,31)</f>
        <v>3.3458625132620696</v>
      </c>
      <c r="T12" s="23" t="s">
        <v>31</v>
      </c>
      <c r="U12" s="6">
        <f>INDEX(Tabelle6[#All],Tabelle1[[#This Row],[Match]]+1,5)</f>
        <v>10</v>
      </c>
      <c r="V12" s="6" t="str">
        <f>Tabelle1[[#Headers],[:]]</f>
        <v>:</v>
      </c>
      <c r="W12" s="6">
        <f>INDEX(Tabelle6[#All],Tabelle1[[#This Row],[Match]]+1,6)</f>
        <v>9</v>
      </c>
      <c r="X12" s="15">
        <f>ABS(Tabelle1[[#This Row],[Tore 1]]-Tabelle1[[#This Row],[Tore 2]])</f>
        <v>1</v>
      </c>
      <c r="Y12" s="24"/>
      <c r="Z12" s="24"/>
      <c r="AA12" s="24"/>
      <c r="AF12" s="28">
        <f t="shared" si="2"/>
        <v>9</v>
      </c>
      <c r="AG12" s="29">
        <f>INDEX(Tabelle11[#All],Tabelle10[[#This Row],[Spalte1]]+14,Ranking!$AG$2)</f>
        <v>98.190020511382031</v>
      </c>
      <c r="AH12" s="29">
        <f>INDEX(Tabelle11[#All],Tabelle10[[#This Row],[Spalte1]]+14,$AH$2)</f>
        <v>94.730185162258678</v>
      </c>
      <c r="AI12" s="29">
        <f>INDEX(Tabelle11[#All],Tabelle10[[#This Row],[Spalte1]]+14,$AI$2)</f>
        <v>104.61591054281757</v>
      </c>
      <c r="AJ12" s="29">
        <f>INDEX(Tabelle11[#All],Tabelle10[[#This Row],[Spalte1]]+14,Ranking!$AJ$2)</f>
        <v>101.48900245941834</v>
      </c>
    </row>
    <row r="13" spans="1:36" x14ac:dyDescent="0.25">
      <c r="A13" s="4">
        <f t="shared" si="0"/>
        <v>11</v>
      </c>
      <c r="B13" s="1"/>
      <c r="C13" t="str">
        <f>IF(Tabelle2[[#This Row],[ID]]&gt;1,INDEX(SpielerDaten!$1:$1,1,Tabelle2[[#This Row],[ID]]),"")</f>
        <v>Tim_R</v>
      </c>
      <c r="D13" s="1">
        <f>IF(Tabelle2[[#This Row],[ID]]&gt;1,INDEX(Tabelle11[#All],2,$H13),0)</f>
        <v>103.07503787023374</v>
      </c>
      <c r="E13" s="1">
        <f>IF(Tabelle2[[#This Row],[ID]]&gt;1,INDEX(Tabelle11[#All],3,$H13),0)</f>
        <v>103.92302697040192</v>
      </c>
      <c r="F13" s="1">
        <f>IF(Tabelle2[[#This Row],[ID]]&gt;1,INDEX(Tabelle11[#All],4,$H13),0)</f>
        <v>95.510721241499994</v>
      </c>
      <c r="G13" s="1" t="str">
        <f>IF(Tabelle2[[#This Row],[ID]]&gt;1,INDEX(Tabelle11[#All],9,$H13),"")</f>
        <v>Batterie</v>
      </c>
      <c r="H13" s="16">
        <v>44</v>
      </c>
      <c r="I13" s="1"/>
      <c r="Y13" s="24"/>
      <c r="Z13" s="24"/>
      <c r="AA13" s="24"/>
      <c r="AF13" s="28">
        <f t="shared" si="2"/>
        <v>10</v>
      </c>
      <c r="AG13" s="29">
        <f>INDEX(Tabelle11[#All],Tabelle10[[#This Row],[Spalte1]]+14,Ranking!$AG$2)</f>
        <v>98.190020511382031</v>
      </c>
      <c r="AH13" s="29">
        <f>INDEX(Tabelle11[#All],Tabelle10[[#This Row],[Spalte1]]+14,$AH$2)</f>
        <v>94.730185162258678</v>
      </c>
      <c r="AI13" s="29">
        <f>INDEX(Tabelle11[#All],Tabelle10[[#This Row],[Spalte1]]+14,$AI$2)</f>
        <v>104.61591054281757</v>
      </c>
      <c r="AJ13" s="29">
        <f>INDEX(Tabelle11[#All],Tabelle10[[#This Row],[Spalte1]]+14,Ranking!$AJ$2)</f>
        <v>101.93787653231263</v>
      </c>
    </row>
    <row r="14" spans="1:36" x14ac:dyDescent="0.25">
      <c r="A14" s="4">
        <f t="shared" si="0"/>
        <v>12</v>
      </c>
      <c r="B14" s="1"/>
      <c r="C14" t="str">
        <f>IF(Tabelle2[[#This Row],[ID]]&gt;1,INDEX(SpielerDaten!$1:$1,1,Tabelle2[[#This Row],[ID]]),"")</f>
        <v>Sebastian_A</v>
      </c>
      <c r="D14" s="1">
        <f>IF(Tabelle2[[#This Row],[ID]]&gt;1,INDEX(Tabelle11[#All],2,$H14),0)</f>
        <v>102.89457418671324</v>
      </c>
      <c r="E14" s="1">
        <f>IF(Tabelle2[[#This Row],[ID]]&gt;1,INDEX(Tabelle11[#All],3,$H14),0)</f>
        <v>110.13343022784227</v>
      </c>
      <c r="F14" s="1">
        <f>IF(Tabelle2[[#This Row],[ID]]&gt;1,INDEX(Tabelle11[#All],4,$H14),0)</f>
        <v>100</v>
      </c>
      <c r="G14" s="1" t="str">
        <f>IF(Tabelle2[[#This Row],[ID]]&gt;1,INDEX(Tabelle11[#All],9,$H14),"")</f>
        <v>Devahrens</v>
      </c>
      <c r="H14" s="16">
        <v>40</v>
      </c>
      <c r="I14" s="1"/>
      <c r="Y14" s="24"/>
      <c r="Z14" s="24"/>
      <c r="AA14" s="24"/>
      <c r="AF14" s="28">
        <f t="shared" si="2"/>
        <v>11</v>
      </c>
      <c r="AG14" s="29">
        <f>INDEX(Tabelle11[#All],Tabelle10[[#This Row],[Spalte1]]+14,Ranking!$AG$2)</f>
        <v>98.190020511382031</v>
      </c>
      <c r="AH14" s="29">
        <f>INDEX(Tabelle11[#All],Tabelle10[[#This Row],[Spalte1]]+14,$AH$2)</f>
        <v>94.730185162258678</v>
      </c>
      <c r="AI14" s="29">
        <f>INDEX(Tabelle11[#All],Tabelle10[[#This Row],[Spalte1]]+14,$AI$2)</f>
        <v>104.61591054281757</v>
      </c>
      <c r="AJ14" s="29">
        <f>INDEX(Tabelle11[#All],Tabelle10[[#This Row],[Spalte1]]+14,Ranking!$AJ$2)</f>
        <v>101.93787653231263</v>
      </c>
    </row>
    <row r="15" spans="1:36" x14ac:dyDescent="0.25">
      <c r="A15" s="4">
        <f t="shared" si="0"/>
        <v>13</v>
      </c>
      <c r="B15" s="1"/>
      <c r="C15" t="str">
        <f>IF(Tabelle2[[#This Row],[ID]]&gt;1,INDEX(SpielerDaten!$1:$1,1,Tabelle2[[#This Row],[ID]]),"")</f>
        <v>Benedikt_R</v>
      </c>
      <c r="D15" s="1">
        <f>IF(Tabelle2[[#This Row],[ID]]&gt;1,INDEX(Tabelle11[#All],2,$H15),0)</f>
        <v>102.6264770510757</v>
      </c>
      <c r="E15" s="1">
        <f>IF(Tabelle2[[#This Row],[ID]]&gt;1,INDEX(Tabelle11[#All],3,$H15),0)</f>
        <v>102.6264770510757</v>
      </c>
      <c r="F15" s="1">
        <f>IF(Tabelle2[[#This Row],[ID]]&gt;1,INDEX(Tabelle11[#All],4,$H15),0)</f>
        <v>99.876547356024673</v>
      </c>
      <c r="G15" s="1" t="str">
        <f>IF(Tabelle2[[#This Row],[ID]]&gt;1,INDEX(Tabelle11[#All],9,$H15),"")</f>
        <v>Teamcoach</v>
      </c>
      <c r="H15" s="16">
        <v>8</v>
      </c>
      <c r="I15" s="1"/>
      <c r="X15" s="24"/>
      <c r="Y15" s="24"/>
      <c r="Z15" s="24"/>
      <c r="AA15" s="24"/>
      <c r="AF15" s="28">
        <f t="shared" si="2"/>
        <v>12</v>
      </c>
      <c r="AG15" s="29">
        <f>INDEX(Tabelle11[#All],Tabelle10[[#This Row],[Spalte1]]+14,Ranking!$AG$2)</f>
        <v>98.190020511382031</v>
      </c>
      <c r="AH15" s="29">
        <f>INDEX(Tabelle11[#All],Tabelle10[[#This Row],[Spalte1]]+14,$AH$2)</f>
        <v>94.730185162258678</v>
      </c>
      <c r="AI15" s="29">
        <f>INDEX(Tabelle11[#All],Tabelle10[[#This Row],[Spalte1]]+14,$AI$2)</f>
        <v>104.61591054281757</v>
      </c>
      <c r="AJ15" s="29">
        <f>INDEX(Tabelle11[#All],Tabelle10[[#This Row],[Spalte1]]+14,Ranking!$AJ$2)</f>
        <v>101.93787653231263</v>
      </c>
    </row>
    <row r="16" spans="1:36" x14ac:dyDescent="0.25">
      <c r="A16" s="4">
        <f t="shared" si="0"/>
        <v>14</v>
      </c>
      <c r="B16" s="1"/>
      <c r="C16" s="42" t="str">
        <f>IF(Tabelle2[[#This Row],[ID]]&gt;1,INDEX(SpielerDaten!$1:$1,1,Tabelle2[[#This Row],[ID]]),"")</f>
        <v>Johannes_S</v>
      </c>
      <c r="D16" s="1">
        <f>IF(Tabelle2[[#This Row],[ID]]&gt;1,INDEX(Tabelle11[#All],2,$H16),0)</f>
        <v>102.20284750979505</v>
      </c>
      <c r="E16" s="1">
        <f>IF(Tabelle2[[#This Row],[ID]]&gt;1,INDEX(Tabelle11[#All],3,$H16),0)</f>
        <v>102.20284750979505</v>
      </c>
      <c r="F16" s="1">
        <f>IF(Tabelle2[[#This Row],[ID]]&gt;1,INDEX(Tabelle11[#All],4,$H16),0)</f>
        <v>100</v>
      </c>
      <c r="G16" s="1" t="str">
        <f>IF(Tabelle2[[#This Row],[ID]]&gt;1,INDEX(Tabelle11[#All],9,$H16),"")</f>
        <v>Batterie</v>
      </c>
      <c r="H16" s="16">
        <v>23</v>
      </c>
      <c r="I16" s="1"/>
      <c r="X16" s="24"/>
      <c r="Y16" s="24"/>
      <c r="Z16" s="24"/>
      <c r="AA16" s="24"/>
      <c r="AF16" s="28">
        <f t="shared" si="2"/>
        <v>13</v>
      </c>
      <c r="AG16" s="29">
        <f>INDEX(Tabelle11[#All],Tabelle10[[#This Row],[Spalte1]]+14,Ranking!$AG$2)</f>
        <v>98.190020511382031</v>
      </c>
      <c r="AH16" s="29">
        <f>INDEX(Tabelle11[#All],Tabelle10[[#This Row],[Spalte1]]+14,$AH$2)</f>
        <v>96.064789780442325</v>
      </c>
      <c r="AI16" s="29">
        <f>INDEX(Tabelle11[#All],Tabelle10[[#This Row],[Spalte1]]+14,$AI$2)</f>
        <v>103.28715760146696</v>
      </c>
      <c r="AJ16" s="29">
        <f>INDEX(Tabelle11[#All],Tabelle10[[#This Row],[Spalte1]]+14,Ranking!$AJ$2)</f>
        <v>101.93787653231263</v>
      </c>
    </row>
    <row r="17" spans="1:36" x14ac:dyDescent="0.25">
      <c r="A17" s="4">
        <f t="shared" si="0"/>
        <v>15</v>
      </c>
      <c r="B17" s="1"/>
      <c r="C17" t="str">
        <f>IF(Tabelle2[[#This Row],[ID]]&gt;1,INDEX(SpielerDaten!$1:$1,1,Tabelle2[[#This Row],[ID]]),"")</f>
        <v>Marco_K</v>
      </c>
      <c r="D17" s="1">
        <f>IF(Tabelle2[[#This Row],[ID]]&gt;1,INDEX(Tabelle11[#All],2,$H17),0)</f>
        <v>102.12169819441469</v>
      </c>
      <c r="E17" s="1">
        <f>IF(Tabelle2[[#This Row],[ID]]&gt;1,INDEX(Tabelle11[#All],3,$H17),0)</f>
        <v>103.21260941065916</v>
      </c>
      <c r="F17" s="1">
        <f>IF(Tabelle2[[#This Row],[ID]]&gt;1,INDEX(Tabelle11[#All],4,$H17),0)</f>
        <v>99.39527591064693</v>
      </c>
      <c r="G17" s="1" t="str">
        <f>IF(Tabelle2[[#This Row],[ID]]&gt;1,INDEX(Tabelle11[#All],9,$H17),"")</f>
        <v>Teamcoach</v>
      </c>
      <c r="H17" s="16">
        <v>29</v>
      </c>
      <c r="I17" s="1"/>
      <c r="AF17" s="28">
        <f t="shared" si="2"/>
        <v>14</v>
      </c>
      <c r="AG17" s="29">
        <f>INDEX(Tabelle11[#All],Tabelle10[[#This Row],[Spalte1]]+14,Ranking!$AG$2)</f>
        <v>98.190020511382031</v>
      </c>
      <c r="AH17" s="29">
        <f>INDEX(Tabelle11[#All],Tabelle10[[#This Row],[Spalte1]]+14,$AH$2)</f>
        <v>95.606023026109952</v>
      </c>
      <c r="AI17" s="29">
        <f>INDEX(Tabelle11[#All],Tabelle10[[#This Row],[Spalte1]]+14,$AI$2)</f>
        <v>103.74771032506526</v>
      </c>
      <c r="AJ17" s="29">
        <f>INDEX(Tabelle11[#All],Tabelle10[[#This Row],[Spalte1]]+14,Ranking!$AJ$2)</f>
        <v>101.93787653231263</v>
      </c>
    </row>
    <row r="18" spans="1:36" x14ac:dyDescent="0.25">
      <c r="A18" s="4">
        <f t="shared" si="0"/>
        <v>16</v>
      </c>
      <c r="B18" s="1" t="s">
        <v>170</v>
      </c>
      <c r="C18" t="str">
        <f>IF(Tabelle2[[#This Row],[ID]]&gt;1,INDEX(SpielerDaten!$1:$1,1,Tabelle2[[#This Row],[ID]]),"")</f>
        <v>Aleix_V</v>
      </c>
      <c r="D18" s="1">
        <f>IF(Tabelle2[[#This Row],[ID]]&gt;1,INDEX(Tabelle11[#All],2,$H18),0)</f>
        <v>102.47318019444646</v>
      </c>
      <c r="E18" s="1">
        <f>IF(Tabelle2[[#This Row],[ID]]&gt;1,INDEX(Tabelle11[#All],3,$H18),0)</f>
        <v>110.11283764865146</v>
      </c>
      <c r="F18" s="1">
        <f>IF(Tabelle2[[#This Row],[ID]]&gt;1,INDEX(Tabelle11[#All],4,$H18),0)</f>
        <v>92.912707146336501</v>
      </c>
      <c r="G18" s="1" t="str">
        <f>IF(Tabelle2[[#This Row],[ID]]&gt;1,INDEX(Tabelle11[#All],9,$H18),"")</f>
        <v>Katalanen</v>
      </c>
      <c r="H18" s="16">
        <v>2</v>
      </c>
      <c r="I18" s="1"/>
      <c r="AF18" s="28">
        <f t="shared" si="2"/>
        <v>15</v>
      </c>
      <c r="AG18" s="29">
        <f>INDEX(Tabelle11[#All],Tabelle10[[#This Row],[Spalte1]]+14,Ranking!$AG$2)</f>
        <v>97.931383055638335</v>
      </c>
      <c r="AH18" s="29">
        <f>INDEX(Tabelle11[#All],Tabelle10[[#This Row],[Spalte1]]+14,$AH$2)</f>
        <v>95.606023026109952</v>
      </c>
      <c r="AI18" s="29">
        <f>INDEX(Tabelle11[#All],Tabelle10[[#This Row],[Spalte1]]+14,$AI$2)</f>
        <v>103.74771032506526</v>
      </c>
      <c r="AJ18" s="29">
        <f>INDEX(Tabelle11[#All],Tabelle10[[#This Row],[Spalte1]]+14,Ranking!$AJ$2)</f>
        <v>101.93787653231263</v>
      </c>
    </row>
    <row r="19" spans="1:36" x14ac:dyDescent="0.25">
      <c r="A19" s="4">
        <f t="shared" si="0"/>
        <v>17</v>
      </c>
      <c r="B19" s="32" t="s">
        <v>169</v>
      </c>
      <c r="C19" t="str">
        <f>IF(Tabelle2[[#This Row],[ID]]&gt;1,INDEX(SpielerDaten!$1:$1,1,Tabelle2[[#This Row],[ID]]),"")</f>
        <v>Benedikt_K</v>
      </c>
      <c r="D19" s="1">
        <f>IF(Tabelle2[[#This Row],[ID]]&gt;1,INDEX(Tabelle11[#All],2,$H19),0)</f>
        <v>101.20264176422626</v>
      </c>
      <c r="E19" s="1">
        <f>IF(Tabelle2[[#This Row],[ID]]&gt;1,INDEX(Tabelle11[#All],3,$H19),0)</f>
        <v>101.20264176422626</v>
      </c>
      <c r="F19" s="1">
        <f>IF(Tabelle2[[#This Row],[ID]]&gt;1,INDEX(Tabelle11[#All],4,$H19),0)</f>
        <v>100</v>
      </c>
      <c r="G19" s="1" t="str">
        <f>IF(Tabelle2[[#This Row],[ID]]&gt;1,INDEX(Tabelle11[#All],9,$H19),"")</f>
        <v>TUV</v>
      </c>
      <c r="H19" s="16">
        <v>7</v>
      </c>
      <c r="I19" s="1"/>
      <c r="AF19" s="28">
        <f t="shared" si="2"/>
        <v>16</v>
      </c>
      <c r="AG19" s="29">
        <f>INDEX(Tabelle11[#All],Tabelle10[[#This Row],[Spalte1]]+14,Ranking!$AG$2)</f>
        <v>100.06551835786881</v>
      </c>
      <c r="AH19" s="29">
        <f>INDEX(Tabelle11[#All],Tabelle10[[#This Row],[Spalte1]]+14,$AH$2)</f>
        <v>95.606023026109952</v>
      </c>
      <c r="AI19" s="29">
        <f>INDEX(Tabelle11[#All],Tabelle10[[#This Row],[Spalte1]]+14,$AI$2)</f>
        <v>103.74771032506526</v>
      </c>
      <c r="AJ19" s="29">
        <f>INDEX(Tabelle11[#All],Tabelle10[[#This Row],[Spalte1]]+14,Ranking!$AJ$2)</f>
        <v>101.93787653231263</v>
      </c>
    </row>
    <row r="20" spans="1:36" x14ac:dyDescent="0.25">
      <c r="A20" s="4">
        <f t="shared" si="0"/>
        <v>18</v>
      </c>
      <c r="B20" s="32" t="s">
        <v>169</v>
      </c>
      <c r="C20" t="str">
        <f>IF(Tabelle2[[#This Row],[ID]]&gt;1,INDEX(SpielerDaten!$1:$1,1,Tabelle2[[#This Row],[ID]]),"")</f>
        <v>Rene_N</v>
      </c>
      <c r="D20" s="1">
        <f>IF(Tabelle2[[#This Row],[ID]]&gt;1,INDEX(Tabelle11[#All],2,$H20),0)</f>
        <v>101.06482124619033</v>
      </c>
      <c r="E20" s="1">
        <f>IF(Tabelle2[[#This Row],[ID]]&gt;1,INDEX(Tabelle11[#All],3,$H20),0)</f>
        <v>102.36653652492319</v>
      </c>
      <c r="F20" s="1">
        <f>IF(Tabelle2[[#This Row],[ID]]&gt;1,INDEX(Tabelle11[#All],4,$H20),0)</f>
        <v>100</v>
      </c>
      <c r="G20" s="1" t="str">
        <f>IF(Tabelle2[[#This Row],[ID]]&gt;1,INDEX(Tabelle11[#All],9,$H20),"")</f>
        <v>Batterie</v>
      </c>
      <c r="H20" s="16">
        <v>36</v>
      </c>
      <c r="I20" s="1"/>
      <c r="AF20" s="28">
        <f t="shared" si="2"/>
        <v>17</v>
      </c>
      <c r="AG20" s="29">
        <f>INDEX(Tabelle11[#All],Tabelle10[[#This Row],[Spalte1]]+14,Ranking!$AG$2)</f>
        <v>100.06551835786881</v>
      </c>
      <c r="AH20" s="29">
        <f>INDEX(Tabelle11[#All],Tabelle10[[#This Row],[Spalte1]]+14,$AH$2)</f>
        <v>95.606023026109952</v>
      </c>
      <c r="AI20" s="29">
        <f>INDEX(Tabelle11[#All],Tabelle10[[#This Row],[Spalte1]]+14,$AI$2)</f>
        <v>104.34855021027667</v>
      </c>
      <c r="AJ20" s="29">
        <f>INDEX(Tabelle11[#All],Tabelle10[[#This Row],[Spalte1]]+14,Ranking!$AJ$2)</f>
        <v>101.31365206480258</v>
      </c>
    </row>
    <row r="21" spans="1:36" x14ac:dyDescent="0.25">
      <c r="A21" s="4">
        <f t="shared" si="0"/>
        <v>19</v>
      </c>
      <c r="B21" s="34" t="s">
        <v>171</v>
      </c>
      <c r="C21" t="str">
        <f>IF(Tabelle2[[#This Row],[ID]]&gt;1,INDEX(SpielerDaten!$1:$1,1,Tabelle2[[#This Row],[ID]]),"")</f>
        <v>Jan_Hendrik_B</v>
      </c>
      <c r="D21" s="1">
        <f>IF(Tabelle2[[#This Row],[ID]]&gt;1,INDEX(Tabelle11[#All],2,$H21),0)</f>
        <v>100.75492416935522</v>
      </c>
      <c r="E21" s="1">
        <f>IF(Tabelle2[[#This Row],[ID]]&gt;1,INDEX(Tabelle11[#All],3,$H21),0)</f>
        <v>101.39363643143213</v>
      </c>
      <c r="F21" s="1">
        <f>IF(Tabelle2[[#This Row],[ID]]&gt;1,INDEX(Tabelle11[#All],4,$H21),0)</f>
        <v>98.778848255775031</v>
      </c>
      <c r="G21" s="1" t="str">
        <f>IF(Tabelle2[[#This Row],[ID]]&gt;1,INDEX(Tabelle11[#All],9,$H21),"")</f>
        <v>Batterie</v>
      </c>
      <c r="H21" s="16">
        <v>21</v>
      </c>
      <c r="I21" s="1"/>
      <c r="AF21" s="28">
        <f t="shared" si="2"/>
        <v>18</v>
      </c>
      <c r="AG21" s="29">
        <f>INDEX(Tabelle11[#All],Tabelle10[[#This Row],[Spalte1]]+14,Ranking!$AG$2)</f>
        <v>100.06551835786881</v>
      </c>
      <c r="AH21" s="29">
        <f>INDEX(Tabelle11[#All],Tabelle10[[#This Row],[Spalte1]]+14,$AH$2)</f>
        <v>95.606023026109952</v>
      </c>
      <c r="AI21" s="29">
        <f>INDEX(Tabelle11[#All],Tabelle10[[#This Row],[Spalte1]]+14,$AI$2)</f>
        <v>108.36216434613463</v>
      </c>
      <c r="AJ21" s="29">
        <f>INDEX(Tabelle11[#All],Tabelle10[[#This Row],[Spalte1]]+14,Ranking!$AJ$2)</f>
        <v>97.146605546419963</v>
      </c>
    </row>
    <row r="22" spans="1:36" x14ac:dyDescent="0.25">
      <c r="A22" s="4">
        <f t="shared" si="0"/>
        <v>20</v>
      </c>
      <c r="B22" s="34" t="s">
        <v>171</v>
      </c>
      <c r="C22" t="str">
        <f>IF(Tabelle2[[#This Row],[ID]]&gt;1,INDEX(SpielerDaten!$1:$1,1,Tabelle2[[#This Row],[ID]]),"")</f>
        <v>Dmitrij_M</v>
      </c>
      <c r="D22" s="1">
        <f>IF(Tabelle2[[#This Row],[ID]]&gt;1,INDEX(Tabelle11[#All],2,$H22),0)</f>
        <v>100.69975721846207</v>
      </c>
      <c r="E22" s="1">
        <f>IF(Tabelle2[[#This Row],[ID]]&gt;1,INDEX(Tabelle11[#All],3,$H22),0)</f>
        <v>100.69975721846207</v>
      </c>
      <c r="F22" s="1">
        <f>IF(Tabelle2[[#This Row],[ID]]&gt;1,INDEX(Tabelle11[#All],4,$H22),0)</f>
        <v>100</v>
      </c>
      <c r="G22" s="1" t="str">
        <f>IF(Tabelle2[[#This Row],[ID]]&gt;1,INDEX(Tabelle11[#All],9,$H22),"")</f>
        <v>Batterie</v>
      </c>
      <c r="H22" s="16">
        <v>17</v>
      </c>
      <c r="I22" s="1"/>
      <c r="AF22" s="28">
        <f t="shared" si="2"/>
        <v>19</v>
      </c>
      <c r="AG22" s="29">
        <f>INDEX(Tabelle11[#All],Tabelle10[[#This Row],[Spalte1]]+14,Ranking!$AG$2)</f>
        <v>95.409006785283907</v>
      </c>
      <c r="AH22" s="29">
        <f>INDEX(Tabelle11[#All],Tabelle10[[#This Row],[Spalte1]]+14,$AH$2)</f>
        <v>95.606023026109952</v>
      </c>
      <c r="AI22" s="29">
        <f>INDEX(Tabelle11[#All],Tabelle10[[#This Row],[Spalte1]]+14,$AI$2)</f>
        <v>112.74106040306154</v>
      </c>
      <c r="AJ22" s="29">
        <f>INDEX(Tabelle11[#All],Tabelle10[[#This Row],[Spalte1]]+14,Ranking!$AJ$2)</f>
        <v>102.03104439537819</v>
      </c>
    </row>
    <row r="23" spans="1:36" x14ac:dyDescent="0.25">
      <c r="A23" s="4">
        <f t="shared" si="0"/>
        <v>21</v>
      </c>
      <c r="B23" s="34" t="s">
        <v>170</v>
      </c>
      <c r="C23" t="str">
        <f>IF(Tabelle2[[#This Row],[ID]]&gt;1,INDEX(SpielerDaten!$1:$1,1,Tabelle2[[#This Row],[ID]]),"")</f>
        <v>Jan_B</v>
      </c>
      <c r="D23" s="1">
        <f>IF(Tabelle2[[#This Row],[ID]]&gt;1,INDEX(Tabelle11[#All],2,$H23),0)</f>
        <v>100.2794420429173</v>
      </c>
      <c r="E23" s="1">
        <f>IF(Tabelle2[[#This Row],[ID]]&gt;1,INDEX(Tabelle11[#All],3,$H23),0)</f>
        <v>111.30922678166522</v>
      </c>
      <c r="F23" s="1">
        <f>IF(Tabelle2[[#This Row],[ID]]&gt;1,INDEX(Tabelle11[#All],4,$H23),0)</f>
        <v>96.499002064572466</v>
      </c>
      <c r="G23" s="1" t="str">
        <f>IF(Tabelle2[[#This Row],[ID]]&gt;1,INDEX(Tabelle11[#All],9,$H23),"")</f>
        <v>Kompetenz</v>
      </c>
      <c r="H23" s="16">
        <v>20</v>
      </c>
      <c r="I23" s="1"/>
      <c r="AF23" s="28">
        <f t="shared" si="2"/>
        <v>20</v>
      </c>
      <c r="AG23" s="29">
        <f>INDEX(Tabelle11[#All],Tabelle10[[#This Row],[Spalte1]]+14,Ranking!$AG$2)</f>
        <v>95.145163744978248</v>
      </c>
      <c r="AH23" s="29">
        <f>INDEX(Tabelle11[#All],Tabelle10[[#This Row],[Spalte1]]+14,$AH$2)</f>
        <v>95.606023026109952</v>
      </c>
      <c r="AI23" s="29">
        <f>INDEX(Tabelle11[#All],Tabelle10[[#This Row],[Spalte1]]+14,$AI$2)</f>
        <v>112.99040891499128</v>
      </c>
      <c r="AJ23" s="29">
        <f>INDEX(Tabelle11[#All],Tabelle10[[#This Row],[Spalte1]]+14,Ranking!$AJ$2)</f>
        <v>102.30656657405891</v>
      </c>
    </row>
    <row r="24" spans="1:36" x14ac:dyDescent="0.25">
      <c r="A24" s="4">
        <f t="shared" si="0"/>
        <v>22</v>
      </c>
      <c r="B24" s="34"/>
      <c r="C24" t="str">
        <f>IF(Tabelle2[[#This Row],[ID]]&gt;1,INDEX(SpielerDaten!$1:$1,1,Tabelle2[[#This Row],[ID]]),"")</f>
        <v>Dennis_P</v>
      </c>
      <c r="D24" s="1">
        <f>IF(Tabelle2[[#This Row],[ID]]&gt;1,INDEX(Tabelle11[#All],2,$H24),0)</f>
        <v>100.04773223105254</v>
      </c>
      <c r="E24" s="1">
        <f>IF(Tabelle2[[#This Row],[ID]]&gt;1,INDEX(Tabelle11[#All],3,$H24),0)</f>
        <v>101.75024271426307</v>
      </c>
      <c r="F24" s="1">
        <f>IF(Tabelle2[[#This Row],[ID]]&gt;1,INDEX(Tabelle11[#All],4,$H24),0)</f>
        <v>99.631251706469783</v>
      </c>
      <c r="G24" s="1" t="str">
        <f>IF(Tabelle2[[#This Row],[ID]]&gt;1,INDEX(Tabelle11[#All],9,$H24),"")</f>
        <v>Batterie</v>
      </c>
      <c r="H24" s="16">
        <v>14</v>
      </c>
      <c r="AF24" s="28">
        <f t="shared" si="2"/>
        <v>21</v>
      </c>
      <c r="AG24" s="29">
        <f>INDEX(Tabelle11[#All],Tabelle10[[#This Row],[Spalte1]]+14,Ranking!$AG$2)</f>
        <v>95.145163744978248</v>
      </c>
      <c r="AH24" s="29">
        <f>INDEX(Tabelle11[#All],Tabelle10[[#This Row],[Spalte1]]+14,$AH$2)</f>
        <v>95.606023026109952</v>
      </c>
      <c r="AI24" s="29">
        <f>INDEX(Tabelle11[#All],Tabelle10[[#This Row],[Spalte1]]+14,$AI$2)</f>
        <v>112.99040891499128</v>
      </c>
      <c r="AJ24" s="29">
        <f>INDEX(Tabelle11[#All],Tabelle10[[#This Row],[Spalte1]]+14,Ranking!$AJ$2)</f>
        <v>102.30656657405891</v>
      </c>
    </row>
    <row r="25" spans="1:36" x14ac:dyDescent="0.25">
      <c r="A25" s="4">
        <f t="shared" si="0"/>
        <v>23</v>
      </c>
      <c r="B25" s="1"/>
      <c r="C25" t="str">
        <f>IF(Tabelle2[[#This Row],[ID]]&gt;1,INDEX(SpielerDaten!$1:$1,1,Tabelle2[[#This Row],[ID]]),"")</f>
        <v>Yixin_G</v>
      </c>
      <c r="D25" s="1">
        <f>IF(Tabelle2[[#This Row],[ID]]&gt;1,INDEX(Tabelle11[#All],2,$H25),0)</f>
        <v>99.900323214082661</v>
      </c>
      <c r="E25" s="1">
        <f>IF(Tabelle2[[#This Row],[ID]]&gt;1,INDEX(Tabelle11[#All],3,$H25),0)</f>
        <v>101.17952157002006</v>
      </c>
      <c r="F25" s="1">
        <f>IF(Tabelle2[[#This Row],[ID]]&gt;1,INDEX(Tabelle11[#All],4,$H25),0)</f>
        <v>99.900323214082661</v>
      </c>
      <c r="G25" s="1" t="str">
        <f>IF(Tabelle2[[#This Row],[ID]]&gt;1,INDEX(Tabelle11[#All],9,$H25),"")</f>
        <v>Batterie</v>
      </c>
      <c r="H25" s="16">
        <v>48</v>
      </c>
      <c r="AF25" s="28">
        <f t="shared" si="2"/>
        <v>22</v>
      </c>
      <c r="AG25" s="29">
        <f>INDEX(Tabelle11[#All],Tabelle10[[#This Row],[Spalte1]]+14,Ranking!$AG$2)</f>
        <v>95.145163744978248</v>
      </c>
      <c r="AH25" s="29">
        <f>INDEX(Tabelle11[#All],Tabelle10[[#This Row],[Spalte1]]+14,$AH$2)</f>
        <v>95.606023026109952</v>
      </c>
      <c r="AI25" s="29">
        <f>INDEX(Tabelle11[#All],Tabelle10[[#This Row],[Spalte1]]+14,$AI$2)</f>
        <v>112.99040891499128</v>
      </c>
      <c r="AJ25" s="29">
        <f>INDEX(Tabelle11[#All],Tabelle10[[#This Row],[Spalte1]]+14,Ranking!$AJ$2)</f>
        <v>102.30656657405891</v>
      </c>
    </row>
    <row r="26" spans="1:36" x14ac:dyDescent="0.25">
      <c r="A26" s="4">
        <f t="shared" si="0"/>
        <v>24</v>
      </c>
      <c r="B26" s="1"/>
      <c r="C26" s="42" t="str">
        <f>IF(Tabelle2[[#This Row],[ID]]&gt;1,INDEX(SpielerDaten!$1:$1,1,Tabelle2[[#This Row],[ID]]),"")</f>
        <v>Jens_N</v>
      </c>
      <c r="D26" s="1">
        <f>IF(Tabelle2[[#This Row],[ID]]&gt;1,INDEX(Tabelle11[#All],2,$H26),0)</f>
        <v>99.643534710196832</v>
      </c>
      <c r="E26" s="1">
        <f>IF(Tabelle2[[#This Row],[ID]]&gt;1,INDEX(Tabelle11[#All],3,$H26),0)</f>
        <v>104.98185857173245</v>
      </c>
      <c r="F26" s="1">
        <f>IF(Tabelle2[[#This Row],[ID]]&gt;1,INDEX(Tabelle11[#All],4,$H26),0)</f>
        <v>94.984000822155323</v>
      </c>
      <c r="G26" s="1" t="str">
        <f>IF(Tabelle2[[#This Row],[ID]]&gt;1,INDEX(Tabelle11[#All],9,$H26),"")</f>
        <v>Konkurrenz</v>
      </c>
      <c r="H26" s="16">
        <v>22</v>
      </c>
      <c r="AF26" s="28">
        <f t="shared" si="2"/>
        <v>23</v>
      </c>
      <c r="AG26" s="29">
        <f>INDEX(Tabelle11[#All],Tabelle10[[#This Row],[Spalte1]]+14,Ranking!$AG$2)</f>
        <v>95.145163744978248</v>
      </c>
      <c r="AH26" s="29">
        <f>INDEX(Tabelle11[#All],Tabelle10[[#This Row],[Spalte1]]+14,$AH$2)</f>
        <v>92.34019236786942</v>
      </c>
      <c r="AI26" s="29">
        <f>INDEX(Tabelle11[#All],Tabelle10[[#This Row],[Spalte1]]+14,$AI$2)</f>
        <v>112.99040891499128</v>
      </c>
      <c r="AJ26" s="29">
        <f>INDEX(Tabelle11[#All],Tabelle10[[#This Row],[Spalte1]]+14,Ranking!$AJ$2)</f>
        <v>98.811850330442752</v>
      </c>
    </row>
    <row r="27" spans="1:36" x14ac:dyDescent="0.25">
      <c r="A27" s="4">
        <f t="shared" si="0"/>
        <v>25</v>
      </c>
      <c r="B27" s="1"/>
      <c r="C27" t="str">
        <f>IF(Tabelle2[[#This Row],[ID]]&gt;1,INDEX(SpielerDaten!$1:$1,1,Tabelle2[[#This Row],[ID]]),"")</f>
        <v>Simon_U</v>
      </c>
      <c r="D27" s="1">
        <f>IF(Tabelle2[[#This Row],[ID]]&gt;1,INDEX(Tabelle11[#All],2,$H27),0)</f>
        <v>99.623054841470903</v>
      </c>
      <c r="E27" s="1">
        <f>IF(Tabelle2[[#This Row],[ID]]&gt;1,INDEX(Tabelle11[#All],3,$H27),0)</f>
        <v>105.39005898262171</v>
      </c>
      <c r="F27" s="1">
        <f>IF(Tabelle2[[#This Row],[ID]]&gt;1,INDEX(Tabelle11[#All],4,$H27),0)</f>
        <v>99.111762264676429</v>
      </c>
      <c r="G27" s="1" t="str">
        <f>IF(Tabelle2[[#This Row],[ID]]&gt;1,INDEX(Tabelle11[#All],9,$H27),"")</f>
        <v>Batterie</v>
      </c>
      <c r="H27" s="16">
        <v>42</v>
      </c>
      <c r="AF27" s="28">
        <f t="shared" si="2"/>
        <v>24</v>
      </c>
      <c r="AG27" s="29">
        <f>INDEX(Tabelle11[#All],Tabelle10[[#This Row],[Spalte1]]+14,Ranking!$AG$2)</f>
        <v>95.145163744978248</v>
      </c>
      <c r="AH27" s="29">
        <f>INDEX(Tabelle11[#All],Tabelle10[[#This Row],[Spalte1]]+14,$AH$2)</f>
        <v>90.644924460314527</v>
      </c>
      <c r="AI27" s="29">
        <f>INDEX(Tabelle11[#All],Tabelle10[[#This Row],[Spalte1]]+14,$AI$2)</f>
        <v>112.99040891499128</v>
      </c>
      <c r="AJ27" s="29">
        <f>INDEX(Tabelle11[#All],Tabelle10[[#This Row],[Spalte1]]+14,Ranking!$AJ$2)</f>
        <v>96.997769652724728</v>
      </c>
    </row>
    <row r="28" spans="1:36" x14ac:dyDescent="0.25">
      <c r="A28" s="4">
        <f t="shared" si="0"/>
        <v>26</v>
      </c>
      <c r="B28" s="1"/>
      <c r="C28" t="str">
        <f>IF(Tabelle2[[#This Row],[ID]]&gt;1,INDEX(SpielerDaten!$1:$1,1,Tabelle2[[#This Row],[ID]]),"")</f>
        <v>Daniel_D</v>
      </c>
      <c r="D28" s="1">
        <f>IF(Tabelle2[[#This Row],[ID]]&gt;1,INDEX(Tabelle11[#All],2,$H28),0)</f>
        <v>99.990299180470089</v>
      </c>
      <c r="E28" s="1">
        <f>IF(Tabelle2[[#This Row],[ID]]&gt;1,INDEX(Tabelle11[#All],3,$H28),0)</f>
        <v>103.90222541083598</v>
      </c>
      <c r="F28" s="1">
        <f>IF(Tabelle2[[#This Row],[ID]]&gt;1,INDEX(Tabelle11[#All],4,$H28),0)</f>
        <v>95.137243849780631</v>
      </c>
      <c r="G28" s="1" t="str">
        <f>IF(Tabelle2[[#This Row],[ID]]&gt;1,INDEX(Tabelle11[#All],9,$H28),"")</f>
        <v>Devahrens</v>
      </c>
      <c r="H28" s="16">
        <v>12</v>
      </c>
      <c r="AF28" s="28">
        <f t="shared" si="2"/>
        <v>25</v>
      </c>
      <c r="AG28" s="29">
        <f>INDEX(Tabelle11[#All],Tabelle10[[#This Row],[Spalte1]]+14,Ranking!$AG$2)</f>
        <v>97.607955102869965</v>
      </c>
      <c r="AH28" s="29">
        <f>INDEX(Tabelle11[#All],Tabelle10[[#This Row],[Spalte1]]+14,$AH$2)</f>
        <v>90.644924460314527</v>
      </c>
      <c r="AI28" s="29">
        <f>INDEX(Tabelle11[#All],Tabelle10[[#This Row],[Spalte1]]+14,$AI$2)</f>
        <v>110.62868392453026</v>
      </c>
      <c r="AJ28" s="29">
        <f>INDEX(Tabelle11[#All],Tabelle10[[#This Row],[Spalte1]]+14,Ranking!$AJ$2)</f>
        <v>96.997769652724728</v>
      </c>
    </row>
    <row r="29" spans="1:36" x14ac:dyDescent="0.25">
      <c r="A29" s="4">
        <f t="shared" si="0"/>
        <v>27</v>
      </c>
      <c r="B29" s="1"/>
      <c r="C29" t="str">
        <f>IF(Tabelle2[[#This Row],[ID]]&gt;1,INDEX(SpielerDaten!$1:$1,1,Tabelle2[[#This Row],[ID]]),"")</f>
        <v>Anton_K</v>
      </c>
      <c r="D29" s="1">
        <f>IF(Tabelle2[[#This Row],[ID]]&gt;1,INDEX(Tabelle11[#All],2,$H29),0)</f>
        <v>99.287728777054667</v>
      </c>
      <c r="E29" s="1">
        <f>IF(Tabelle2[[#This Row],[ID]]&gt;1,INDEX(Tabelle11[#All],3,$H29),0)</f>
        <v>101.17952157002006</v>
      </c>
      <c r="F29" s="1">
        <f>IF(Tabelle2[[#This Row],[ID]]&gt;1,INDEX(Tabelle11[#All],4,$H29),0)</f>
        <v>97.69521325787963</v>
      </c>
      <c r="G29" s="1" t="str">
        <f>IF(Tabelle2[[#This Row],[ID]]&gt;1,INDEX(Tabelle11[#All],9,$H29),"")</f>
        <v>Batterie</v>
      </c>
      <c r="H29" s="16">
        <v>4</v>
      </c>
      <c r="AF29" s="28">
        <f t="shared" si="2"/>
        <v>26</v>
      </c>
      <c r="AG29" s="29">
        <f>INDEX(Tabelle11[#All],Tabelle10[[#This Row],[Spalte1]]+14,Ranking!$AG$2)</f>
        <v>98.586192156994812</v>
      </c>
      <c r="AH29" s="29">
        <f>INDEX(Tabelle11[#All],Tabelle10[[#This Row],[Spalte1]]+14,$AH$2)</f>
        <v>90.644924460314527</v>
      </c>
      <c r="AI29" s="29">
        <f>INDEX(Tabelle11[#All],Tabelle10[[#This Row],[Spalte1]]+14,$AI$2)</f>
        <v>109.68852083373437</v>
      </c>
      <c r="AJ29" s="29">
        <f>INDEX(Tabelle11[#All],Tabelle10[[#This Row],[Spalte1]]+14,Ranking!$AJ$2)</f>
        <v>96.997769652724728</v>
      </c>
    </row>
    <row r="30" spans="1:36" x14ac:dyDescent="0.25">
      <c r="A30" s="4">
        <f t="shared" si="0"/>
        <v>28</v>
      </c>
      <c r="B30" s="1"/>
      <c r="C30" t="str">
        <f>IF(Tabelle2[[#This Row],[ID]]&gt;1,INDEX(SpielerDaten!$1:$1,1,Tabelle2[[#This Row],[ID]]),"")</f>
        <v>Patrick_S</v>
      </c>
      <c r="D30" s="1">
        <f>IF(Tabelle2[[#This Row],[ID]]&gt;1,INDEX(Tabelle11[#All],2,$H30),0)</f>
        <v>98.975330692053802</v>
      </c>
      <c r="E30" s="1">
        <f>IF(Tabelle2[[#This Row],[ID]]&gt;1,INDEX(Tabelle11[#All],3,$H30),0)</f>
        <v>100</v>
      </c>
      <c r="F30" s="1">
        <f>IF(Tabelle2[[#This Row],[ID]]&gt;1,INDEX(Tabelle11[#All],4,$H30),0)</f>
        <v>95.492997296199022</v>
      </c>
      <c r="G30" s="1" t="str">
        <f>IF(Tabelle2[[#This Row],[ID]]&gt;1,INDEX(Tabelle11[#All],9,$H30),"")</f>
        <v>Koeln</v>
      </c>
      <c r="H30" s="16">
        <v>34</v>
      </c>
      <c r="AF30" s="28">
        <f t="shared" si="2"/>
        <v>27</v>
      </c>
      <c r="AG30" s="29">
        <f>INDEX(Tabelle11[#All],Tabelle10[[#This Row],[Spalte1]]+14,Ranking!$AG$2)</f>
        <v>98.586192156994812</v>
      </c>
      <c r="AH30" s="29">
        <f>INDEX(Tabelle11[#All],Tabelle10[[#This Row],[Spalte1]]+14,$AH$2)</f>
        <v>90.644924460314527</v>
      </c>
      <c r="AI30" s="29">
        <f>INDEX(Tabelle11[#All],Tabelle10[[#This Row],[Spalte1]]+14,$AI$2)</f>
        <v>109.68852083373437</v>
      </c>
      <c r="AJ30" s="29">
        <f>INDEX(Tabelle11[#All],Tabelle10[[#This Row],[Spalte1]]+14,Ranking!$AJ$2)</f>
        <v>96.997769652724728</v>
      </c>
    </row>
    <row r="31" spans="1:36" x14ac:dyDescent="0.25">
      <c r="A31" s="4">
        <f t="shared" si="0"/>
        <v>29</v>
      </c>
      <c r="B31" s="1"/>
      <c r="C31" t="str">
        <f>IF(Tabelle2[[#This Row],[ID]]&gt;1,INDEX(SpielerDaten!$1:$1,1,Tabelle2[[#This Row],[ID]]),"")</f>
        <v>Jonathan_F</v>
      </c>
      <c r="D31" s="1">
        <f>IF(Tabelle2[[#This Row],[ID]]&gt;1,INDEX(Tabelle11[#All],2,$H31),0)</f>
        <v>98.938308797866256</v>
      </c>
      <c r="E31" s="1">
        <f>IF(Tabelle2[[#This Row],[ID]]&gt;1,INDEX(Tabelle11[#All],3,$H31),0)</f>
        <v>100</v>
      </c>
      <c r="F31" s="1">
        <f>IF(Tabelle2[[#This Row],[ID]]&gt;1,INDEX(Tabelle11[#All],4,$H31),0)</f>
        <v>98.938308797866256</v>
      </c>
      <c r="G31" s="1" t="str">
        <f>IF(Tabelle2[[#This Row],[ID]]&gt;1,INDEX(Tabelle11[#All],9,$H31),"")</f>
        <v>FuSi</v>
      </c>
      <c r="H31" s="16">
        <v>24</v>
      </c>
      <c r="AF31" s="28">
        <f t="shared" si="2"/>
        <v>28</v>
      </c>
      <c r="AG31" s="29">
        <f>INDEX(Tabelle11[#All],Tabelle10[[#This Row],[Spalte1]]+14,Ranking!$AG$2)</f>
        <v>97.485740590077626</v>
      </c>
      <c r="AH31" s="29">
        <f>INDEX(Tabelle11[#All],Tabelle10[[#This Row],[Spalte1]]+14,$AH$2)</f>
        <v>90.644924460314527</v>
      </c>
      <c r="AI31" s="29">
        <f>INDEX(Tabelle11[#All],Tabelle10[[#This Row],[Spalte1]]+14,$AI$2)</f>
        <v>110.69678014219414</v>
      </c>
      <c r="AJ31" s="29">
        <f>INDEX(Tabelle11[#All],Tabelle10[[#This Row],[Spalte1]]+14,Ranking!$AJ$2)</f>
        <v>95.915048581280658</v>
      </c>
    </row>
    <row r="32" spans="1:36" x14ac:dyDescent="0.25">
      <c r="A32" s="4">
        <f t="shared" si="0"/>
        <v>30</v>
      </c>
      <c r="B32" s="34"/>
      <c r="C32" t="str">
        <f>IF(Tabelle2[[#This Row],[ID]]&gt;1,INDEX(SpielerDaten!$1:$1,1,Tabelle2[[#This Row],[ID]]),"")</f>
        <v>Tobias_S</v>
      </c>
      <c r="D32" s="1">
        <f>IF(Tabelle2[[#This Row],[ID]]&gt;1,INDEX(Tabelle11[#All],2,$H32),0)</f>
        <v>98.6003422659997</v>
      </c>
      <c r="E32" s="1">
        <f>IF(Tabelle2[[#This Row],[ID]]&gt;1,INDEX(Tabelle11[#All],3,$H32),0)</f>
        <v>100.3666242654988</v>
      </c>
      <c r="F32" s="1">
        <f>IF(Tabelle2[[#This Row],[ID]]&gt;1,INDEX(Tabelle11[#All],4,$H32),0)</f>
        <v>97.655873782260102</v>
      </c>
      <c r="G32" s="1" t="str">
        <f>IF(Tabelle2[[#This Row],[ID]]&gt;1,INDEX(Tabelle11[#All],9,$H32),"")</f>
        <v>Batterie</v>
      </c>
      <c r="H32" s="16">
        <v>45</v>
      </c>
      <c r="AF32" s="28">
        <f t="shared" si="2"/>
        <v>29</v>
      </c>
      <c r="AG32" s="29">
        <f>INDEX(Tabelle11[#All],Tabelle10[[#This Row],[Spalte1]]+14,Ranking!$AG$2)</f>
        <v>97.094507637290775</v>
      </c>
      <c r="AH32" s="29">
        <f>INDEX(Tabelle11[#All],Tabelle10[[#This Row],[Spalte1]]+14,$AH$2)</f>
        <v>90.644924460314527</v>
      </c>
      <c r="AI32" s="29">
        <f>INDEX(Tabelle11[#All],Tabelle10[[#This Row],[Spalte1]]+14,$AI$2)</f>
        <v>111.05586477933481</v>
      </c>
      <c r="AJ32" s="29">
        <f>INDEX(Tabelle11[#All],Tabelle10[[#This Row],[Spalte1]]+14,Ranking!$AJ$2)</f>
        <v>95.530119180877989</v>
      </c>
    </row>
    <row r="33" spans="1:36" x14ac:dyDescent="0.25">
      <c r="A33" s="4">
        <f t="shared" si="0"/>
        <v>31</v>
      </c>
      <c r="B33" s="1"/>
      <c r="C33" t="str">
        <f>IF(Tabelle2[[#This Row],[ID]]&gt;1,INDEX(SpielerDaten!$1:$1,1,Tabelle2[[#This Row],[ID]]),"")</f>
        <v>Lukas_L</v>
      </c>
      <c r="D33" s="1">
        <f>IF(Tabelle2[[#This Row],[ID]]&gt;1,INDEX(Tabelle11[#All],2,$H33),0)</f>
        <v>98.447931341404143</v>
      </c>
      <c r="E33" s="1">
        <f>IF(Tabelle2[[#This Row],[ID]]&gt;1,INDEX(Tabelle11[#All],3,$H33),0)</f>
        <v>100</v>
      </c>
      <c r="F33" s="1">
        <f>IF(Tabelle2[[#This Row],[ID]]&gt;1,INDEX(Tabelle11[#All],4,$H33),0)</f>
        <v>95.744658688864789</v>
      </c>
      <c r="G33" s="1" t="str">
        <f>IF(Tabelle2[[#This Row],[ID]]&gt;1,INDEX(Tabelle11[#All],9,$H33),"")</f>
        <v>Batterie</v>
      </c>
      <c r="H33" s="16">
        <v>27</v>
      </c>
      <c r="AF33" s="28">
        <f t="shared" si="2"/>
        <v>30</v>
      </c>
      <c r="AG33" s="29">
        <f>INDEX(Tabelle11[#All],Tabelle10[[#This Row],[Spalte1]]+14,Ranking!$AG$2)</f>
        <v>97.094507637290775</v>
      </c>
      <c r="AH33" s="29">
        <f>INDEX(Tabelle11[#All],Tabelle10[[#This Row],[Spalte1]]+14,$AH$2)</f>
        <v>92.23870772653089</v>
      </c>
      <c r="AI33" s="29">
        <f>INDEX(Tabelle11[#All],Tabelle10[[#This Row],[Spalte1]]+14,$AI$2)</f>
        <v>111.05586477933481</v>
      </c>
      <c r="AJ33" s="29">
        <f>INDEX(Tabelle11[#All],Tabelle10[[#This Row],[Spalte1]]+14,Ranking!$AJ$2)</f>
        <v>95.530119180877989</v>
      </c>
    </row>
    <row r="34" spans="1:36" x14ac:dyDescent="0.25">
      <c r="A34" s="4">
        <f t="shared" si="0"/>
        <v>32</v>
      </c>
      <c r="B34" s="34"/>
      <c r="C34" t="str">
        <f>IF(Tabelle2[[#This Row],[ID]]&gt;1,INDEX(SpielerDaten!$1:$1,1,Tabelle2[[#This Row],[ID]]),"")</f>
        <v>Sebastian_St</v>
      </c>
      <c r="D34" s="1">
        <f>IF(Tabelle2[[#This Row],[ID]]&gt;1,INDEX(Tabelle11[#All],2,$H34),0)</f>
        <v>97.749574367408982</v>
      </c>
      <c r="E34" s="1">
        <f>IF(Tabelle2[[#This Row],[ID]]&gt;1,INDEX(Tabelle11[#All],3,$H34),0)</f>
        <v>106.16367508159694</v>
      </c>
      <c r="F34" s="1">
        <f>IF(Tabelle2[[#This Row],[ID]]&gt;1,INDEX(Tabelle11[#All],4,$H34),0)</f>
        <v>90.966247136215259</v>
      </c>
      <c r="G34" s="1" t="str">
        <f>IF(Tabelle2[[#This Row],[ID]]&gt;1,INDEX(Tabelle11[#All],9,$H34),"")</f>
        <v>Kompetenz</v>
      </c>
      <c r="H34" s="16">
        <v>41</v>
      </c>
      <c r="AF34" s="28">
        <f t="shared" si="2"/>
        <v>31</v>
      </c>
      <c r="AG34" s="29">
        <f>INDEX(Tabelle11[#All],Tabelle10[[#This Row],[Spalte1]]+14,Ranking!$AG$2)</f>
        <v>97.094507637290775</v>
      </c>
      <c r="AH34" s="29">
        <f>INDEX(Tabelle11[#All],Tabelle10[[#This Row],[Spalte1]]+14,$AH$2)</f>
        <v>93.105319955924472</v>
      </c>
      <c r="AI34" s="29">
        <f>INDEX(Tabelle11[#All],Tabelle10[[#This Row],[Spalte1]]+14,$AI$2)</f>
        <v>111.05586477933481</v>
      </c>
      <c r="AJ34" s="29">
        <f>INDEX(Tabelle11[#All],Tabelle10[[#This Row],[Spalte1]]+14,Ranking!$AJ$2)</f>
        <v>95.530119180877989</v>
      </c>
    </row>
    <row r="35" spans="1:36" x14ac:dyDescent="0.25">
      <c r="A35" s="4">
        <f t="shared" si="0"/>
        <v>33</v>
      </c>
      <c r="B35" s="36"/>
      <c r="C35" t="str">
        <f>IF(Tabelle2[[#This Row],[ID]]&gt;1,INDEX(SpielerDaten!$1:$1,1,Tabelle2[[#This Row],[ID]]),"")</f>
        <v>Marvin_W</v>
      </c>
      <c r="D35" s="1">
        <f>IF(Tabelle2[[#This Row],[ID]]&gt;1,INDEX(Tabelle11[#All],2,$H35),0)</f>
        <v>96.700266280577438</v>
      </c>
      <c r="E35" s="1">
        <f>IF(Tabelle2[[#This Row],[ID]]&gt;1,INDEX(Tabelle11[#All],3,$H35),0)</f>
        <v>100.26070809352049</v>
      </c>
      <c r="F35" s="1">
        <f>IF(Tabelle2[[#This Row],[ID]]&gt;1,INDEX(Tabelle11[#All],4,$H35),0)</f>
        <v>85.996526776220264</v>
      </c>
      <c r="G35" s="1" t="str">
        <f>IF(Tabelle2[[#This Row],[ID]]&gt;1,INDEX(Tabelle11[#All],9,$H35),"")</f>
        <v>Teamcoach</v>
      </c>
      <c r="H35" s="16">
        <v>31</v>
      </c>
      <c r="AF35" s="28">
        <f t="shared" si="2"/>
        <v>32</v>
      </c>
      <c r="AG35" s="29">
        <f>INDEX(Tabelle11[#All],Tabelle10[[#This Row],[Spalte1]]+14,Ranking!$AG$2)</f>
        <v>97.094507637290775</v>
      </c>
      <c r="AH35" s="29">
        <f>INDEX(Tabelle11[#All],Tabelle10[[#This Row],[Spalte1]]+14,$AH$2)</f>
        <v>93.105319955924472</v>
      </c>
      <c r="AI35" s="29">
        <f>INDEX(Tabelle11[#All],Tabelle10[[#This Row],[Spalte1]]+14,$AI$2)</f>
        <v>111.05586477933481</v>
      </c>
      <c r="AJ35" s="29">
        <f>INDEX(Tabelle11[#All],Tabelle10[[#This Row],[Spalte1]]+14,Ranking!$AJ$2)</f>
        <v>95.530119180877989</v>
      </c>
    </row>
    <row r="36" spans="1:36" x14ac:dyDescent="0.25">
      <c r="A36" s="4">
        <f t="shared" si="0"/>
        <v>34</v>
      </c>
      <c r="B36" s="36" t="s">
        <v>170</v>
      </c>
      <c r="C36" t="str">
        <f>IF(Tabelle2[[#This Row],[ID]]&gt;1,INDEX(SpielerDaten!$1:$1,1,Tabelle2[[#This Row],[ID]]),"")</f>
        <v>David_R</v>
      </c>
      <c r="D36" s="32">
        <f>IF(Tabelle2[[#This Row],[ID]]&gt;1,INDEX(Tabelle11[#All],2,$H36),0)</f>
        <v>96.715943522481638</v>
      </c>
      <c r="E36" s="32">
        <f>IF(Tabelle2[[#This Row],[ID]]&gt;1,INDEX(Tabelle11[#All],3,$H36),0)</f>
        <v>100</v>
      </c>
      <c r="F36" s="32">
        <f>IF(Tabelle2[[#This Row],[ID]]&gt;1,INDEX(Tabelle11[#All],4,$H36),0)</f>
        <v>96.715943522481638</v>
      </c>
      <c r="G36" s="32" t="str">
        <f>IF(Tabelle2[[#This Row],[ID]]&gt;1,INDEX(Tabelle11[#All],9,$H36),"")</f>
        <v>Kompetenz</v>
      </c>
      <c r="H36" s="16">
        <v>13</v>
      </c>
      <c r="AF36" s="28">
        <f t="shared" si="2"/>
        <v>33</v>
      </c>
      <c r="AG36" s="29">
        <f>INDEX(Tabelle11[#All],Tabelle10[[#This Row],[Spalte1]]+14,Ranking!$AG$2)</f>
        <v>97.094507637290775</v>
      </c>
      <c r="AH36" s="29">
        <f>INDEX(Tabelle11[#All],Tabelle10[[#This Row],[Spalte1]]+14,$AH$2)</f>
        <v>93.105319955924472</v>
      </c>
      <c r="AI36" s="29">
        <f>INDEX(Tabelle11[#All],Tabelle10[[#This Row],[Spalte1]]+14,$AI$2)</f>
        <v>111.05586477933481</v>
      </c>
      <c r="AJ36" s="29">
        <f>INDEX(Tabelle11[#All],Tabelle10[[#This Row],[Spalte1]]+14,Ranking!$AJ$2)</f>
        <v>95.530119180877989</v>
      </c>
    </row>
    <row r="37" spans="1:36" x14ac:dyDescent="0.25">
      <c r="A37" s="4">
        <f t="shared" si="0"/>
        <v>35</v>
      </c>
      <c r="B37" s="36" t="s">
        <v>169</v>
      </c>
      <c r="C37" t="str">
        <f>IF(Tabelle2[[#This Row],[ID]]&gt;1,INDEX(SpielerDaten!$1:$1,1,Tabelle2[[#This Row],[ID]]),"")</f>
        <v>Julius_P</v>
      </c>
      <c r="D37" s="32">
        <f>IF(Tabelle2[[#This Row],[ID]]&gt;1,INDEX(Tabelle11[#All],2,$H37),0)</f>
        <v>96.540305101873642</v>
      </c>
      <c r="E37" s="32">
        <f>IF(Tabelle2[[#This Row],[ID]]&gt;1,INDEX(Tabelle11[#All],3,$H37),0)</f>
        <v>101.79522898837516</v>
      </c>
      <c r="F37" s="32">
        <f>IF(Tabelle2[[#This Row],[ID]]&gt;1,INDEX(Tabelle11[#All],4,$H37),0)</f>
        <v>92.334761599453643</v>
      </c>
      <c r="G37" s="32" t="str">
        <f>IF(Tabelle2[[#This Row],[ID]]&gt;1,INDEX(Tabelle11[#All],9,$H37),"")</f>
        <v>Teamcoach</v>
      </c>
      <c r="H37" s="16">
        <v>25</v>
      </c>
      <c r="AF37" s="28">
        <f t="shared" si="2"/>
        <v>34</v>
      </c>
      <c r="AG37" s="29">
        <f>INDEX(Tabelle11[#All],Tabelle10[[#This Row],[Spalte1]]+14,Ranking!$AG$2)</f>
        <v>97.094507637290775</v>
      </c>
      <c r="AH37" s="29">
        <f>INDEX(Tabelle11[#All],Tabelle10[[#This Row],[Spalte1]]+14,$AH$2)</f>
        <v>93.105319955924472</v>
      </c>
      <c r="AI37" s="29">
        <f>INDEX(Tabelle11[#All],Tabelle10[[#This Row],[Spalte1]]+14,$AI$2)</f>
        <v>111.910639419172</v>
      </c>
      <c r="AJ37" s="29">
        <f>INDEX(Tabelle11[#All],Tabelle10[[#This Row],[Spalte1]]+14,Ranking!$AJ$2)</f>
        <v>95.530119180877989</v>
      </c>
    </row>
    <row r="38" spans="1:36" x14ac:dyDescent="0.25">
      <c r="A38" s="4">
        <f t="shared" si="0"/>
        <v>36</v>
      </c>
      <c r="B38" s="36" t="s">
        <v>169</v>
      </c>
      <c r="C38" t="str">
        <f>IF(Tabelle2[[#This Row],[ID]]&gt;1,INDEX(SpielerDaten!$1:$1,1,Tabelle2[[#This Row],[ID]]),"")</f>
        <v>Michael_D</v>
      </c>
      <c r="D38" s="1">
        <f>IF(Tabelle2[[#This Row],[ID]]&gt;1,INDEX(Tabelle11[#All],2,$H38),0)</f>
        <v>96.436276170375336</v>
      </c>
      <c r="E38" s="1">
        <f>IF(Tabelle2[[#This Row],[ID]]&gt;1,INDEX(Tabelle11[#All],3,$H38),0)</f>
        <v>100</v>
      </c>
      <c r="F38" s="1">
        <f>IF(Tabelle2[[#This Row],[ID]]&gt;1,INDEX(Tabelle11[#All],4,$H38),0)</f>
        <v>96.436276170375336</v>
      </c>
      <c r="G38" s="1" t="str">
        <f>IF(Tabelle2[[#This Row],[ID]]&gt;1,INDEX(Tabelle11[#All],9,$H38),"")</f>
        <v>Batterie</v>
      </c>
      <c r="H38" s="16">
        <v>33</v>
      </c>
      <c r="AF38" s="28">
        <f t="shared" si="2"/>
        <v>35</v>
      </c>
      <c r="AG38" s="29">
        <f>INDEX(Tabelle11[#All],Tabelle10[[#This Row],[Spalte1]]+14,Ranking!$AG$2)</f>
        <v>97.094507637290775</v>
      </c>
      <c r="AH38" s="29">
        <f>INDEX(Tabelle11[#All],Tabelle10[[#This Row],[Spalte1]]+14,$AH$2)</f>
        <v>93.105319955924472</v>
      </c>
      <c r="AI38" s="29">
        <f>INDEX(Tabelle11[#All],Tabelle10[[#This Row],[Spalte1]]+14,$AI$2)</f>
        <v>111.63387701727011</v>
      </c>
      <c r="AJ38" s="29">
        <f>INDEX(Tabelle11[#All],Tabelle10[[#This Row],[Spalte1]]+14,Ranking!$AJ$2)</f>
        <v>95.530119180877989</v>
      </c>
    </row>
    <row r="39" spans="1:36" x14ac:dyDescent="0.25">
      <c r="A39" s="4">
        <f t="shared" si="0"/>
        <v>37</v>
      </c>
      <c r="B39" s="37" t="s">
        <v>171</v>
      </c>
      <c r="C39" t="str">
        <f>IF(Tabelle2[[#This Row],[ID]]&gt;1,INDEX(SpielerDaten!$1:$1,1,Tabelle2[[#This Row],[ID]]),"")</f>
        <v>Ben_S</v>
      </c>
      <c r="D39" s="1">
        <f>IF(Tabelle2[[#This Row],[ID]]&gt;1,INDEX(Tabelle11[#All],2,$H39),0)</f>
        <v>95.932799101521084</v>
      </c>
      <c r="E39" s="1">
        <f>IF(Tabelle2[[#This Row],[ID]]&gt;1,INDEX(Tabelle11[#All],3,$H39),0)</f>
        <v>100</v>
      </c>
      <c r="F39" s="1">
        <f>IF(Tabelle2[[#This Row],[ID]]&gt;1,INDEX(Tabelle11[#All],4,$H39),0)</f>
        <v>95.932799101521084</v>
      </c>
      <c r="G39" s="1" t="str">
        <f>IF(Tabelle2[[#This Row],[ID]]&gt;1,INDEX(Tabelle11[#All],9,$H39),"")</f>
        <v>Koeln</v>
      </c>
      <c r="H39" s="16">
        <v>6</v>
      </c>
      <c r="AF39" s="28">
        <f t="shared" si="2"/>
        <v>36</v>
      </c>
      <c r="AG39" s="29">
        <f>INDEX(Tabelle11[#All],Tabelle10[[#This Row],[Spalte1]]+14,Ranking!$AG$2)</f>
        <v>96.942721479886103</v>
      </c>
      <c r="AH39" s="29">
        <f>INDEX(Tabelle11[#All],Tabelle10[[#This Row],[Spalte1]]+14,$AH$2)</f>
        <v>93.105319955924472</v>
      </c>
      <c r="AI39" s="29">
        <f>INDEX(Tabelle11[#All],Tabelle10[[#This Row],[Spalte1]]+14,$AI$2)</f>
        <v>111.63387701727011</v>
      </c>
      <c r="AJ39" s="29">
        <f>INDEX(Tabelle11[#All],Tabelle10[[#This Row],[Spalte1]]+14,Ranking!$AJ$2)</f>
        <v>95.684773987807901</v>
      </c>
    </row>
    <row r="40" spans="1:36" x14ac:dyDescent="0.25">
      <c r="A40" s="4">
        <f t="shared" si="0"/>
        <v>38</v>
      </c>
      <c r="B40" s="37" t="s">
        <v>171</v>
      </c>
      <c r="C40" t="str">
        <f>IF(Tabelle2[[#This Row],[ID]]&gt;1,INDEX(SpielerDaten!$1:$1,1,Tabelle2[[#This Row],[ID]]),"")</f>
        <v>Fabian_M</v>
      </c>
      <c r="D40" s="1">
        <f>IF(Tabelle2[[#This Row],[ID]]&gt;1,INDEX(Tabelle11[#All],2,$H40),0)</f>
        <v>95.805387841610738</v>
      </c>
      <c r="E40" s="1">
        <f>IF(Tabelle2[[#This Row],[ID]]&gt;1,INDEX(Tabelle11[#All],3,$H40),0)</f>
        <v>100</v>
      </c>
      <c r="F40" s="1">
        <f>IF(Tabelle2[[#This Row],[ID]]&gt;1,INDEX(Tabelle11[#All],4,$H40),0)</f>
        <v>95.805387841610738</v>
      </c>
      <c r="G40" s="1" t="str">
        <f>IF(Tabelle2[[#This Row],[ID]]&gt;1,INDEX(Tabelle11[#All],9,$H40),"")</f>
        <v>Batterie</v>
      </c>
      <c r="H40" s="16">
        <v>18</v>
      </c>
      <c r="AF40" s="28">
        <f t="shared" si="2"/>
        <v>37</v>
      </c>
      <c r="AG40" s="29">
        <f>INDEX(Tabelle11[#All],Tabelle10[[#This Row],[Spalte1]]+14,Ranking!$AG$2)</f>
        <v>96.823764361680261</v>
      </c>
      <c r="AH40" s="29">
        <f>INDEX(Tabelle11[#All],Tabelle10[[#This Row],[Spalte1]]+14,$AH$2)</f>
        <v>93.105319955924472</v>
      </c>
      <c r="AI40" s="29">
        <f>INDEX(Tabelle11[#All],Tabelle10[[#This Row],[Spalte1]]+14,$AI$2)</f>
        <v>111.63387701727011</v>
      </c>
      <c r="AJ40" s="29">
        <f>INDEX(Tabelle11[#All],Tabelle10[[#This Row],[Spalte1]]+14,Ranking!$AJ$2)</f>
        <v>95.805983933534151</v>
      </c>
    </row>
    <row r="41" spans="1:36" x14ac:dyDescent="0.25">
      <c r="A41" s="4">
        <f t="shared" si="0"/>
        <v>39</v>
      </c>
      <c r="B41" s="36" t="s">
        <v>170</v>
      </c>
      <c r="C41" s="45" t="str">
        <f>IF(Tabelle2[[#This Row],[ID]]&gt;1,INDEX(SpielerDaten!$1:$1,1,Tabelle2[[#This Row],[ID]]),"")</f>
        <v>Andres_H</v>
      </c>
      <c r="D41" s="1">
        <f>IF(Tabelle2[[#This Row],[ID]]&gt;1,INDEX(Tabelle11[#All],2,$H41),0)</f>
        <v>95.535732339111306</v>
      </c>
      <c r="E41" s="1">
        <f>IF(Tabelle2[[#This Row],[ID]]&gt;1,INDEX(Tabelle11[#All],3,$H41),0)</f>
        <v>100</v>
      </c>
      <c r="F41" s="1">
        <f>IF(Tabelle2[[#This Row],[ID]]&gt;1,INDEX(Tabelle11[#All],4,$H41),0)</f>
        <v>94.353173132071191</v>
      </c>
      <c r="G41" s="1" t="str">
        <f>IF(Tabelle2[[#This Row],[ID]]&gt;1,INDEX(Tabelle11[#All],9,$H41),"")</f>
        <v>Teamcoach</v>
      </c>
      <c r="H41" s="16">
        <v>3</v>
      </c>
      <c r="AF41" s="28">
        <f t="shared" si="2"/>
        <v>38</v>
      </c>
      <c r="AG41" s="29">
        <f>INDEX(Tabelle11[#All],Tabelle10[[#This Row],[Spalte1]]+14,Ranking!$AG$2)</f>
        <v>96.823764361680261</v>
      </c>
      <c r="AH41" s="29">
        <f>INDEX(Tabelle11[#All],Tabelle10[[#This Row],[Spalte1]]+14,$AH$2)</f>
        <v>93.105319955924472</v>
      </c>
      <c r="AI41" s="29">
        <f>INDEX(Tabelle11[#All],Tabelle10[[#This Row],[Spalte1]]+14,$AI$2)</f>
        <v>112.60268112647471</v>
      </c>
      <c r="AJ41" s="29">
        <f>INDEX(Tabelle11[#All],Tabelle10[[#This Row],[Spalte1]]+14,Ranking!$AJ$2)</f>
        <v>95.805983933534151</v>
      </c>
    </row>
    <row r="42" spans="1:36" x14ac:dyDescent="0.25">
      <c r="A42" s="4">
        <f t="shared" si="0"/>
        <v>40</v>
      </c>
      <c r="B42" s="36"/>
      <c r="C42" t="str">
        <f>IF(Tabelle2[[#This Row],[ID]]&gt;1,INDEX(SpielerDaten!$1:$1,1,Tabelle2[[#This Row],[ID]]),"")</f>
        <v>Steffen_R</v>
      </c>
      <c r="D42" s="1">
        <f>IF(Tabelle2[[#This Row],[ID]]&gt;1,INDEX(Tabelle11[#All],2,$H42),0)</f>
        <v>93.247497067190949</v>
      </c>
      <c r="E42" s="1">
        <f>IF(Tabelle2[[#This Row],[ID]]&gt;1,INDEX(Tabelle11[#All],3,$H42),0)</f>
        <v>100</v>
      </c>
      <c r="F42" s="1">
        <f>IF(Tabelle2[[#This Row],[ID]]&gt;1,INDEX(Tabelle11[#All],4,$H42),0)</f>
        <v>93.043219996581456</v>
      </c>
      <c r="G42" s="1" t="str">
        <f>IF(Tabelle2[[#This Row],[ID]]&gt;1,INDEX(Tabelle11[#All],9,$H42),"")</f>
        <v>Batterie</v>
      </c>
      <c r="H42" s="16">
        <v>43</v>
      </c>
      <c r="AF42" s="28">
        <f t="shared" si="2"/>
        <v>39</v>
      </c>
      <c r="AG42" s="29">
        <f>INDEX(Tabelle11[#All],Tabelle10[[#This Row],[Spalte1]]+14,Ranking!$AG$2)</f>
        <v>96.823764361680261</v>
      </c>
      <c r="AH42" s="29">
        <f>INDEX(Tabelle11[#All],Tabelle10[[#This Row],[Spalte1]]+14,$AH$2)</f>
        <v>93.105319955924472</v>
      </c>
      <c r="AI42" s="29">
        <f>INDEX(Tabelle11[#All],Tabelle10[[#This Row],[Spalte1]]+14,$AI$2)</f>
        <v>113.02748931424361</v>
      </c>
      <c r="AJ42" s="29">
        <f>INDEX(Tabelle11[#All],Tabelle10[[#This Row],[Spalte1]]+14,Ranking!$AJ$2)</f>
        <v>95.805983933534151</v>
      </c>
    </row>
    <row r="43" spans="1:36" x14ac:dyDescent="0.25">
      <c r="A43" s="4">
        <f t="shared" si="0"/>
        <v>41</v>
      </c>
      <c r="B43" s="36"/>
      <c r="C43" t="str">
        <f>IF(Tabelle2[[#This Row],[ID]]&gt;1,INDEX(SpielerDaten!$1:$1,1,Tabelle2[[#This Row],[ID]]),"")</f>
        <v>Ton_L</v>
      </c>
      <c r="D43" s="1">
        <f>IF(Tabelle2[[#This Row],[ID]]&gt;1,INDEX(Tabelle11[#All],2,$H43),0)</f>
        <v>92.683083360025861</v>
      </c>
      <c r="E43" s="1">
        <f>IF(Tabelle2[[#This Row],[ID]]&gt;1,INDEX(Tabelle11[#All],3,$H43),0)</f>
        <v>100</v>
      </c>
      <c r="F43" s="1">
        <f>IF(Tabelle2[[#This Row],[ID]]&gt;1,INDEX(Tabelle11[#All],4,$H43),0)</f>
        <v>92.683083360025861</v>
      </c>
      <c r="G43" s="1" t="str">
        <f>IF(Tabelle2[[#This Row],[ID]]&gt;1,INDEX(Tabelle11[#All],9,$H43),"")</f>
        <v>Batterie</v>
      </c>
      <c r="H43" s="16">
        <v>47</v>
      </c>
      <c r="AF43" s="28">
        <f t="shared" si="2"/>
        <v>40</v>
      </c>
      <c r="AG43" s="29">
        <f>INDEX(Tabelle11[#All],Tabelle10[[#This Row],[Spalte1]]+14,Ranking!$AG$2)</f>
        <v>96.823764361680261</v>
      </c>
      <c r="AH43" s="29">
        <f>INDEX(Tabelle11[#All],Tabelle10[[#This Row],[Spalte1]]+14,$AH$2)</f>
        <v>93.105319955924472</v>
      </c>
      <c r="AI43" s="29">
        <f>INDEX(Tabelle11[#All],Tabelle10[[#This Row],[Spalte1]]+14,$AI$2)</f>
        <v>113.02748931424361</v>
      </c>
      <c r="AJ43" s="29">
        <f>INDEX(Tabelle11[#All],Tabelle10[[#This Row],[Spalte1]]+14,Ranking!$AJ$2)</f>
        <v>95.805983933534151</v>
      </c>
    </row>
    <row r="44" spans="1:36" x14ac:dyDescent="0.25">
      <c r="A44" s="4">
        <f t="shared" si="0"/>
        <v>42</v>
      </c>
      <c r="B44" s="36"/>
      <c r="C44" t="str">
        <f>IF(Tabelle2[[#This Row],[ID]]&gt;1,INDEX(SpielerDaten!$1:$1,1,Tabelle2[[#This Row],[ID]]),"")</f>
        <v>Carsten_H</v>
      </c>
      <c r="D44" s="1">
        <f>IF(Tabelle2[[#This Row],[ID]]&gt;1,INDEX(Tabelle11[#All],2,$H44),0)</f>
        <v>90.817185094326874</v>
      </c>
      <c r="E44" s="1">
        <f>IF(Tabelle2[[#This Row],[ID]]&gt;1,INDEX(Tabelle11[#All],3,$H44),0)</f>
        <v>100.26070809352049</v>
      </c>
      <c r="F44" s="1">
        <f>IF(Tabelle2[[#This Row],[ID]]&gt;1,INDEX(Tabelle11[#All],4,$H44),0)</f>
        <v>86.392759894679898</v>
      </c>
      <c r="G44" s="1" t="str">
        <f>IF(Tabelle2[[#This Row],[ID]]&gt;1,INDEX(Tabelle11[#All],9,$H44),"")</f>
        <v>Konferenz</v>
      </c>
      <c r="H44" s="16">
        <v>9</v>
      </c>
      <c r="AF44" s="28">
        <f t="shared" si="2"/>
        <v>41</v>
      </c>
      <c r="AG44" s="29">
        <f>INDEX(Tabelle11[#All],Tabelle10[[#This Row],[Spalte1]]+14,Ranking!$AG$2)</f>
        <v>96.823764361680261</v>
      </c>
      <c r="AH44" s="29">
        <f>INDEX(Tabelle11[#All],Tabelle10[[#This Row],[Spalte1]]+14,$AH$2)</f>
        <v>93.105319955924472</v>
      </c>
      <c r="AI44" s="29">
        <f>INDEX(Tabelle11[#All],Tabelle10[[#This Row],[Spalte1]]+14,$AI$2)</f>
        <v>113.02748931424361</v>
      </c>
      <c r="AJ44" s="29">
        <f>INDEX(Tabelle11[#All],Tabelle10[[#This Row],[Spalte1]]+14,Ranking!$AJ$2)</f>
        <v>95.805983933534151</v>
      </c>
    </row>
    <row r="45" spans="1:36" x14ac:dyDescent="0.25">
      <c r="A45" s="4">
        <f t="shared" si="0"/>
        <v>43</v>
      </c>
      <c r="B45" s="36"/>
      <c r="C45" t="str">
        <f>IF(Tabelle2[[#This Row],[ID]]&gt;1,INDEX(SpielerDaten!$1:$1,1,Tabelle2[[#This Row],[ID]]),"")</f>
        <v>Rene_P</v>
      </c>
      <c r="D45" s="1">
        <f>IF(Tabelle2[[#This Row],[ID]]&gt;1,INDEX(Tabelle11[#All],2,$H45),0)</f>
        <v>88.762543186332877</v>
      </c>
      <c r="E45" s="1">
        <f>IF(Tabelle2[[#This Row],[ID]]&gt;1,INDEX(Tabelle11[#All],3,$H45),0)</f>
        <v>104.61591054281757</v>
      </c>
      <c r="F45" s="1">
        <f>IF(Tabelle2[[#This Row],[ID]]&gt;1,INDEX(Tabelle11[#All],4,$H45),0)</f>
        <v>87.871569528869884</v>
      </c>
      <c r="G45" s="1" t="str">
        <f>IF(Tabelle2[[#This Row],[ID]]&gt;1,INDEX(Tabelle11[#All],9,$H45),"")</f>
        <v>Konferenz</v>
      </c>
      <c r="H45" s="16">
        <v>37</v>
      </c>
      <c r="AF45" s="28">
        <f t="shared" si="2"/>
        <v>42</v>
      </c>
      <c r="AG45" s="29">
        <f>INDEX(Tabelle11[#All],Tabelle10[[#This Row],[Spalte1]]+14,Ranking!$AG$2)</f>
        <v>98.329754222019233</v>
      </c>
      <c r="AH45" s="29">
        <f>INDEX(Tabelle11[#All],Tabelle10[[#This Row],[Spalte1]]+14,$AH$2)</f>
        <v>93.105319955924472</v>
      </c>
      <c r="AI45" s="29">
        <f>INDEX(Tabelle11[#All],Tabelle10[[#This Row],[Spalte1]]+14,$AI$2)</f>
        <v>113.02748931424361</v>
      </c>
      <c r="AJ45" s="29">
        <f>INDEX(Tabelle11[#All],Tabelle10[[#This Row],[Spalte1]]+14,Ranking!$AJ$2)</f>
        <v>97.32797245013559</v>
      </c>
    </row>
    <row r="46" spans="1:36" x14ac:dyDescent="0.25">
      <c r="A46" s="4">
        <f t="shared" si="0"/>
        <v>44</v>
      </c>
      <c r="B46" s="34"/>
      <c r="C46" t="str">
        <f>IF(Tabelle2[[#This Row],[ID]]&gt;1,INDEX(SpielerDaten!$1:$1,1,Tabelle2[[#This Row],[ID]]),"")</f>
        <v>Louis_W</v>
      </c>
      <c r="D46" s="1">
        <f>IF(Tabelle2[[#This Row],[ID]]&gt;1,INDEX(Tabelle11[#All],2,$H46),0)</f>
        <v>87.497452285475362</v>
      </c>
      <c r="E46" s="1">
        <f>IF(Tabelle2[[#This Row],[ID]]&gt;1,INDEX(Tabelle11[#All],3,$H46),0)</f>
        <v>100</v>
      </c>
      <c r="F46" s="1">
        <f>IF(Tabelle2[[#This Row],[ID]]&gt;1,INDEX(Tabelle11[#All],4,$H46),0)</f>
        <v>86.187463901214045</v>
      </c>
      <c r="G46" s="1" t="str">
        <f>IF(Tabelle2[[#This Row],[ID]]&gt;1,INDEX(Tabelle11[#All],9,$H46),"")</f>
        <v>Studenten</v>
      </c>
      <c r="H46" s="16">
        <v>26</v>
      </c>
      <c r="AF46" s="28">
        <f t="shared" si="2"/>
        <v>43</v>
      </c>
      <c r="AG46" s="29">
        <f>INDEX(Tabelle11[#All],Tabelle10[[#This Row],[Spalte1]]+14,Ranking!$AG$2)</f>
        <v>98.276366074373215</v>
      </c>
      <c r="AH46" s="29">
        <f>INDEX(Tabelle11[#All],Tabelle10[[#This Row],[Spalte1]]+14,$AH$2)</f>
        <v>93.105319955924472</v>
      </c>
      <c r="AI46" s="29">
        <f>INDEX(Tabelle11[#All],Tabelle10[[#This Row],[Spalte1]]+14,$AI$2)</f>
        <v>113.02748931424361</v>
      </c>
      <c r="AJ46" s="29">
        <f>INDEX(Tabelle11[#All],Tabelle10[[#This Row],[Spalte1]]+14,Ranking!$AJ$2)</f>
        <v>97.275128219979948</v>
      </c>
    </row>
    <row r="47" spans="1:36" x14ac:dyDescent="0.25">
      <c r="A47" s="4">
        <f t="shared" si="0"/>
        <v>45</v>
      </c>
      <c r="B47" s="36"/>
      <c r="C47" t="str">
        <f>IF(Tabelle2[[#This Row],[ID]]&gt;1,INDEX(SpielerDaten!$1:$1,1,Tabelle2[[#This Row],[ID]]),"")</f>
        <v>Detlef_R</v>
      </c>
      <c r="D47" s="1">
        <f>IF(Tabelle2[[#This Row],[ID]]&gt;1,INDEX(Tabelle11[#All],2,$H47),0)</f>
        <v>87.984671797367014</v>
      </c>
      <c r="E47" s="1">
        <f>IF(Tabelle2[[#This Row],[ID]]&gt;1,INDEX(Tabelle11[#All],3,$H47),0)</f>
        <v>100</v>
      </c>
      <c r="F47" s="1">
        <f>IF(Tabelle2[[#This Row],[ID]]&gt;1,INDEX(Tabelle11[#All],4,$H47),0)</f>
        <v>87.984671797367014</v>
      </c>
      <c r="G47" s="1" t="str">
        <f>IF(Tabelle2[[#This Row],[ID]]&gt;1,INDEX(Tabelle11[#All],9,$H47),"")</f>
        <v>Konkurrenz</v>
      </c>
      <c r="H47" s="16">
        <v>16</v>
      </c>
      <c r="AF47" s="28">
        <f t="shared" si="2"/>
        <v>44</v>
      </c>
      <c r="AG47" s="29">
        <f>INDEX(Tabelle11[#All],Tabelle10[[#This Row],[Spalte1]]+14,Ranking!$AG$2)</f>
        <v>98.276366074373215</v>
      </c>
      <c r="AH47" s="29">
        <f>INDEX(Tabelle11[#All],Tabelle10[[#This Row],[Spalte1]]+14,$AH$2)</f>
        <v>93.105319955924472</v>
      </c>
      <c r="AI47" s="29">
        <f>INDEX(Tabelle11[#All],Tabelle10[[#This Row],[Spalte1]]+14,$AI$2)</f>
        <v>113.02748931424361</v>
      </c>
      <c r="AJ47" s="29">
        <f>INDEX(Tabelle11[#All],Tabelle10[[#This Row],[Spalte1]]+14,Ranking!$AJ$2)</f>
        <v>97.275128219979948</v>
      </c>
    </row>
    <row r="48" spans="1:36" x14ac:dyDescent="0.25">
      <c r="A48" s="4">
        <f t="shared" si="0"/>
        <v>46</v>
      </c>
      <c r="B48" s="36"/>
      <c r="C48" t="str">
        <f>IF(Tabelle2[[#This Row],[ID]]&gt;1,INDEX(SpielerDaten!$1:$1,1,Tabelle2[[#This Row],[ID]]),"")</f>
        <v>Marcin_S</v>
      </c>
      <c r="D48" s="1">
        <f>IF(Tabelle2[[#This Row],[ID]]&gt;1,INDEX(Tabelle11[#All],2,$H48),0)</f>
        <v>85.463329105556824</v>
      </c>
      <c r="E48" s="1">
        <f>IF(Tabelle2[[#This Row],[ID]]&gt;1,INDEX(Tabelle11[#All],3,$H48),0)</f>
        <v>100.26292250729061</v>
      </c>
      <c r="F48" s="1">
        <f>IF(Tabelle2[[#This Row],[ID]]&gt;1,INDEX(Tabelle11[#All],4,$H48),0)</f>
        <v>81.194497923355527</v>
      </c>
      <c r="G48" s="1" t="str">
        <f>IF(Tabelle2[[#This Row],[ID]]&gt;1,INDEX(Tabelle11[#All],9,$H48),"")</f>
        <v>Bahn</v>
      </c>
      <c r="H48" s="16">
        <v>28</v>
      </c>
      <c r="AF48" s="28">
        <f t="shared" si="2"/>
        <v>45</v>
      </c>
      <c r="AG48" s="29">
        <f>INDEX(Tabelle11[#All],Tabelle10[[#This Row],[Spalte1]]+14,Ranking!$AG$2)</f>
        <v>98.276366074373215</v>
      </c>
      <c r="AH48" s="29">
        <f>INDEX(Tabelle11[#All],Tabelle10[[#This Row],[Spalte1]]+14,$AH$2)</f>
        <v>93.105319955924472</v>
      </c>
      <c r="AI48" s="29">
        <f>INDEX(Tabelle11[#All],Tabelle10[[#This Row],[Spalte1]]+14,$AI$2)</f>
        <v>113.02748931424361</v>
      </c>
      <c r="AJ48" s="29">
        <f>INDEX(Tabelle11[#All],Tabelle10[[#This Row],[Spalte1]]+14,Ranking!$AJ$2)</f>
        <v>97.275128219979948</v>
      </c>
    </row>
    <row r="49" spans="1:36" x14ac:dyDescent="0.25">
      <c r="A49" s="4">
        <f t="shared" si="0"/>
        <v>47</v>
      </c>
      <c r="B49" s="36"/>
      <c r="C49" t="str">
        <f>IF(Tabelle2[[#This Row],[ID]]&gt;1,INDEX(SpielerDaten!$1:$1,1,Tabelle2[[#This Row],[ID]]),"")</f>
        <v>Dennis_R</v>
      </c>
      <c r="D49" s="1">
        <f>IF(Tabelle2[[#This Row],[ID]]&gt;1,INDEX(Tabelle11[#All],2,$H49),0)</f>
        <v>75.131680864937195</v>
      </c>
      <c r="E49" s="1">
        <f>IF(Tabelle2[[#This Row],[ID]]&gt;1,INDEX(Tabelle11[#All],3,$H49),0)</f>
        <v>100</v>
      </c>
      <c r="F49" s="1">
        <f>IF(Tabelle2[[#This Row],[ID]]&gt;1,INDEX(Tabelle11[#All],4,$H49),0)</f>
        <v>73.103958555744029</v>
      </c>
      <c r="G49" s="1" t="str">
        <f>IF(Tabelle2[[#This Row],[ID]]&gt;1,INDEX(Tabelle11[#All],9,$H49),"")</f>
        <v>Teamcoach</v>
      </c>
      <c r="H49" s="16">
        <v>15</v>
      </c>
      <c r="AF49" s="28">
        <f t="shared" si="2"/>
        <v>46</v>
      </c>
      <c r="AG49" s="29">
        <f>INDEX(Tabelle11[#All],Tabelle10[[#This Row],[Spalte1]]+14,Ranking!$AG$2)</f>
        <v>98.276366074373215</v>
      </c>
      <c r="AH49" s="29">
        <f>INDEX(Tabelle11[#All],Tabelle10[[#This Row],[Spalte1]]+14,$AH$2)</f>
        <v>93.105319955924472</v>
      </c>
      <c r="AI49" s="29">
        <f>INDEX(Tabelle11[#All],Tabelle10[[#This Row],[Spalte1]]+14,$AI$2)</f>
        <v>113.70007015073267</v>
      </c>
      <c r="AJ49" s="29">
        <f>INDEX(Tabelle11[#All],Tabelle10[[#This Row],[Spalte1]]+14,Ranking!$AJ$2)</f>
        <v>97.275128219979948</v>
      </c>
    </row>
    <row r="50" spans="1:36" x14ac:dyDescent="0.25">
      <c r="D50" s="1">
        <f>SUBTOTAL(101,Tabelle2[ELO])</f>
        <v>100.00000000000001</v>
      </c>
      <c r="E50" s="1">
        <f>SUBTOTAL(104,Tabelle2[Max])</f>
        <v>124.58879306475568</v>
      </c>
      <c r="F50" s="1">
        <f>SUBTOTAL(105,Tabelle2[Min])</f>
        <v>73.103958555744029</v>
      </c>
      <c r="AF50" s="28">
        <f t="shared" si="2"/>
        <v>47</v>
      </c>
      <c r="AG50" s="29">
        <f>INDEX(Tabelle11[#All],Tabelle10[[#This Row],[Spalte1]]+14,Ranking!$AG$2)</f>
        <v>98.276366074373215</v>
      </c>
      <c r="AH50" s="29">
        <f>INDEX(Tabelle11[#All],Tabelle10[[#This Row],[Spalte1]]+14,$AH$2)</f>
        <v>93.105319955924472</v>
      </c>
      <c r="AI50" s="29">
        <f>INDEX(Tabelle11[#All],Tabelle10[[#This Row],[Spalte1]]+14,$AI$2)</f>
        <v>114.22332191857586</v>
      </c>
      <c r="AJ50" s="29">
        <f>INDEX(Tabelle11[#All],Tabelle10[[#This Row],[Spalte1]]+14,Ranking!$AJ$2)</f>
        <v>97.275128219979948</v>
      </c>
    </row>
    <row r="51" spans="1:36" x14ac:dyDescent="0.25">
      <c r="AF51" s="28">
        <f t="shared" si="2"/>
        <v>48</v>
      </c>
      <c r="AG51" s="29">
        <f>INDEX(Tabelle11[#All],Tabelle10[[#This Row],[Spalte1]]+14,Ranking!$AG$2)</f>
        <v>97.222982220123455</v>
      </c>
      <c r="AH51" s="29">
        <f>INDEX(Tabelle11[#All],Tabelle10[[#This Row],[Spalte1]]+14,$AH$2)</f>
        <v>93.105319955924472</v>
      </c>
      <c r="AI51" s="29">
        <f>INDEX(Tabelle11[#All],Tabelle10[[#This Row],[Spalte1]]+14,$AI$2)</f>
        <v>112.99900921864611</v>
      </c>
      <c r="AJ51" s="29">
        <f>INDEX(Tabelle11[#All],Tabelle10[[#This Row],[Spalte1]]+14,Ranking!$AJ$2)</f>
        <v>97.275128219979948</v>
      </c>
    </row>
    <row r="52" spans="1:36" x14ac:dyDescent="0.25">
      <c r="AF52" s="28">
        <f t="shared" si="2"/>
        <v>49</v>
      </c>
      <c r="AG52" s="29">
        <f>INDEX(Tabelle11[#All],Tabelle10[[#This Row],[Spalte1]]+14,Ranking!$AG$2)</f>
        <v>96.209157163237421</v>
      </c>
      <c r="AH52" s="29">
        <f>INDEX(Tabelle11[#All],Tabelle10[[#This Row],[Spalte1]]+14,$AH$2)</f>
        <v>93.105319955924472</v>
      </c>
      <c r="AI52" s="29">
        <f>INDEX(Tabelle11[#All],Tabelle10[[#This Row],[Spalte1]]+14,$AI$2)</f>
        <v>111.8206743812125</v>
      </c>
      <c r="AJ52" s="29">
        <f>INDEX(Tabelle11[#All],Tabelle10[[#This Row],[Spalte1]]+14,Ranking!$AJ$2)</f>
        <v>97.275128219979948</v>
      </c>
    </row>
    <row r="53" spans="1:36" x14ac:dyDescent="0.25">
      <c r="AF53" s="28">
        <f t="shared" si="2"/>
        <v>50</v>
      </c>
      <c r="AG53" s="29">
        <f>INDEX(Tabelle11[#All],Tabelle10[[#This Row],[Spalte1]]+14,Ranking!$AG$2)</f>
        <v>96.159419332621695</v>
      </c>
      <c r="AH53" s="29">
        <f>INDEX(Tabelle11[#All],Tabelle10[[#This Row],[Spalte1]]+14,$AH$2)</f>
        <v>93.105319955924472</v>
      </c>
      <c r="AI53" s="29">
        <f>INDEX(Tabelle11[#All],Tabelle10[[#This Row],[Spalte1]]+14,$AI$2)</f>
        <v>111.8206743812125</v>
      </c>
      <c r="AJ53" s="29">
        <f>INDEX(Tabelle11[#All],Tabelle10[[#This Row],[Spalte1]]+14,Ranking!$AJ$2)</f>
        <v>97.275128219979948</v>
      </c>
    </row>
    <row r="54" spans="1:36" x14ac:dyDescent="0.25">
      <c r="AF54" s="28">
        <f t="shared" si="2"/>
        <v>51</v>
      </c>
      <c r="AG54" s="29">
        <f>INDEX(Tabelle11[#All],Tabelle10[[#This Row],[Spalte1]]+14,Ranking!$AG$2)</f>
        <v>95.872755317382499</v>
      </c>
      <c r="AH54" s="29">
        <f>INDEX(Tabelle11[#All],Tabelle10[[#This Row],[Spalte1]]+14,$AH$2)</f>
        <v>93.105319955924472</v>
      </c>
      <c r="AI54" s="29">
        <f>INDEX(Tabelle11[#All],Tabelle10[[#This Row],[Spalte1]]+14,$AI$2)</f>
        <v>111.8206743812125</v>
      </c>
      <c r="AJ54" s="29">
        <f>INDEX(Tabelle11[#All],Tabelle10[[#This Row],[Spalte1]]+14,Ranking!$AJ$2)</f>
        <v>97.275128219979948</v>
      </c>
    </row>
    <row r="55" spans="1:36" x14ac:dyDescent="0.25">
      <c r="AF55" s="28">
        <f t="shared" si="2"/>
        <v>52</v>
      </c>
      <c r="AG55" s="29">
        <f>INDEX(Tabelle11[#All],Tabelle10[[#This Row],[Spalte1]]+14,Ranking!$AG$2)</f>
        <v>95.872755317382499</v>
      </c>
      <c r="AH55" s="29">
        <f>INDEX(Tabelle11[#All],Tabelle10[[#This Row],[Spalte1]]+14,$AH$2)</f>
        <v>93.105319955924472</v>
      </c>
      <c r="AI55" s="29">
        <f>INDEX(Tabelle11[#All],Tabelle10[[#This Row],[Spalte1]]+14,$AI$2)</f>
        <v>114.89512777368913</v>
      </c>
      <c r="AJ55" s="29">
        <f>INDEX(Tabelle11[#All],Tabelle10[[#This Row],[Spalte1]]+14,Ranking!$AJ$2)</f>
        <v>97.275128219979948</v>
      </c>
    </row>
    <row r="56" spans="1:36" x14ac:dyDescent="0.25">
      <c r="AF56" s="28">
        <f t="shared" si="2"/>
        <v>53</v>
      </c>
      <c r="AG56" s="29">
        <f>INDEX(Tabelle11[#All],Tabelle10[[#This Row],[Spalte1]]+14,Ranking!$AG$2)</f>
        <v>95.872755317382499</v>
      </c>
      <c r="AH56" s="29">
        <f>INDEX(Tabelle11[#All],Tabelle10[[#This Row],[Spalte1]]+14,$AH$2)</f>
        <v>93.105319955924472</v>
      </c>
      <c r="AI56" s="29">
        <f>INDEX(Tabelle11[#All],Tabelle10[[#This Row],[Spalte1]]+14,$AI$2)</f>
        <v>113.87491464576128</v>
      </c>
      <c r="AJ56" s="29">
        <f>INDEX(Tabelle11[#All],Tabelle10[[#This Row],[Spalte1]]+14,Ranking!$AJ$2)</f>
        <v>97.275128219979948</v>
      </c>
    </row>
    <row r="57" spans="1:36" x14ac:dyDescent="0.25">
      <c r="AF57" s="28">
        <f t="shared" si="2"/>
        <v>54</v>
      </c>
      <c r="AG57" s="29">
        <f>INDEX(Tabelle11[#All],Tabelle10[[#This Row],[Spalte1]]+14,Ranking!$AG$2)</f>
        <v>94.674830243085708</v>
      </c>
      <c r="AH57" s="29">
        <f>INDEX(Tabelle11[#All],Tabelle10[[#This Row],[Spalte1]]+14,$AH$2)</f>
        <v>93.105319955924472</v>
      </c>
      <c r="AI57" s="29">
        <f>INDEX(Tabelle11[#All],Tabelle10[[#This Row],[Spalte1]]+14,$AI$2)</f>
        <v>113.87491464576128</v>
      </c>
      <c r="AJ57" s="29">
        <f>INDEX(Tabelle11[#All],Tabelle10[[#This Row],[Spalte1]]+14,Ranking!$AJ$2)</f>
        <v>97.275128219979948</v>
      </c>
    </row>
    <row r="58" spans="1:36" x14ac:dyDescent="0.25">
      <c r="AF58" s="28">
        <f t="shared" si="2"/>
        <v>55</v>
      </c>
      <c r="AG58" s="29">
        <f>INDEX(Tabelle11[#All],Tabelle10[[#This Row],[Spalte1]]+14,Ranking!$AG$2)</f>
        <v>95.947100835964889</v>
      </c>
      <c r="AH58" s="29">
        <f>INDEX(Tabelle11[#All],Tabelle10[[#This Row],[Spalte1]]+14,$AH$2)</f>
        <v>93.105319955924472</v>
      </c>
      <c r="AI58" s="29">
        <f>INDEX(Tabelle11[#All],Tabelle10[[#This Row],[Spalte1]]+14,$AI$2)</f>
        <v>113.87491464576128</v>
      </c>
      <c r="AJ58" s="29">
        <f>INDEX(Tabelle11[#All],Tabelle10[[#This Row],[Spalte1]]+14,Ranking!$AJ$2)</f>
        <v>97.275128219979948</v>
      </c>
    </row>
    <row r="59" spans="1:36" x14ac:dyDescent="0.25">
      <c r="AF59" s="28">
        <f t="shared" si="2"/>
        <v>56</v>
      </c>
      <c r="AG59" s="29">
        <f>INDEX(Tabelle11[#All],Tabelle10[[#This Row],[Spalte1]]+14,Ranking!$AG$2)</f>
        <v>95.947100835964889</v>
      </c>
      <c r="AH59" s="29">
        <f>INDEX(Tabelle11[#All],Tabelle10[[#This Row],[Spalte1]]+14,$AH$2)</f>
        <v>93.105319955924472</v>
      </c>
      <c r="AI59" s="29">
        <f>INDEX(Tabelle11[#All],Tabelle10[[#This Row],[Spalte1]]+14,$AI$2)</f>
        <v>113.87491464576128</v>
      </c>
      <c r="AJ59" s="29">
        <f>INDEX(Tabelle11[#All],Tabelle10[[#This Row],[Spalte1]]+14,Ranking!$AJ$2)</f>
        <v>97.275128219979948</v>
      </c>
    </row>
    <row r="60" spans="1:36" x14ac:dyDescent="0.25">
      <c r="AF60" s="28">
        <f t="shared" si="2"/>
        <v>57</v>
      </c>
      <c r="AG60" s="29">
        <f>INDEX(Tabelle11[#All],Tabelle10[[#This Row],[Spalte1]]+14,Ranking!$AG$2)</f>
        <v>95.947100835964889</v>
      </c>
      <c r="AH60" s="29">
        <f>INDEX(Tabelle11[#All],Tabelle10[[#This Row],[Spalte1]]+14,$AH$2)</f>
        <v>93.105319955924472</v>
      </c>
      <c r="AI60" s="29">
        <f>INDEX(Tabelle11[#All],Tabelle10[[#This Row],[Spalte1]]+14,$AI$2)</f>
        <v>113.87491464576128</v>
      </c>
      <c r="AJ60" s="29">
        <f>INDEX(Tabelle11[#All],Tabelle10[[#This Row],[Spalte1]]+14,Ranking!$AJ$2)</f>
        <v>97.275128219979948</v>
      </c>
    </row>
    <row r="61" spans="1:36" x14ac:dyDescent="0.25">
      <c r="AF61" s="28">
        <f t="shared" si="2"/>
        <v>58</v>
      </c>
      <c r="AG61" s="29">
        <f>INDEX(Tabelle11[#All],Tabelle10[[#This Row],[Spalte1]]+14,Ranking!$AG$2)</f>
        <v>97.096119351203782</v>
      </c>
      <c r="AH61" s="29">
        <f>INDEX(Tabelle11[#All],Tabelle10[[#This Row],[Spalte1]]+14,$AH$2)</f>
        <v>93.105319955924472</v>
      </c>
      <c r="AI61" s="29">
        <f>INDEX(Tabelle11[#All],Tabelle10[[#This Row],[Spalte1]]+14,$AI$2)</f>
        <v>112.7282426122611</v>
      </c>
      <c r="AJ61" s="29">
        <f>INDEX(Tabelle11[#All],Tabelle10[[#This Row],[Spalte1]]+14,Ranking!$AJ$2)</f>
        <v>97.275128219979948</v>
      </c>
    </row>
    <row r="62" spans="1:36" x14ac:dyDescent="0.25">
      <c r="AF62" s="28">
        <f t="shared" si="2"/>
        <v>59</v>
      </c>
      <c r="AG62" s="29">
        <f>INDEX(Tabelle11[#All],Tabelle10[[#This Row],[Spalte1]]+14,Ranking!$AG$2)</f>
        <v>97.621522685111643</v>
      </c>
      <c r="AH62" s="29">
        <f>INDEX(Tabelle11[#All],Tabelle10[[#This Row],[Spalte1]]+14,$AH$2)</f>
        <v>93.105319955924472</v>
      </c>
      <c r="AI62" s="29">
        <f>INDEX(Tabelle11[#All],Tabelle10[[#This Row],[Spalte1]]+14,$AI$2)</f>
        <v>112.20327959260266</v>
      </c>
      <c r="AJ62" s="29">
        <f>INDEX(Tabelle11[#All],Tabelle10[[#This Row],[Spalte1]]+14,Ranking!$AJ$2)</f>
        <v>97.275128219979948</v>
      </c>
    </row>
    <row r="63" spans="1:36" x14ac:dyDescent="0.25">
      <c r="AF63" s="28">
        <f t="shared" si="2"/>
        <v>60</v>
      </c>
      <c r="AG63" s="29">
        <f>INDEX(Tabelle11[#All],Tabelle10[[#This Row],[Spalte1]]+14,Ranking!$AG$2)</f>
        <v>98.432784440290078</v>
      </c>
      <c r="AH63" s="29">
        <f>INDEX(Tabelle11[#All],Tabelle10[[#This Row],[Spalte1]]+14,$AH$2)</f>
        <v>93.105319955924472</v>
      </c>
      <c r="AI63" s="29">
        <f>INDEX(Tabelle11[#All],Tabelle10[[#This Row],[Spalte1]]+14,$AI$2)</f>
        <v>112.20327959260266</v>
      </c>
      <c r="AJ63" s="29">
        <f>INDEX(Tabelle11[#All],Tabelle10[[#This Row],[Spalte1]]+14,Ranking!$AJ$2)</f>
        <v>97.275128219979948</v>
      </c>
    </row>
    <row r="64" spans="1:36" x14ac:dyDescent="0.25">
      <c r="AF64" s="28">
        <f t="shared" si="2"/>
        <v>61</v>
      </c>
      <c r="AG64" s="29">
        <f>INDEX(Tabelle11[#All],Tabelle10[[#This Row],[Spalte1]]+14,Ranking!$AG$2)</f>
        <v>98.438751276510686</v>
      </c>
      <c r="AH64" s="29">
        <f>INDEX(Tabelle11[#All],Tabelle10[[#This Row],[Spalte1]]+14,$AH$2)</f>
        <v>93.105319955924472</v>
      </c>
      <c r="AI64" s="29">
        <f>INDEX(Tabelle11[#All],Tabelle10[[#This Row],[Spalte1]]+14,$AI$2)</f>
        <v>112.20327959260266</v>
      </c>
      <c r="AJ64" s="29">
        <f>INDEX(Tabelle11[#All],Tabelle10[[#This Row],[Spalte1]]+14,Ranking!$AJ$2)</f>
        <v>97.275128219979948</v>
      </c>
    </row>
    <row r="65" spans="32:36" x14ac:dyDescent="0.25">
      <c r="AF65" s="28">
        <f t="shared" si="2"/>
        <v>62</v>
      </c>
      <c r="AG65" s="29">
        <f>INDEX(Tabelle11[#All],Tabelle10[[#This Row],[Spalte1]]+14,Ranking!$AG$2)</f>
        <v>97.508280671277078</v>
      </c>
      <c r="AH65" s="29">
        <f>INDEX(Tabelle11[#All],Tabelle10[[#This Row],[Spalte1]]+14,$AH$2)</f>
        <v>93.105319955924472</v>
      </c>
      <c r="AI65" s="29">
        <f>INDEX(Tabelle11[#All],Tabelle10[[#This Row],[Spalte1]]+14,$AI$2)</f>
        <v>113.07429451392163</v>
      </c>
      <c r="AJ65" s="29">
        <f>INDEX(Tabelle11[#All],Tabelle10[[#This Row],[Spalte1]]+14,Ranking!$AJ$2)</f>
        <v>98.279811868662179</v>
      </c>
    </row>
    <row r="66" spans="32:36" x14ac:dyDescent="0.25">
      <c r="AF66" s="28">
        <f t="shared" si="2"/>
        <v>63</v>
      </c>
      <c r="AG66" s="29">
        <f>INDEX(Tabelle11[#All],Tabelle10[[#This Row],[Spalte1]]+14,Ranking!$AG$2)</f>
        <v>97.236664748304293</v>
      </c>
      <c r="AH66" s="29">
        <f>INDEX(Tabelle11[#All],Tabelle10[[#This Row],[Spalte1]]+14,$AH$2)</f>
        <v>93.105319955924472</v>
      </c>
      <c r="AI66" s="29">
        <f>INDEX(Tabelle11[#All],Tabelle10[[#This Row],[Spalte1]]+14,$AI$2)</f>
        <v>113.3289008703652</v>
      </c>
      <c r="AJ66" s="29">
        <f>INDEX(Tabelle11[#All],Tabelle10[[#This Row],[Spalte1]]+14,Ranking!$AJ$2)</f>
        <v>98.572745214648748</v>
      </c>
    </row>
    <row r="67" spans="32:36" x14ac:dyDescent="0.25">
      <c r="AF67" s="28">
        <f t="shared" si="2"/>
        <v>64</v>
      </c>
      <c r="AG67" s="29">
        <f>INDEX(Tabelle11[#All],Tabelle10[[#This Row],[Spalte1]]+14,Ranking!$AG$2)</f>
        <v>97.236664748304293</v>
      </c>
      <c r="AH67" s="29">
        <f>INDEX(Tabelle11[#All],Tabelle10[[#This Row],[Spalte1]]+14,$AH$2)</f>
        <v>93.105319955924472</v>
      </c>
      <c r="AI67" s="29">
        <f>INDEX(Tabelle11[#All],Tabelle10[[#This Row],[Spalte1]]+14,$AI$2)</f>
        <v>113.3289008703652</v>
      </c>
      <c r="AJ67" s="29">
        <f>INDEX(Tabelle11[#All],Tabelle10[[#This Row],[Spalte1]]+14,Ranking!$AJ$2)</f>
        <v>98.572745214648748</v>
      </c>
    </row>
    <row r="68" spans="32:36" x14ac:dyDescent="0.25">
      <c r="AF68" s="28">
        <f t="shared" si="2"/>
        <v>65</v>
      </c>
      <c r="AG68" s="29">
        <f>INDEX(Tabelle11[#All],Tabelle10[[#This Row],[Spalte1]]+14,Ranking!$AG$2)</f>
        <v>97.236664748304293</v>
      </c>
      <c r="AH68" s="29">
        <f>INDEX(Tabelle11[#All],Tabelle10[[#This Row],[Spalte1]]+14,$AH$2)</f>
        <v>93.105319955924472</v>
      </c>
      <c r="AI68" s="29">
        <f>INDEX(Tabelle11[#All],Tabelle10[[#This Row],[Spalte1]]+14,$AI$2)</f>
        <v>113.3289008703652</v>
      </c>
      <c r="AJ68" s="29">
        <f>INDEX(Tabelle11[#All],Tabelle10[[#This Row],[Spalte1]]+14,Ranking!$AJ$2)</f>
        <v>98.572745214648748</v>
      </c>
    </row>
    <row r="69" spans="32:36" x14ac:dyDescent="0.25">
      <c r="AF69" s="28">
        <f t="shared" ref="AF69:AF102" si="3">AF68+1</f>
        <v>66</v>
      </c>
      <c r="AG69" s="29">
        <f>INDEX(Tabelle11[#All],Tabelle10[[#This Row],[Spalte1]]+14,Ranking!$AG$2)</f>
        <v>97.754979908163023</v>
      </c>
      <c r="AH69" s="29">
        <f>INDEX(Tabelle11[#All],Tabelle10[[#This Row],[Spalte1]]+14,$AH$2)</f>
        <v>92.605745467672207</v>
      </c>
      <c r="AI69" s="29">
        <f>INDEX(Tabelle11[#All],Tabelle10[[#This Row],[Spalte1]]+14,$AI$2)</f>
        <v>113.3289008703652</v>
      </c>
      <c r="AJ69" s="29">
        <f>INDEX(Tabelle11[#All],Tabelle10[[#This Row],[Spalte1]]+14,Ranking!$AJ$2)</f>
        <v>99.084034996863892</v>
      </c>
    </row>
    <row r="70" spans="32:36" x14ac:dyDescent="0.25">
      <c r="AF70" s="28">
        <f t="shared" si="3"/>
        <v>67</v>
      </c>
      <c r="AG70" s="29">
        <f>INDEX(Tabelle11[#All],Tabelle10[[#This Row],[Spalte1]]+14,Ranking!$AG$2)</f>
        <v>95.268447073714583</v>
      </c>
      <c r="AH70" s="29">
        <f>INDEX(Tabelle11[#All],Tabelle10[[#This Row],[Spalte1]]+14,$AH$2)</f>
        <v>95.183233725778521</v>
      </c>
      <c r="AI70" s="29">
        <f>INDEX(Tabelle11[#All],Tabelle10[[#This Row],[Spalte1]]+14,$AI$2)</f>
        <v>113.3289008703652</v>
      </c>
      <c r="AJ70" s="29">
        <f>INDEX(Tabelle11[#All],Tabelle10[[#This Row],[Spalte1]]+14,Ranking!$AJ$2)</f>
        <v>96.563695811885282</v>
      </c>
    </row>
    <row r="71" spans="32:36" x14ac:dyDescent="0.25">
      <c r="AF71" s="28">
        <f t="shared" si="3"/>
        <v>68</v>
      </c>
      <c r="AG71" s="29">
        <f>INDEX(Tabelle11[#All],Tabelle10[[#This Row],[Spalte1]]+14,Ranking!$AG$2)</f>
        <v>95.771539464841922</v>
      </c>
      <c r="AH71" s="29">
        <f>INDEX(Tabelle11[#All],Tabelle10[[#This Row],[Spalte1]]+14,$AH$2)</f>
        <v>95.183233725778521</v>
      </c>
      <c r="AI71" s="29">
        <f>INDEX(Tabelle11[#All],Tabelle10[[#This Row],[Spalte1]]+14,$AI$2)</f>
        <v>113.3289008703652</v>
      </c>
      <c r="AJ71" s="29">
        <f>INDEX(Tabelle11[#All],Tabelle10[[#This Row],[Spalte1]]+14,Ranking!$AJ$2)</f>
        <v>97.060040016964933</v>
      </c>
    </row>
    <row r="72" spans="32:36" x14ac:dyDescent="0.25">
      <c r="AF72" s="28">
        <f t="shared" si="3"/>
        <v>69</v>
      </c>
      <c r="AG72" s="29">
        <f>INDEX(Tabelle11[#All],Tabelle10[[#This Row],[Spalte1]]+14,Ranking!$AG$2)</f>
        <v>94.140751210658493</v>
      </c>
      <c r="AH72" s="29">
        <f>INDEX(Tabelle11[#All],Tabelle10[[#This Row],[Spalte1]]+14,$AH$2)</f>
        <v>95.183233725778521</v>
      </c>
      <c r="AI72" s="29">
        <f>INDEX(Tabelle11[#All],Tabelle10[[#This Row],[Spalte1]]+14,$AI$2)</f>
        <v>113.3289008703652</v>
      </c>
      <c r="AJ72" s="29">
        <f>INDEX(Tabelle11[#All],Tabelle10[[#This Row],[Spalte1]]+14,Ranking!$AJ$2)</f>
        <v>95.407311303458698</v>
      </c>
    </row>
    <row r="73" spans="32:36" x14ac:dyDescent="0.25">
      <c r="AF73" s="28">
        <f t="shared" si="3"/>
        <v>70</v>
      </c>
      <c r="AG73" s="29">
        <f>INDEX(Tabelle11[#All],Tabelle10[[#This Row],[Spalte1]]+14,Ranking!$AG$2)</f>
        <v>91.929730417637671</v>
      </c>
      <c r="AH73" s="29">
        <f>INDEX(Tabelle11[#All],Tabelle10[[#This Row],[Spalte1]]+14,$AH$2)</f>
        <v>95.183233725778521</v>
      </c>
      <c r="AI73" s="29">
        <f>INDEX(Tabelle11[#All],Tabelle10[[#This Row],[Spalte1]]+14,$AI$2)</f>
        <v>113.3289008703652</v>
      </c>
      <c r="AJ73" s="29">
        <f>INDEX(Tabelle11[#All],Tabelle10[[#This Row],[Spalte1]]+14,Ranking!$AJ$2)</f>
        <v>95.407311303458698</v>
      </c>
    </row>
    <row r="74" spans="32:36" x14ac:dyDescent="0.25">
      <c r="AF74" s="28">
        <f t="shared" si="3"/>
        <v>71</v>
      </c>
      <c r="AG74" s="29">
        <f>INDEX(Tabelle11[#All],Tabelle10[[#This Row],[Spalte1]]+14,Ranking!$AG$2)</f>
        <v>92.589990142659005</v>
      </c>
      <c r="AH74" s="29">
        <f>INDEX(Tabelle11[#All],Tabelle10[[#This Row],[Spalte1]]+14,$AH$2)</f>
        <v>95.183233725778521</v>
      </c>
      <c r="AI74" s="29">
        <f>INDEX(Tabelle11[#All],Tabelle10[[#This Row],[Spalte1]]+14,$AI$2)</f>
        <v>113.3289008703652</v>
      </c>
      <c r="AJ74" s="29">
        <f>INDEX(Tabelle11[#All],Tabelle10[[#This Row],[Spalte1]]+14,Ranking!$AJ$2)</f>
        <v>95.407311303458698</v>
      </c>
    </row>
    <row r="75" spans="32:36" x14ac:dyDescent="0.25">
      <c r="AF75" s="28">
        <f t="shared" si="3"/>
        <v>72</v>
      </c>
      <c r="AG75" s="29">
        <f>INDEX(Tabelle11[#All],Tabelle10[[#This Row],[Spalte1]]+14,Ranking!$AG$2)</f>
        <v>92.589990142659005</v>
      </c>
      <c r="AH75" s="29">
        <f>INDEX(Tabelle11[#All],Tabelle10[[#This Row],[Spalte1]]+14,$AH$2)</f>
        <v>95.250644366738712</v>
      </c>
      <c r="AI75" s="29">
        <f>INDEX(Tabelle11[#All],Tabelle10[[#This Row],[Spalte1]]+14,$AI$2)</f>
        <v>113.3289008703652</v>
      </c>
      <c r="AJ75" s="29">
        <f>INDEX(Tabelle11[#All],Tabelle10[[#This Row],[Spalte1]]+14,Ranking!$AJ$2)</f>
        <v>95.474563620985066</v>
      </c>
    </row>
    <row r="76" spans="32:36" x14ac:dyDescent="0.25">
      <c r="AF76" s="28">
        <f t="shared" si="3"/>
        <v>73</v>
      </c>
      <c r="AG76" s="29">
        <f>INDEX(Tabelle11[#All],Tabelle10[[#This Row],[Spalte1]]+14,Ranking!$AG$2)</f>
        <v>92.589990142659005</v>
      </c>
      <c r="AH76" s="29">
        <f>INDEX(Tabelle11[#All],Tabelle10[[#This Row],[Spalte1]]+14,$AH$2)</f>
        <v>94.220646092765818</v>
      </c>
      <c r="AI76" s="29">
        <f>INDEX(Tabelle11[#All],Tabelle10[[#This Row],[Spalte1]]+14,$AI$2)</f>
        <v>113.3289008703652</v>
      </c>
      <c r="AJ76" s="29">
        <f>INDEX(Tabelle11[#All],Tabelle10[[#This Row],[Spalte1]]+14,Ranking!$AJ$2)</f>
        <v>94.442143983388689</v>
      </c>
    </row>
    <row r="77" spans="32:36" x14ac:dyDescent="0.25">
      <c r="AF77" s="28">
        <f t="shared" si="3"/>
        <v>74</v>
      </c>
      <c r="AG77" s="29">
        <f>INDEX(Tabelle11[#All],Tabelle10[[#This Row],[Spalte1]]+14,Ranking!$AG$2)</f>
        <v>92.589990142659005</v>
      </c>
      <c r="AH77" s="29">
        <f>INDEX(Tabelle11[#All],Tabelle10[[#This Row],[Spalte1]]+14,$AH$2)</f>
        <v>93.597281297044447</v>
      </c>
      <c r="AI77" s="29">
        <f>INDEX(Tabelle11[#All],Tabelle10[[#This Row],[Spalte1]]+14,$AI$2)</f>
        <v>113.3289008703652</v>
      </c>
      <c r="AJ77" s="29">
        <f>INDEX(Tabelle11[#All],Tabelle10[[#This Row],[Spalte1]]+14,Ranking!$AJ$2)</f>
        <v>93.817313755269367</v>
      </c>
    </row>
    <row r="78" spans="32:36" x14ac:dyDescent="0.25">
      <c r="AF78" s="28">
        <f t="shared" si="3"/>
        <v>75</v>
      </c>
      <c r="AG78" s="29">
        <f>INDEX(Tabelle11[#All],Tabelle10[[#This Row],[Spalte1]]+14,Ranking!$AG$2)</f>
        <v>92.589990142659005</v>
      </c>
      <c r="AH78" s="29">
        <f>INDEX(Tabelle11[#All],Tabelle10[[#This Row],[Spalte1]]+14,$AH$2)</f>
        <v>92.044510872376279</v>
      </c>
      <c r="AI78" s="29">
        <f>INDEX(Tabelle11[#All],Tabelle10[[#This Row],[Spalte1]]+14,$AI$2)</f>
        <v>113.3289008703652</v>
      </c>
      <c r="AJ78" s="29">
        <f>INDEX(Tabelle11[#All],Tabelle10[[#This Row],[Spalte1]]+14,Ranking!$AJ$2)</f>
        <v>92.260893012035694</v>
      </c>
    </row>
    <row r="79" spans="32:36" x14ac:dyDescent="0.25">
      <c r="AF79" s="28">
        <f t="shared" si="3"/>
        <v>76</v>
      </c>
      <c r="AG79" s="29">
        <f>INDEX(Tabelle11[#All],Tabelle10[[#This Row],[Spalte1]]+14,Ranking!$AG$2)</f>
        <v>92.589990142659005</v>
      </c>
      <c r="AH79" s="29">
        <f>INDEX(Tabelle11[#All],Tabelle10[[#This Row],[Spalte1]]+14,$AH$2)</f>
        <v>92.044510872376279</v>
      </c>
      <c r="AI79" s="29">
        <f>INDEX(Tabelle11[#All],Tabelle10[[#This Row],[Spalte1]]+14,$AI$2)</f>
        <v>113.3289008703652</v>
      </c>
      <c r="AJ79" s="29">
        <f>INDEX(Tabelle11[#All],Tabelle10[[#This Row],[Spalte1]]+14,Ranking!$AJ$2)</f>
        <v>92.260893012035694</v>
      </c>
    </row>
    <row r="80" spans="32:36" x14ac:dyDescent="0.25">
      <c r="AF80" s="28">
        <f t="shared" si="3"/>
        <v>77</v>
      </c>
      <c r="AG80" s="29">
        <f>INDEX(Tabelle11[#All],Tabelle10[[#This Row],[Spalte1]]+14,Ranking!$AG$2)</f>
        <v>92.589990142659005</v>
      </c>
      <c r="AH80" s="29">
        <f>INDEX(Tabelle11[#All],Tabelle10[[#This Row],[Spalte1]]+14,$AH$2)</f>
        <v>92.044510872376279</v>
      </c>
      <c r="AI80" s="29">
        <f>INDEX(Tabelle11[#All],Tabelle10[[#This Row],[Spalte1]]+14,$AI$2)</f>
        <v>113.3289008703652</v>
      </c>
      <c r="AJ80" s="29">
        <f>INDEX(Tabelle11[#All],Tabelle10[[#This Row],[Spalte1]]+14,Ranking!$AJ$2)</f>
        <v>92.260893012035694</v>
      </c>
    </row>
    <row r="81" spans="32:36" x14ac:dyDescent="0.25">
      <c r="AF81" s="28">
        <f t="shared" si="3"/>
        <v>78</v>
      </c>
      <c r="AG81" s="29">
        <f>INDEX(Tabelle11[#All],Tabelle10[[#This Row],[Spalte1]]+14,Ranking!$AG$2)</f>
        <v>92.589990142659005</v>
      </c>
      <c r="AH81" s="29">
        <f>INDEX(Tabelle11[#All],Tabelle10[[#This Row],[Spalte1]]+14,$AH$2)</f>
        <v>92.515301926596138</v>
      </c>
      <c r="AI81" s="29">
        <f>INDEX(Tabelle11[#All],Tabelle10[[#This Row],[Spalte1]]+14,$AI$2)</f>
        <v>113.3289008703652</v>
      </c>
      <c r="AJ81" s="29">
        <f>INDEX(Tabelle11[#All],Tabelle10[[#This Row],[Spalte1]]+14,Ranking!$AJ$2)</f>
        <v>91.846559693684327</v>
      </c>
    </row>
    <row r="82" spans="32:36" x14ac:dyDescent="0.25">
      <c r="AF82" s="28">
        <f t="shared" si="3"/>
        <v>79</v>
      </c>
      <c r="AG82" s="29">
        <f>INDEX(Tabelle11[#All],Tabelle10[[#This Row],[Spalte1]]+14,Ranking!$AG$2)</f>
        <v>92.589990142659005</v>
      </c>
      <c r="AH82" s="29">
        <f>INDEX(Tabelle11[#All],Tabelle10[[#This Row],[Spalte1]]+14,$AH$2)</f>
        <v>92.267697290004975</v>
      </c>
      <c r="AI82" s="29">
        <f>INDEX(Tabelle11[#All],Tabelle10[[#This Row],[Spalte1]]+14,$AI$2)</f>
        <v>113.3289008703652</v>
      </c>
      <c r="AJ82" s="29">
        <f>INDEX(Tabelle11[#All],Tabelle10[[#This Row],[Spalte1]]+14,Ranking!$AJ$2)</f>
        <v>92.127908063259142</v>
      </c>
    </row>
    <row r="83" spans="32:36" x14ac:dyDescent="0.25">
      <c r="AF83" s="28">
        <f t="shared" si="3"/>
        <v>80</v>
      </c>
      <c r="AG83" s="29">
        <f>INDEX(Tabelle11[#All],Tabelle10[[#This Row],[Spalte1]]+14,Ranking!$AG$2)</f>
        <v>93.061533094864288</v>
      </c>
      <c r="AH83" s="29">
        <f>INDEX(Tabelle11[#All],Tabelle10[[#This Row],[Spalte1]]+14,$AH$2)</f>
        <v>92.267697290004975</v>
      </c>
      <c r="AI83" s="29">
        <f>INDEX(Tabelle11[#All],Tabelle10[[#This Row],[Spalte1]]+14,$AI$2)</f>
        <v>113.3289008703652</v>
      </c>
      <c r="AJ83" s="29">
        <f>INDEX(Tabelle11[#All],Tabelle10[[#This Row],[Spalte1]]+14,Ranking!$AJ$2)</f>
        <v>92.127908063259142</v>
      </c>
    </row>
    <row r="84" spans="32:36" x14ac:dyDescent="0.25">
      <c r="AF84" s="28">
        <f t="shared" si="3"/>
        <v>81</v>
      </c>
      <c r="AG84" s="29">
        <f>INDEX(Tabelle11[#All],Tabelle10[[#This Row],[Spalte1]]+14,Ranking!$AG$2)</f>
        <v>96.978778433590605</v>
      </c>
      <c r="AH84" s="29">
        <f>INDEX(Tabelle11[#All],Tabelle10[[#This Row],[Spalte1]]+14,$AH$2)</f>
        <v>92.267697290004975</v>
      </c>
      <c r="AI84" s="29">
        <f>INDEX(Tabelle11[#All],Tabelle10[[#This Row],[Spalte1]]+14,$AI$2)</f>
        <v>113.3289008703652</v>
      </c>
      <c r="AJ84" s="29">
        <f>INDEX(Tabelle11[#All],Tabelle10[[#This Row],[Spalte1]]+14,Ranking!$AJ$2)</f>
        <v>92.127908063259142</v>
      </c>
    </row>
    <row r="85" spans="32:36" x14ac:dyDescent="0.25">
      <c r="AF85" s="28">
        <f t="shared" si="3"/>
        <v>82</v>
      </c>
      <c r="AG85" s="29">
        <f>INDEX(Tabelle11[#All],Tabelle10[[#This Row],[Spalte1]]+14,Ranking!$AG$2)</f>
        <v>95.407124937481996</v>
      </c>
      <c r="AH85" s="29">
        <f>INDEX(Tabelle11[#All],Tabelle10[[#This Row],[Spalte1]]+14,$AH$2)</f>
        <v>92.267697290004975</v>
      </c>
      <c r="AI85" s="29">
        <f>INDEX(Tabelle11[#All],Tabelle10[[#This Row],[Spalte1]]+14,$AI$2)</f>
        <v>113.3289008703652</v>
      </c>
      <c r="AJ85" s="29">
        <f>INDEX(Tabelle11[#All],Tabelle10[[#This Row],[Spalte1]]+14,Ranking!$AJ$2)</f>
        <v>92.127908063259142</v>
      </c>
    </row>
    <row r="86" spans="32:36" x14ac:dyDescent="0.25">
      <c r="AF86" s="28">
        <f t="shared" si="3"/>
        <v>83</v>
      </c>
      <c r="AG86" s="29">
        <f>INDEX(Tabelle11[#All],Tabelle10[[#This Row],[Spalte1]]+14,Ranking!$AG$2)</f>
        <v>95.232863044770994</v>
      </c>
      <c r="AH86" s="29">
        <f>INDEX(Tabelle11[#All],Tabelle10[[#This Row],[Spalte1]]+14,$AH$2)</f>
        <v>92.267697290004975</v>
      </c>
      <c r="AI86" s="29">
        <f>INDEX(Tabelle11[#All],Tabelle10[[#This Row],[Spalte1]]+14,$AI$2)</f>
        <v>113.3289008703652</v>
      </c>
      <c r="AJ86" s="29">
        <f>INDEX(Tabelle11[#All],Tabelle10[[#This Row],[Spalte1]]+14,Ranking!$AJ$2)</f>
        <v>92.127908063259142</v>
      </c>
    </row>
    <row r="87" spans="32:36" x14ac:dyDescent="0.25">
      <c r="AF87" s="28">
        <f t="shared" si="3"/>
        <v>84</v>
      </c>
      <c r="AG87" s="29">
        <f>INDEX(Tabelle11[#All],Tabelle10[[#This Row],[Spalte1]]+14,Ranking!$AG$2)</f>
        <v>95.232863044770994</v>
      </c>
      <c r="AH87" s="29">
        <f>INDEX(Tabelle11[#All],Tabelle10[[#This Row],[Spalte1]]+14,$AH$2)</f>
        <v>92.267697290004975</v>
      </c>
      <c r="AI87" s="29">
        <f>INDEX(Tabelle11[#All],Tabelle10[[#This Row],[Spalte1]]+14,$AI$2)</f>
        <v>113.3289008703652</v>
      </c>
      <c r="AJ87" s="29">
        <f>INDEX(Tabelle11[#All],Tabelle10[[#This Row],[Spalte1]]+14,Ranking!$AJ$2)</f>
        <v>92.127908063259142</v>
      </c>
    </row>
    <row r="88" spans="32:36" x14ac:dyDescent="0.25">
      <c r="AF88" s="28">
        <f t="shared" si="3"/>
        <v>85</v>
      </c>
      <c r="AG88" s="29">
        <f>INDEX(Tabelle11[#All],Tabelle10[[#This Row],[Spalte1]]+14,Ranking!$AG$2)</f>
        <v>95.232863044770994</v>
      </c>
      <c r="AH88" s="29">
        <f>INDEX(Tabelle11[#All],Tabelle10[[#This Row],[Spalte1]]+14,$AH$2)</f>
        <v>92.267697290004975</v>
      </c>
      <c r="AI88" s="29">
        <f>INDEX(Tabelle11[#All],Tabelle10[[#This Row],[Spalte1]]+14,$AI$2)</f>
        <v>113.3289008703652</v>
      </c>
      <c r="AJ88" s="29">
        <f>INDEX(Tabelle11[#All],Tabelle10[[#This Row],[Spalte1]]+14,Ranking!$AJ$2)</f>
        <v>92.127908063259142</v>
      </c>
    </row>
    <row r="89" spans="32:36" x14ac:dyDescent="0.25">
      <c r="AF89" s="28">
        <f t="shared" si="3"/>
        <v>86</v>
      </c>
      <c r="AG89" s="29">
        <f>INDEX(Tabelle11[#All],Tabelle10[[#This Row],[Spalte1]]+14,Ranking!$AG$2)</f>
        <v>95.511426944109317</v>
      </c>
      <c r="AH89" s="29">
        <f>INDEX(Tabelle11[#All],Tabelle10[[#This Row],[Spalte1]]+14,$AH$2)</f>
        <v>91.992655912056335</v>
      </c>
      <c r="AI89" s="29">
        <f>INDEX(Tabelle11[#All],Tabelle10[[#This Row],[Spalte1]]+14,$AI$2)</f>
        <v>113.3289008703652</v>
      </c>
      <c r="AJ89" s="29">
        <f>INDEX(Tabelle11[#All],Tabelle10[[#This Row],[Spalte1]]+14,Ranking!$AJ$2)</f>
        <v>92.415860305230041</v>
      </c>
    </row>
    <row r="90" spans="32:36" x14ac:dyDescent="0.25">
      <c r="AF90" s="28">
        <f t="shared" si="3"/>
        <v>87</v>
      </c>
      <c r="AG90" s="29">
        <f>INDEX(Tabelle11[#All],Tabelle10[[#This Row],[Spalte1]]+14,Ranking!$AG$2)</f>
        <v>94.850155364740317</v>
      </c>
      <c r="AH90" s="29">
        <f>INDEX(Tabelle11[#All],Tabelle10[[#This Row],[Spalte1]]+14,$AH$2)</f>
        <v>92.662082625521762</v>
      </c>
      <c r="AI90" s="29">
        <f>INDEX(Tabelle11[#All],Tabelle10[[#This Row],[Spalte1]]+14,$AI$2)</f>
        <v>113.3289008703652</v>
      </c>
      <c r="AJ90" s="29">
        <f>INDEX(Tabelle11[#All],Tabelle10[[#This Row],[Spalte1]]+14,Ranking!$AJ$2)</f>
        <v>91.776020823630162</v>
      </c>
    </row>
    <row r="91" spans="32:36" x14ac:dyDescent="0.25">
      <c r="AF91" s="28">
        <f t="shared" si="3"/>
        <v>88</v>
      </c>
      <c r="AG91" s="29">
        <f>INDEX(Tabelle11[#All],Tabelle10[[#This Row],[Spalte1]]+14,Ranking!$AG$2)</f>
        <v>94.850155364740317</v>
      </c>
      <c r="AH91" s="29">
        <f>INDEX(Tabelle11[#All],Tabelle10[[#This Row],[Spalte1]]+14,$AH$2)</f>
        <v>92.662082625521762</v>
      </c>
      <c r="AI91" s="29">
        <f>INDEX(Tabelle11[#All],Tabelle10[[#This Row],[Spalte1]]+14,$AI$2)</f>
        <v>113.3289008703652</v>
      </c>
      <c r="AJ91" s="29">
        <f>INDEX(Tabelle11[#All],Tabelle10[[#This Row],[Spalte1]]+14,Ranking!$AJ$2)</f>
        <v>91.776020823630162</v>
      </c>
    </row>
    <row r="92" spans="32:36" x14ac:dyDescent="0.25">
      <c r="AF92" s="28">
        <f t="shared" si="3"/>
        <v>89</v>
      </c>
      <c r="AG92" s="29">
        <f>INDEX(Tabelle11[#All],Tabelle10[[#This Row],[Spalte1]]+14,Ranking!$AG$2)</f>
        <v>94.850155364740317</v>
      </c>
      <c r="AH92" s="29">
        <f>INDEX(Tabelle11[#All],Tabelle10[[#This Row],[Spalte1]]+14,$AH$2)</f>
        <v>92.662082625521762</v>
      </c>
      <c r="AI92" s="29">
        <f>INDEX(Tabelle11[#All],Tabelle10[[#This Row],[Spalte1]]+14,$AI$2)</f>
        <v>113.3289008703652</v>
      </c>
      <c r="AJ92" s="29">
        <f>INDEX(Tabelle11[#All],Tabelle10[[#This Row],[Spalte1]]+14,Ranking!$AJ$2)</f>
        <v>91.776020823630162</v>
      </c>
    </row>
    <row r="93" spans="32:36" x14ac:dyDescent="0.25">
      <c r="AF93" s="28">
        <f t="shared" si="3"/>
        <v>90</v>
      </c>
      <c r="AG93" s="29">
        <f>INDEX(Tabelle11[#All],Tabelle10[[#This Row],[Spalte1]]+14,Ranking!$AG$2)</f>
        <v>94.850155364740317</v>
      </c>
      <c r="AH93" s="29">
        <f>INDEX(Tabelle11[#All],Tabelle10[[#This Row],[Spalte1]]+14,$AH$2)</f>
        <v>92.662082625521762</v>
      </c>
      <c r="AI93" s="29">
        <f>INDEX(Tabelle11[#All],Tabelle10[[#This Row],[Spalte1]]+14,$AI$2)</f>
        <v>113.3289008703652</v>
      </c>
      <c r="AJ93" s="29">
        <f>INDEX(Tabelle11[#All],Tabelle10[[#This Row],[Spalte1]]+14,Ranking!$AJ$2)</f>
        <v>93.060774050093528</v>
      </c>
    </row>
    <row r="94" spans="32:36" x14ac:dyDescent="0.25">
      <c r="AF94" s="28">
        <f t="shared" si="3"/>
        <v>91</v>
      </c>
      <c r="AG94" s="29">
        <f>INDEX(Tabelle11[#All],Tabelle10[[#This Row],[Spalte1]]+14,Ranking!$AG$2)</f>
        <v>94.850155364740317</v>
      </c>
      <c r="AH94" s="29">
        <f>INDEX(Tabelle11[#All],Tabelle10[[#This Row],[Spalte1]]+14,$AH$2)</f>
        <v>92.662082625521762</v>
      </c>
      <c r="AI94" s="29">
        <f>INDEX(Tabelle11[#All],Tabelle10[[#This Row],[Spalte1]]+14,$AI$2)</f>
        <v>113.3289008703652</v>
      </c>
      <c r="AJ94" s="29">
        <f>INDEX(Tabelle11[#All],Tabelle10[[#This Row],[Spalte1]]+14,Ranking!$AJ$2)</f>
        <v>91.884582809774884</v>
      </c>
    </row>
    <row r="95" spans="32:36" x14ac:dyDescent="0.25">
      <c r="AF95" s="28">
        <f t="shared" si="3"/>
        <v>92</v>
      </c>
      <c r="AG95" s="29">
        <f>INDEX(Tabelle11[#All],Tabelle10[[#This Row],[Spalte1]]+14,Ranking!$AG$2)</f>
        <v>94.850155364740317</v>
      </c>
      <c r="AH95" s="29">
        <f>INDEX(Tabelle11[#All],Tabelle10[[#This Row],[Spalte1]]+14,$AH$2)</f>
        <v>92.662082625521762</v>
      </c>
      <c r="AI95" s="29">
        <f>INDEX(Tabelle11[#All],Tabelle10[[#This Row],[Spalte1]]+14,$AI$2)</f>
        <v>113.3289008703652</v>
      </c>
      <c r="AJ95" s="29">
        <f>INDEX(Tabelle11[#All],Tabelle10[[#This Row],[Spalte1]]+14,Ranking!$AJ$2)</f>
        <v>91.884582809774884</v>
      </c>
    </row>
    <row r="96" spans="32:36" x14ac:dyDescent="0.25">
      <c r="AF96" s="28">
        <f t="shared" si="3"/>
        <v>93</v>
      </c>
      <c r="AG96" s="29">
        <f>INDEX(Tabelle11[#All],Tabelle10[[#This Row],[Spalte1]]+14,Ranking!$AG$2)</f>
        <v>94.850155364740317</v>
      </c>
      <c r="AH96" s="29">
        <f>INDEX(Tabelle11[#All],Tabelle10[[#This Row],[Spalte1]]+14,$AH$2)</f>
        <v>92.662082625521762</v>
      </c>
      <c r="AI96" s="29">
        <f>INDEX(Tabelle11[#All],Tabelle10[[#This Row],[Spalte1]]+14,$AI$2)</f>
        <v>113.3289008703652</v>
      </c>
      <c r="AJ96" s="29">
        <f>INDEX(Tabelle11[#All],Tabelle10[[#This Row],[Spalte1]]+14,Ranking!$AJ$2)</f>
        <v>91.884582809774884</v>
      </c>
    </row>
    <row r="97" spans="32:36" x14ac:dyDescent="0.25">
      <c r="AF97" s="28">
        <f t="shared" si="3"/>
        <v>94</v>
      </c>
      <c r="AG97" s="29">
        <f>INDEX(Tabelle11[#All],Tabelle10[[#This Row],[Spalte1]]+14,Ranking!$AG$2)</f>
        <v>95.334243040009738</v>
      </c>
      <c r="AH97" s="29">
        <f>INDEX(Tabelle11[#All],Tabelle10[[#This Row],[Spalte1]]+14,$AH$2)</f>
        <v>93.157601287615961</v>
      </c>
      <c r="AI97" s="29">
        <f>INDEX(Tabelle11[#All],Tabelle10[[#This Row],[Spalte1]]+14,$AI$2)</f>
        <v>112.78791444243583</v>
      </c>
      <c r="AJ97" s="29">
        <f>INDEX(Tabelle11[#All],Tabelle10[[#This Row],[Spalte1]]+14,Ranking!$AJ$2)</f>
        <v>91.445962900340646</v>
      </c>
    </row>
    <row r="98" spans="32:36" x14ac:dyDescent="0.25">
      <c r="AF98" s="28">
        <f t="shared" si="3"/>
        <v>95</v>
      </c>
      <c r="AG98" s="29">
        <f>INDEX(Tabelle11[#All],Tabelle10[[#This Row],[Spalte1]]+14,Ranking!$AG$2)</f>
        <v>94.026542225836181</v>
      </c>
      <c r="AH98" s="29">
        <f>INDEX(Tabelle11[#All],Tabelle10[[#This Row],[Spalte1]]+14,$AH$2)</f>
        <v>91.879757491246338</v>
      </c>
      <c r="AI98" s="29">
        <f>INDEX(Tabelle11[#All],Tabelle10[[#This Row],[Spalte1]]+14,$AI$2)</f>
        <v>113.94559513483185</v>
      </c>
      <c r="AJ98" s="29">
        <f>INDEX(Tabelle11[#All],Tabelle10[[#This Row],[Spalte1]]+14,Ranking!$AJ$2)</f>
        <v>92.873826818487814</v>
      </c>
    </row>
    <row r="99" spans="32:36" x14ac:dyDescent="0.25">
      <c r="AF99" s="28">
        <f t="shared" si="3"/>
        <v>96</v>
      </c>
      <c r="AG99" s="29">
        <f>INDEX(Tabelle11[#All],Tabelle10[[#This Row],[Spalte1]]+14,Ranking!$AG$2)</f>
        <v>94.026542225836181</v>
      </c>
      <c r="AH99" s="29">
        <f>INDEX(Tabelle11[#All],Tabelle10[[#This Row],[Spalte1]]+14,$AH$2)</f>
        <v>91.879757491246338</v>
      </c>
      <c r="AI99" s="29">
        <f>INDEX(Tabelle11[#All],Tabelle10[[#This Row],[Spalte1]]+14,$AI$2)</f>
        <v>113.94559513483185</v>
      </c>
      <c r="AJ99" s="29">
        <f>INDEX(Tabelle11[#All],Tabelle10[[#This Row],[Spalte1]]+14,Ranking!$AJ$2)</f>
        <v>92.873826818487814</v>
      </c>
    </row>
    <row r="100" spans="32:36" x14ac:dyDescent="0.25">
      <c r="AF100" s="28">
        <f t="shared" si="3"/>
        <v>97</v>
      </c>
      <c r="AG100" s="29">
        <f>INDEX(Tabelle11[#All],Tabelle10[[#This Row],[Spalte1]]+14,Ranking!$AG$2)</f>
        <v>94.026542225836181</v>
      </c>
      <c r="AH100" s="29">
        <f>INDEX(Tabelle11[#All],Tabelle10[[#This Row],[Spalte1]]+14,$AH$2)</f>
        <v>91.879757491246338</v>
      </c>
      <c r="AI100" s="29">
        <f>INDEX(Tabelle11[#All],Tabelle10[[#This Row],[Spalte1]]+14,$AI$2)</f>
        <v>113.94559513483185</v>
      </c>
      <c r="AJ100" s="29">
        <f>INDEX(Tabelle11[#All],Tabelle10[[#This Row],[Spalte1]]+14,Ranking!$AJ$2)</f>
        <v>92.873826818487814</v>
      </c>
    </row>
    <row r="101" spans="32:36" x14ac:dyDescent="0.25">
      <c r="AF101" s="28">
        <f t="shared" si="3"/>
        <v>98</v>
      </c>
      <c r="AG101" s="29">
        <f>INDEX(Tabelle11[#All],Tabelle10[[#This Row],[Spalte1]]+14,Ranking!$AG$2)</f>
        <v>92.822639178772889</v>
      </c>
      <c r="AH101" s="29">
        <f>INDEX(Tabelle11[#All],Tabelle10[[#This Row],[Spalte1]]+14,$AH$2)</f>
        <v>91.879757491246338</v>
      </c>
      <c r="AI101" s="29">
        <f>INDEX(Tabelle11[#All],Tabelle10[[#This Row],[Spalte1]]+14,$AI$2)</f>
        <v>113.94559513483185</v>
      </c>
      <c r="AJ101" s="29">
        <f>INDEX(Tabelle11[#All],Tabelle10[[#This Row],[Spalte1]]+14,Ranking!$AJ$2)</f>
        <v>94.080809289464426</v>
      </c>
    </row>
    <row r="102" spans="32:36" x14ac:dyDescent="0.25">
      <c r="AF102" s="28">
        <f t="shared" si="3"/>
        <v>99</v>
      </c>
      <c r="AG102" s="29">
        <f>INDEX(Tabelle11[#All],Tabelle10[[#This Row],[Spalte1]]+14,Ranking!$AG$2)</f>
        <v>92.24929073396774</v>
      </c>
      <c r="AH102" s="29">
        <f>INDEX(Tabelle11[#All],Tabelle10[[#This Row],[Spalte1]]+14,$AH$2)</f>
        <v>91.879757491246338</v>
      </c>
      <c r="AI102" s="29">
        <f>INDEX(Tabelle11[#All],Tabelle10[[#This Row],[Spalte1]]+14,$AI$2)</f>
        <v>113.94559513483185</v>
      </c>
      <c r="AJ102" s="29">
        <f>INDEX(Tabelle11[#All],Tabelle10[[#This Row],[Spalte1]]+14,Ranking!$AJ$2)</f>
        <v>94.655590368962422</v>
      </c>
    </row>
    <row r="103" spans="32:36" x14ac:dyDescent="0.25">
      <c r="AF103" s="29">
        <f>IF(IFERROR(Tabelle12[[#This Row],[Spiel]],0)=0,AF102+1,Tabelle12[[#This Row],[Spiel]])</f>
        <v>101</v>
      </c>
      <c r="AG103" s="29">
        <f>INDEX(Tabelle11[#All],Tabelle10[[#This Row],[Spalte1]]+14,Ranking!$AG$2)</f>
        <v>93.678699750720511</v>
      </c>
      <c r="AH103" s="29">
        <f>INDEX(Tabelle11[#All],Tabelle10[[#This Row],[Spalte1]]+14,$AH$2)</f>
        <v>91.879757491246338</v>
      </c>
      <c r="AI103" s="29">
        <f>INDEX(Tabelle11[#All],Tabelle10[[#This Row],[Spalte1]]+14,$AI$2)</f>
        <v>115.10434278945853</v>
      </c>
      <c r="AJ103" s="29">
        <f>INDEX(Tabelle11[#All],Tabelle10[[#This Row],[Spalte1]]+14,Ranking!$AJ$2)</f>
        <v>94.655590368962422</v>
      </c>
    </row>
    <row r="104" spans="32:36" x14ac:dyDescent="0.25">
      <c r="AF104" s="29">
        <f>IF(IFERROR(Tabelle12[[#This Row],[Spiel]],0)=0,AF103+1,Tabelle12[[#This Row],[Spiel]])</f>
        <v>102</v>
      </c>
      <c r="AG104" s="29">
        <f>INDEX(Tabelle11[#All],Tabelle10[[#This Row],[Spalte1]]+14,Ranking!$AG$2)</f>
        <v>93.678699750720511</v>
      </c>
      <c r="AH104" s="29">
        <f>INDEX(Tabelle11[#All],Tabelle10[[#This Row],[Spalte1]]+14,$AH$2)</f>
        <v>91.879757491246338</v>
      </c>
      <c r="AI104" s="29">
        <f>INDEX(Tabelle11[#All],Tabelle10[[#This Row],[Spalte1]]+14,$AI$2)</f>
        <v>115.10434278945853</v>
      </c>
      <c r="AJ104" s="29">
        <f>INDEX(Tabelle11[#All],Tabelle10[[#This Row],[Spalte1]]+14,Ranking!$AJ$2)</f>
        <v>94.592913276284676</v>
      </c>
    </row>
    <row r="105" spans="32:36" x14ac:dyDescent="0.25">
      <c r="AF105" s="29">
        <f>IF(IFERROR(Tabelle12[[#This Row],[Spiel]],0)=0,AF104+1,Tabelle12[[#This Row],[Spiel]])</f>
        <v>103</v>
      </c>
      <c r="AG105" s="29">
        <f>INDEX(Tabelle11[#All],Tabelle10[[#This Row],[Spalte1]]+14,Ranking!$AG$2)</f>
        <v>93.678699750720511</v>
      </c>
      <c r="AH105" s="29">
        <f>INDEX(Tabelle11[#All],Tabelle10[[#This Row],[Spalte1]]+14,$AH$2)</f>
        <v>91.879757491246338</v>
      </c>
      <c r="AI105" s="29">
        <f>INDEX(Tabelle11[#All],Tabelle10[[#This Row],[Spalte1]]+14,$AI$2)</f>
        <v>115.10434278945853</v>
      </c>
      <c r="AJ105" s="29">
        <f>INDEX(Tabelle11[#All],Tabelle10[[#This Row],[Spalte1]]+14,Ranking!$AJ$2)</f>
        <v>93.972607776623789</v>
      </c>
    </row>
    <row r="106" spans="32:36" x14ac:dyDescent="0.25">
      <c r="AF106" s="29">
        <f>IF(IFERROR(Tabelle12[[#This Row],[Spiel]],0)=0,AF105+1,Tabelle12[[#This Row],[Spiel]])</f>
        <v>104</v>
      </c>
      <c r="AG106" s="29">
        <f>INDEX(Tabelle11[#All],Tabelle10[[#This Row],[Spalte1]]+14,Ranking!$AG$2)</f>
        <v>93.678699750720511</v>
      </c>
      <c r="AH106" s="29">
        <f>INDEX(Tabelle11[#All],Tabelle10[[#This Row],[Spalte1]]+14,$AH$2)</f>
        <v>91.879757491246338</v>
      </c>
      <c r="AI106" s="29">
        <f>INDEX(Tabelle11[#All],Tabelle10[[#This Row],[Spalte1]]+14,$AI$2)</f>
        <v>115.10434278945853</v>
      </c>
      <c r="AJ106" s="29">
        <f>INDEX(Tabelle11[#All],Tabelle10[[#This Row],[Spalte1]]+14,Ranking!$AJ$2)</f>
        <v>93.972607776623789</v>
      </c>
    </row>
    <row r="107" spans="32:36" x14ac:dyDescent="0.25">
      <c r="AF107" s="29">
        <f>IF(IFERROR(Tabelle12[[#This Row],[Spiel]],0)=0,AF106+1,Tabelle12[[#This Row],[Spiel]])</f>
        <v>105</v>
      </c>
      <c r="AG107" s="29">
        <f>INDEX(Tabelle11[#All],Tabelle10[[#This Row],[Spalte1]]+14,Ranking!$AG$2)</f>
        <v>93.678699750720511</v>
      </c>
      <c r="AH107" s="29">
        <f>INDEX(Tabelle11[#All],Tabelle10[[#This Row],[Spalte1]]+14,$AH$2)</f>
        <v>91.879757491246338</v>
      </c>
      <c r="AI107" s="29">
        <f>INDEX(Tabelle11[#All],Tabelle10[[#This Row],[Spalte1]]+14,$AI$2)</f>
        <v>115.10434278945853</v>
      </c>
      <c r="AJ107" s="29">
        <f>INDEX(Tabelle11[#All],Tabelle10[[#This Row],[Spalte1]]+14,Ranking!$AJ$2)</f>
        <v>93.972607776623789</v>
      </c>
    </row>
    <row r="108" spans="32:36" x14ac:dyDescent="0.25">
      <c r="AF108" s="29">
        <f>IF(IFERROR(Tabelle12[[#This Row],[Spiel]],0)=0,AF107+1,Tabelle12[[#This Row],[Spiel]])</f>
        <v>106</v>
      </c>
      <c r="AG108" s="29">
        <f>INDEX(Tabelle11[#All],Tabelle10[[#This Row],[Spalte1]]+14,Ranking!$AG$2)</f>
        <v>93.678699750720511</v>
      </c>
      <c r="AH108" s="29">
        <f>INDEX(Tabelle11[#All],Tabelle10[[#This Row],[Spalte1]]+14,$AH$2)</f>
        <v>91.674168265154194</v>
      </c>
      <c r="AI108" s="29">
        <f>INDEX(Tabelle11[#All],Tabelle10[[#This Row],[Spalte1]]+14,$AI$2)</f>
        <v>115.10434278945853</v>
      </c>
      <c r="AJ108" s="29">
        <f>INDEX(Tabelle11[#All],Tabelle10[[#This Row],[Spalte1]]+14,Ranking!$AJ$2)</f>
        <v>93.972607776623789</v>
      </c>
    </row>
    <row r="109" spans="32:36" x14ac:dyDescent="0.25">
      <c r="AF109" s="29">
        <f>IF(IFERROR(Tabelle12[[#This Row],[Spiel]],0)=0,AF108+1,Tabelle12[[#This Row],[Spiel]])</f>
        <v>107</v>
      </c>
      <c r="AG109" s="29">
        <f>INDEX(Tabelle11[#All],Tabelle10[[#This Row],[Spalte1]]+14,Ranking!$AG$2)</f>
        <v>93.678699750720511</v>
      </c>
      <c r="AH109" s="29">
        <f>INDEX(Tabelle11[#All],Tabelle10[[#This Row],[Spalte1]]+14,$AH$2)</f>
        <v>93.918629323598466</v>
      </c>
      <c r="AI109" s="29">
        <f>INDEX(Tabelle11[#All],Tabelle10[[#This Row],[Spalte1]]+14,$AI$2)</f>
        <v>115.10434278945853</v>
      </c>
      <c r="AJ109" s="29">
        <f>INDEX(Tabelle11[#All],Tabelle10[[#This Row],[Spalte1]]+14,Ranking!$AJ$2)</f>
        <v>93.972607776623789</v>
      </c>
    </row>
    <row r="110" spans="32:36" x14ac:dyDescent="0.25">
      <c r="AF110" s="29">
        <f>IF(IFERROR(Tabelle12[[#This Row],[Spiel]],0)=0,AF109+1,Tabelle12[[#This Row],[Spiel]])</f>
        <v>108</v>
      </c>
      <c r="AG110" s="29">
        <f>INDEX(Tabelle11[#All],Tabelle10[[#This Row],[Spalte1]]+14,Ranking!$AG$2)</f>
        <v>93.52883282555635</v>
      </c>
      <c r="AH110" s="29">
        <f>INDEX(Tabelle11[#All],Tabelle10[[#This Row],[Spalte1]]+14,$AH$2)</f>
        <v>93.918629323598466</v>
      </c>
      <c r="AI110" s="29">
        <f>INDEX(Tabelle11[#All],Tabelle10[[#This Row],[Spalte1]]+14,$AI$2)</f>
        <v>115.10434278945853</v>
      </c>
      <c r="AJ110" s="29">
        <f>INDEX(Tabelle11[#All],Tabelle10[[#This Row],[Spalte1]]+14,Ranking!$AJ$2)</f>
        <v>93.972607776623789</v>
      </c>
    </row>
    <row r="111" spans="32:36" x14ac:dyDescent="0.25">
      <c r="AF111" s="29">
        <f>IF(IFERROR(Tabelle12[[#This Row],[Spiel]],0)=0,AF110+1,Tabelle12[[#This Row],[Spiel]])</f>
        <v>109</v>
      </c>
      <c r="AG111" s="29">
        <f>INDEX(Tabelle11[#All],Tabelle10[[#This Row],[Spalte1]]+14,Ranking!$AG$2)</f>
        <v>91.608339520426014</v>
      </c>
      <c r="AH111" s="29">
        <f>INDEX(Tabelle11[#All],Tabelle10[[#This Row],[Spalte1]]+14,$AH$2)</f>
        <v>93.918629323598466</v>
      </c>
      <c r="AI111" s="29">
        <f>INDEX(Tabelle11[#All],Tabelle10[[#This Row],[Spalte1]]+14,$AI$2)</f>
        <v>115.10434278945853</v>
      </c>
      <c r="AJ111" s="29">
        <f>INDEX(Tabelle11[#All],Tabelle10[[#This Row],[Spalte1]]+14,Ranking!$AJ$2)</f>
        <v>93.972607776623789</v>
      </c>
    </row>
    <row r="112" spans="32:36" x14ac:dyDescent="0.25">
      <c r="AF112" s="29">
        <f>IF(IFERROR(Tabelle12[[#This Row],[Spiel]],0)=0,AF111+1,Tabelle12[[#This Row],[Spiel]])</f>
        <v>110</v>
      </c>
      <c r="AG112" s="29">
        <f>INDEX(Tabelle11[#All],Tabelle10[[#This Row],[Spalte1]]+14,Ranking!$AG$2)</f>
        <v>90.965264550810943</v>
      </c>
      <c r="AH112" s="29">
        <f>INDEX(Tabelle11[#All],Tabelle10[[#This Row],[Spalte1]]+14,$AH$2)</f>
        <v>94.603181603164956</v>
      </c>
      <c r="AI112" s="29">
        <f>INDEX(Tabelle11[#All],Tabelle10[[#This Row],[Spalte1]]+14,$AI$2)</f>
        <v>115.10434278945853</v>
      </c>
      <c r="AJ112" s="29">
        <f>INDEX(Tabelle11[#All],Tabelle10[[#This Row],[Spalte1]]+14,Ranking!$AJ$2)</f>
        <v>94.656766845083979</v>
      </c>
    </row>
    <row r="113" spans="32:36" x14ac:dyDescent="0.25">
      <c r="AF113" s="29">
        <f>IF(IFERROR(Tabelle12[[#This Row],[Spiel]],0)=0,AF112+1,Tabelle12[[#This Row],[Spiel]])</f>
        <v>111</v>
      </c>
      <c r="AG113" s="29">
        <f>INDEX(Tabelle11[#All],Tabelle10[[#This Row],[Spalte1]]+14,Ranking!$AG$2)</f>
        <v>91.205664848657065</v>
      </c>
      <c r="AH113" s="29">
        <f>INDEX(Tabelle11[#All],Tabelle10[[#This Row],[Spalte1]]+14,$AH$2)</f>
        <v>94.376521622568788</v>
      </c>
      <c r="AI113" s="29">
        <f>INDEX(Tabelle11[#All],Tabelle10[[#This Row],[Spalte1]]+14,$AI$2)</f>
        <v>115.10434278945853</v>
      </c>
      <c r="AJ113" s="29">
        <f>INDEX(Tabelle11[#All],Tabelle10[[#This Row],[Spalte1]]+14,Ranking!$AJ$2)</f>
        <v>94.429978479483339</v>
      </c>
    </row>
    <row r="114" spans="32:36" x14ac:dyDescent="0.25">
      <c r="AF114" s="29">
        <f>IF(IFERROR(Tabelle12[[#This Row],[Spiel]],0)=0,AF113+1,Tabelle12[[#This Row],[Spiel]])</f>
        <v>112</v>
      </c>
      <c r="AG114" s="29">
        <f>INDEX(Tabelle11[#All],Tabelle10[[#This Row],[Spalte1]]+14,Ranking!$AG$2)</f>
        <v>94.646474010221567</v>
      </c>
      <c r="AH114" s="29">
        <f>INDEX(Tabelle11[#All],Tabelle10[[#This Row],[Spalte1]]+14,$AH$2)</f>
        <v>91.360415575120015</v>
      </c>
      <c r="AI114" s="29">
        <f>INDEX(Tabelle11[#All],Tabelle10[[#This Row],[Spalte1]]+14,$AI$2)</f>
        <v>115.10434278945853</v>
      </c>
      <c r="AJ114" s="29">
        <f>INDEX(Tabelle11[#All],Tabelle10[[#This Row],[Spalte1]]+14,Ranking!$AJ$2)</f>
        <v>94.429978479483339</v>
      </c>
    </row>
    <row r="115" spans="32:36" x14ac:dyDescent="0.25">
      <c r="AF115" s="29">
        <f>IF(IFERROR(Tabelle12[[#This Row],[Spiel]],0)=0,AF114+1,Tabelle12[[#This Row],[Spiel]])</f>
        <v>113</v>
      </c>
      <c r="AG115" s="29">
        <f>INDEX(Tabelle11[#All],Tabelle10[[#This Row],[Spalte1]]+14,Ranking!$AG$2)</f>
        <v>94.357099679669787</v>
      </c>
      <c r="AH115" s="29">
        <f>INDEX(Tabelle11[#All],Tabelle10[[#This Row],[Spalte1]]+14,$AH$2)</f>
        <v>91.689302447343223</v>
      </c>
      <c r="AI115" s="29">
        <f>INDEX(Tabelle11[#All],Tabelle10[[#This Row],[Spalte1]]+14,$AI$2)</f>
        <v>115.10434278945853</v>
      </c>
      <c r="AJ115" s="29">
        <f>INDEX(Tabelle11[#All],Tabelle10[[#This Row],[Spalte1]]+14,Ranking!$AJ$2)</f>
        <v>94.429978479483339</v>
      </c>
    </row>
    <row r="116" spans="32:36" x14ac:dyDescent="0.25">
      <c r="AF116" s="29">
        <f>IF(IFERROR(Tabelle12[[#This Row],[Spiel]],0)=0,AF115+1,Tabelle12[[#This Row],[Spiel]])</f>
        <v>114</v>
      </c>
      <c r="AG116" s="29">
        <f>INDEX(Tabelle11[#All],Tabelle10[[#This Row],[Spalte1]]+14,Ranking!$AG$2)</f>
        <v>94.357099679669787</v>
      </c>
      <c r="AH116" s="29">
        <f>INDEX(Tabelle11[#All],Tabelle10[[#This Row],[Spalte1]]+14,$AH$2)</f>
        <v>91.689302447343223</v>
      </c>
      <c r="AI116" s="29">
        <f>INDEX(Tabelle11[#All],Tabelle10[[#This Row],[Spalte1]]+14,$AI$2)</f>
        <v>115.2287568627172</v>
      </c>
      <c r="AJ116" s="29">
        <f>INDEX(Tabelle11[#All],Tabelle10[[#This Row],[Spalte1]]+14,Ranking!$AJ$2)</f>
        <v>94.429978479483339</v>
      </c>
    </row>
    <row r="117" spans="32:36" x14ac:dyDescent="0.25">
      <c r="AF117" s="29">
        <f>IF(IFERROR(Tabelle12[[#This Row],[Spiel]],0)=0,AF116+1,Tabelle12[[#This Row],[Spiel]])</f>
        <v>115</v>
      </c>
      <c r="AG117" s="29">
        <f>INDEX(Tabelle11[#All],Tabelle10[[#This Row],[Spalte1]]+14,Ranking!$AG$2)</f>
        <v>94.357099679669787</v>
      </c>
      <c r="AH117" s="29">
        <f>INDEX(Tabelle11[#All],Tabelle10[[#This Row],[Spalte1]]+14,$AH$2)</f>
        <v>91.689302447343223</v>
      </c>
      <c r="AI117" s="29">
        <f>INDEX(Tabelle11[#All],Tabelle10[[#This Row],[Spalte1]]+14,$AI$2)</f>
        <v>114.96198681294571</v>
      </c>
      <c r="AJ117" s="29">
        <f>INDEX(Tabelle11[#All],Tabelle10[[#This Row],[Spalte1]]+14,Ranking!$AJ$2)</f>
        <v>94.429978479483339</v>
      </c>
    </row>
    <row r="118" spans="32:36" x14ac:dyDescent="0.25">
      <c r="AF118" s="29">
        <f>IF(IFERROR(Tabelle12[[#This Row],[Spiel]],0)=0,AF117+1,Tabelle12[[#This Row],[Spiel]])</f>
        <v>116</v>
      </c>
      <c r="AG118" s="29">
        <f>INDEX(Tabelle11[#All],Tabelle10[[#This Row],[Spalte1]]+14,Ranking!$AG$2)</f>
        <v>94.357099679669787</v>
      </c>
      <c r="AH118" s="29">
        <f>INDEX(Tabelle11[#All],Tabelle10[[#This Row],[Spalte1]]+14,$AH$2)</f>
        <v>91.689302447343223</v>
      </c>
      <c r="AI118" s="29">
        <f>INDEX(Tabelle11[#All],Tabelle10[[#This Row],[Spalte1]]+14,$AI$2)</f>
        <v>114.96198681294571</v>
      </c>
      <c r="AJ118" s="29">
        <f>INDEX(Tabelle11[#All],Tabelle10[[#This Row],[Spalte1]]+14,Ranking!$AJ$2)</f>
        <v>94.429978479483339</v>
      </c>
    </row>
    <row r="119" spans="32:36" x14ac:dyDescent="0.25">
      <c r="AF119" s="29">
        <f>IF(IFERROR(Tabelle12[[#This Row],[Spiel]],0)=0,AF118+1,Tabelle12[[#This Row],[Spiel]])</f>
        <v>117</v>
      </c>
      <c r="AG119" s="29">
        <f>INDEX(Tabelle11[#All],Tabelle10[[#This Row],[Spalte1]]+14,Ranking!$AG$2)</f>
        <v>94.357099679669787</v>
      </c>
      <c r="AH119" s="29">
        <f>INDEX(Tabelle11[#All],Tabelle10[[#This Row],[Spalte1]]+14,$AH$2)</f>
        <v>91.689302447343223</v>
      </c>
      <c r="AI119" s="29">
        <f>INDEX(Tabelle11[#All],Tabelle10[[#This Row],[Spalte1]]+14,$AI$2)</f>
        <v>114.96198681294571</v>
      </c>
      <c r="AJ119" s="29">
        <f>INDEX(Tabelle11[#All],Tabelle10[[#This Row],[Spalte1]]+14,Ranking!$AJ$2)</f>
        <v>94.429978479483339</v>
      </c>
    </row>
    <row r="120" spans="32:36" x14ac:dyDescent="0.25">
      <c r="AF120" s="29">
        <f>IF(IFERROR(Tabelle12[[#This Row],[Spiel]],0)=0,AF119+1,Tabelle12[[#This Row],[Spiel]])</f>
        <v>118</v>
      </c>
      <c r="AG120" s="29">
        <f>INDEX(Tabelle11[#All],Tabelle10[[#This Row],[Spalte1]]+14,Ranking!$AG$2)</f>
        <v>94.549835215939424</v>
      </c>
      <c r="AH120" s="29">
        <f>INDEX(Tabelle11[#All],Tabelle10[[#This Row],[Spalte1]]+14,$AH$2)</f>
        <v>91.527888752386175</v>
      </c>
      <c r="AI120" s="29">
        <f>INDEX(Tabelle11[#All],Tabelle10[[#This Row],[Spalte1]]+14,$AI$2)</f>
        <v>115.12017793952391</v>
      </c>
      <c r="AJ120" s="29">
        <f>INDEX(Tabelle11[#All],Tabelle10[[#This Row],[Spalte1]]+14,Ranking!$AJ$2)</f>
        <v>94.429978479483339</v>
      </c>
    </row>
    <row r="121" spans="32:36" x14ac:dyDescent="0.25">
      <c r="AF121" s="29">
        <f>IF(IFERROR(Tabelle12[[#This Row],[Spiel]],0)=0,AF120+1,Tabelle12[[#This Row],[Spiel]])</f>
        <v>119</v>
      </c>
      <c r="AG121" s="29">
        <f>INDEX(Tabelle11[#All],Tabelle10[[#This Row],[Spalte1]]+14,Ranking!$AG$2)</f>
        <v>94.43575881404324</v>
      </c>
      <c r="AH121" s="29">
        <f>INDEX(Tabelle11[#All],Tabelle10[[#This Row],[Spalte1]]+14,$AH$2)</f>
        <v>91.664502349669036</v>
      </c>
      <c r="AI121" s="29">
        <f>INDEX(Tabelle11[#All],Tabelle10[[#This Row],[Spalte1]]+14,$AI$2)</f>
        <v>114.98128297841693</v>
      </c>
      <c r="AJ121" s="29">
        <f>INDEX(Tabelle11[#All],Tabelle10[[#This Row],[Spalte1]]+14,Ranking!$AJ$2)</f>
        <v>94.429978479483339</v>
      </c>
    </row>
    <row r="122" spans="32:36" x14ac:dyDescent="0.25">
      <c r="AF122" s="29">
        <f>IF(IFERROR(Tabelle12[[#This Row],[Spiel]],0)=0,AF121+1,Tabelle12[[#This Row],[Spiel]])</f>
        <v>120</v>
      </c>
      <c r="AG122" s="29">
        <f>INDEX(Tabelle11[#All],Tabelle10[[#This Row],[Spalte1]]+14,Ranking!$AG$2)</f>
        <v>94.43575881404324</v>
      </c>
      <c r="AH122" s="29">
        <f>INDEX(Tabelle11[#All],Tabelle10[[#This Row],[Spalte1]]+14,$AH$2)</f>
        <v>91.664502349669036</v>
      </c>
      <c r="AI122" s="29">
        <f>INDEX(Tabelle11[#All],Tabelle10[[#This Row],[Spalte1]]+14,$AI$2)</f>
        <v>114.98128297841693</v>
      </c>
      <c r="AJ122" s="29">
        <f>INDEX(Tabelle11[#All],Tabelle10[[#This Row],[Spalte1]]+14,Ranking!$AJ$2)</f>
        <v>93.485300827800813</v>
      </c>
    </row>
    <row r="123" spans="32:36" x14ac:dyDescent="0.25">
      <c r="AF123" s="29">
        <f>IF(IFERROR(Tabelle12[[#This Row],[Spiel]],0)=0,AF122+1,Tabelle12[[#This Row],[Spiel]])</f>
        <v>121</v>
      </c>
      <c r="AG123" s="29">
        <f>INDEX(Tabelle11[#All],Tabelle10[[#This Row],[Spalte1]]+14,Ranking!$AG$2)</f>
        <v>94.43575881404324</v>
      </c>
      <c r="AH123" s="29">
        <f>INDEX(Tabelle11[#All],Tabelle10[[#This Row],[Spalte1]]+14,$AH$2)</f>
        <v>91.664502349669036</v>
      </c>
      <c r="AI123" s="29">
        <f>INDEX(Tabelle11[#All],Tabelle10[[#This Row],[Spalte1]]+14,$AI$2)</f>
        <v>114.98128297841693</v>
      </c>
      <c r="AJ123" s="29">
        <f>INDEX(Tabelle11[#All],Tabelle10[[#This Row],[Spalte1]]+14,Ranking!$AJ$2)</f>
        <v>94.122758132868739</v>
      </c>
    </row>
    <row r="124" spans="32:36" x14ac:dyDescent="0.25">
      <c r="AF124" s="29">
        <f>IF(IFERROR(Tabelle12[[#This Row],[Spiel]],0)=0,AF123+1,Tabelle12[[#This Row],[Spiel]])</f>
        <v>122</v>
      </c>
      <c r="AG124" s="29">
        <f>INDEX(Tabelle11[#All],Tabelle10[[#This Row],[Spalte1]]+14,Ranking!$AG$2)</f>
        <v>91.960849788853452</v>
      </c>
      <c r="AH124" s="29">
        <f>INDEX(Tabelle11[#All],Tabelle10[[#This Row],[Spalte1]]+14,$AH$2)</f>
        <v>91.664502349669036</v>
      </c>
      <c r="AI124" s="29">
        <f>INDEX(Tabelle11[#All],Tabelle10[[#This Row],[Spalte1]]+14,$AI$2)</f>
        <v>114.98128297841693</v>
      </c>
      <c r="AJ124" s="29">
        <f>INDEX(Tabelle11[#All],Tabelle10[[#This Row],[Spalte1]]+14,Ranking!$AJ$2)</f>
        <v>94.122758132868739</v>
      </c>
    </row>
    <row r="125" spans="32:36" x14ac:dyDescent="0.25">
      <c r="AF125" s="29">
        <f>IF(IFERROR(Tabelle12[[#This Row],[Spiel]],0)=0,AF124+1,Tabelle12[[#This Row],[Spiel]])</f>
        <v>123</v>
      </c>
      <c r="AG125" s="29">
        <f>INDEX(Tabelle11[#All],Tabelle10[[#This Row],[Spalte1]]+14,Ranking!$AG$2)</f>
        <v>89.103135012399392</v>
      </c>
      <c r="AH125" s="29">
        <f>INDEX(Tabelle11[#All],Tabelle10[[#This Row],[Spalte1]]+14,$AH$2)</f>
        <v>91.664502349669036</v>
      </c>
      <c r="AI125" s="29">
        <f>INDEX(Tabelle11[#All],Tabelle10[[#This Row],[Spalte1]]+14,$AI$2)</f>
        <v>114.98128297841693</v>
      </c>
      <c r="AJ125" s="29">
        <f>INDEX(Tabelle11[#All],Tabelle10[[#This Row],[Spalte1]]+14,Ranking!$AJ$2)</f>
        <v>94.122758132868739</v>
      </c>
    </row>
    <row r="126" spans="32:36" x14ac:dyDescent="0.25">
      <c r="AF126" s="29">
        <f>IF(IFERROR(Tabelle12[[#This Row],[Spiel]],0)=0,AF125+1,Tabelle12[[#This Row],[Spiel]])</f>
        <v>124</v>
      </c>
      <c r="AG126" s="29">
        <f>INDEX(Tabelle11[#All],Tabelle10[[#This Row],[Spalte1]]+14,Ranking!$AG$2)</f>
        <v>89.103135012399392</v>
      </c>
      <c r="AH126" s="29">
        <f>INDEX(Tabelle11[#All],Tabelle10[[#This Row],[Spalte1]]+14,$AH$2)</f>
        <v>91.664502349669036</v>
      </c>
      <c r="AI126" s="29">
        <f>INDEX(Tabelle11[#All],Tabelle10[[#This Row],[Spalte1]]+14,$AI$2)</f>
        <v>114.98128297841693</v>
      </c>
      <c r="AJ126" s="29">
        <f>INDEX(Tabelle11[#All],Tabelle10[[#This Row],[Spalte1]]+14,Ranking!$AJ$2)</f>
        <v>94.122758132868739</v>
      </c>
    </row>
    <row r="127" spans="32:36" x14ac:dyDescent="0.25">
      <c r="AF127" s="29">
        <f>IF(IFERROR(Tabelle12[[#This Row],[Spiel]],0)=0,AF126+1,Tabelle12[[#This Row],[Spiel]])</f>
        <v>125</v>
      </c>
      <c r="AG127" s="29">
        <f>INDEX(Tabelle11[#All],Tabelle10[[#This Row],[Spalte1]]+14,Ranking!$AG$2)</f>
        <v>89.103135012399392</v>
      </c>
      <c r="AH127" s="29">
        <f>INDEX(Tabelle11[#All],Tabelle10[[#This Row],[Spalte1]]+14,$AH$2)</f>
        <v>91.664502349669036</v>
      </c>
      <c r="AI127" s="29">
        <f>INDEX(Tabelle11[#All],Tabelle10[[#This Row],[Spalte1]]+14,$AI$2)</f>
        <v>114.98128297841693</v>
      </c>
      <c r="AJ127" s="29">
        <f>INDEX(Tabelle11[#All],Tabelle10[[#This Row],[Spalte1]]+14,Ranking!$AJ$2)</f>
        <v>94.122758132868739</v>
      </c>
    </row>
    <row r="128" spans="32:36" x14ac:dyDescent="0.25">
      <c r="AF128" s="29">
        <f>IF(IFERROR(Tabelle12[[#This Row],[Spiel]],0)=0,AF127+1,Tabelle12[[#This Row],[Spiel]])</f>
        <v>126</v>
      </c>
      <c r="AG128" s="29">
        <f>INDEX(Tabelle11[#All],Tabelle10[[#This Row],[Spalte1]]+14,Ranking!$AG$2)</f>
        <v>88.280852455739307</v>
      </c>
      <c r="AH128" s="29">
        <f>INDEX(Tabelle11[#All],Tabelle10[[#This Row],[Spalte1]]+14,$AH$2)</f>
        <v>91.664502349669036</v>
      </c>
      <c r="AI128" s="29">
        <f>INDEX(Tabelle11[#All],Tabelle10[[#This Row],[Spalte1]]+14,$AI$2)</f>
        <v>114.98128297841693</v>
      </c>
      <c r="AJ128" s="29">
        <f>INDEX(Tabelle11[#All],Tabelle10[[#This Row],[Spalte1]]+14,Ranking!$AJ$2)</f>
        <v>94.122758132868739</v>
      </c>
    </row>
    <row r="129" spans="32:36" x14ac:dyDescent="0.25">
      <c r="AF129" s="29">
        <f>IF(IFERROR(Tabelle12[[#This Row],[Spiel]],0)=0,AF128+1,Tabelle12[[#This Row],[Spiel]])</f>
        <v>127</v>
      </c>
      <c r="AG129" s="29">
        <f>INDEX(Tabelle11[#All],Tabelle10[[#This Row],[Spalte1]]+14,Ranking!$AG$2)</f>
        <v>87.218181702302758</v>
      </c>
      <c r="AH129" s="29">
        <f>INDEX(Tabelle11[#All],Tabelle10[[#This Row],[Spalte1]]+14,$AH$2)</f>
        <v>91.664502349669036</v>
      </c>
      <c r="AI129" s="29">
        <f>INDEX(Tabelle11[#All],Tabelle10[[#This Row],[Spalte1]]+14,$AI$2)</f>
        <v>114.98128297841693</v>
      </c>
      <c r="AJ129" s="29">
        <f>INDEX(Tabelle11[#All],Tabelle10[[#This Row],[Spalte1]]+14,Ranking!$AJ$2)</f>
        <v>94.122758132868739</v>
      </c>
    </row>
    <row r="130" spans="32:36" x14ac:dyDescent="0.25">
      <c r="AF130" s="29">
        <f>IF(IFERROR(Tabelle12[[#This Row],[Spiel]],0)=0,AF129+1,Tabelle12[[#This Row],[Spiel]])</f>
        <v>128</v>
      </c>
      <c r="AG130" s="29">
        <f>INDEX(Tabelle11[#All],Tabelle10[[#This Row],[Spalte1]]+14,Ranking!$AG$2)</f>
        <v>87.218181702302758</v>
      </c>
      <c r="AH130" s="29">
        <f>INDEX(Tabelle11[#All],Tabelle10[[#This Row],[Spalte1]]+14,$AH$2)</f>
        <v>91.664502349669036</v>
      </c>
      <c r="AI130" s="29">
        <f>INDEX(Tabelle11[#All],Tabelle10[[#This Row],[Spalte1]]+14,$AI$2)</f>
        <v>114.98128297841693</v>
      </c>
      <c r="AJ130" s="29">
        <f>INDEX(Tabelle11[#All],Tabelle10[[#This Row],[Spalte1]]+14,Ranking!$AJ$2)</f>
        <v>93.716489896778157</v>
      </c>
    </row>
    <row r="131" spans="32:36" x14ac:dyDescent="0.25">
      <c r="AF131" s="29">
        <f>IF(IFERROR(Tabelle12[[#This Row],[Spiel]],0)=0,AF130+1,Tabelle12[[#This Row],[Spiel]])</f>
        <v>129</v>
      </c>
      <c r="AG131" s="29">
        <f>INDEX(Tabelle11[#All],Tabelle10[[#This Row],[Spalte1]]+14,Ranking!$AG$2)</f>
        <v>87.218181702302758</v>
      </c>
      <c r="AH131" s="29">
        <f>INDEX(Tabelle11[#All],Tabelle10[[#This Row],[Spalte1]]+14,$AH$2)</f>
        <v>91.664502349669036</v>
      </c>
      <c r="AI131" s="29">
        <f>INDEX(Tabelle11[#All],Tabelle10[[#This Row],[Spalte1]]+14,$AI$2)</f>
        <v>114.98128297841693</v>
      </c>
      <c r="AJ131" s="29">
        <f>INDEX(Tabelle11[#All],Tabelle10[[#This Row],[Spalte1]]+14,Ranking!$AJ$2)</f>
        <v>91.676658801437512</v>
      </c>
    </row>
    <row r="132" spans="32:36" x14ac:dyDescent="0.25">
      <c r="AF132" s="29">
        <f>IF(IFERROR(Tabelle12[[#This Row],[Spiel]],0)=0,AF131+1,Tabelle12[[#This Row],[Spiel]])</f>
        <v>130</v>
      </c>
      <c r="AG132" s="29">
        <f>INDEX(Tabelle11[#All],Tabelle10[[#This Row],[Spalte1]]+14,Ranking!$AG$2)</f>
        <v>87.218181702302758</v>
      </c>
      <c r="AH132" s="29">
        <f>INDEX(Tabelle11[#All],Tabelle10[[#This Row],[Spalte1]]+14,$AH$2)</f>
        <v>91.664502349669036</v>
      </c>
      <c r="AI132" s="29">
        <f>INDEX(Tabelle11[#All],Tabelle10[[#This Row],[Spalte1]]+14,$AI$2)</f>
        <v>114.98128297841693</v>
      </c>
      <c r="AJ132" s="29">
        <f>INDEX(Tabelle11[#All],Tabelle10[[#This Row],[Spalte1]]+14,Ranking!$AJ$2)</f>
        <v>91.676658801437512</v>
      </c>
    </row>
    <row r="133" spans="32:36" x14ac:dyDescent="0.25">
      <c r="AF133" s="29">
        <f>IF(IFERROR(Tabelle12[[#This Row],[Spiel]],0)=0,AF132+1,Tabelle12[[#This Row],[Spiel]])</f>
        <v>131</v>
      </c>
      <c r="AG133" s="29">
        <f>INDEX(Tabelle11[#All],Tabelle10[[#This Row],[Spalte1]]+14,Ranking!$AG$2)</f>
        <v>87.218181702302758</v>
      </c>
      <c r="AH133" s="29">
        <f>INDEX(Tabelle11[#All],Tabelle10[[#This Row],[Spalte1]]+14,$AH$2)</f>
        <v>91.664502349669036</v>
      </c>
      <c r="AI133" s="29">
        <f>INDEX(Tabelle11[#All],Tabelle10[[#This Row],[Spalte1]]+14,$AI$2)</f>
        <v>114.98128297841693</v>
      </c>
      <c r="AJ133" s="29">
        <f>INDEX(Tabelle11[#All],Tabelle10[[#This Row],[Spalte1]]+14,Ranking!$AJ$2)</f>
        <v>91.676658801437512</v>
      </c>
    </row>
    <row r="134" spans="32:36" x14ac:dyDescent="0.25">
      <c r="AF134" s="29">
        <f>IF(IFERROR(Tabelle12[[#This Row],[Spiel]],0)=0,AF133+1,Tabelle12[[#This Row],[Spiel]])</f>
        <v>132</v>
      </c>
      <c r="AG134" s="29">
        <f>INDEX(Tabelle11[#All],Tabelle10[[#This Row],[Spalte1]]+14,Ranking!$AG$2)</f>
        <v>87.218181702302758</v>
      </c>
      <c r="AH134" s="29">
        <f>INDEX(Tabelle11[#All],Tabelle10[[#This Row],[Spalte1]]+14,$AH$2)</f>
        <v>91.089455351095694</v>
      </c>
      <c r="AI134" s="29">
        <f>INDEX(Tabelle11[#All],Tabelle10[[#This Row],[Spalte1]]+14,$AI$2)</f>
        <v>115.56004639822629</v>
      </c>
      <c r="AJ134" s="29">
        <f>INDEX(Tabelle11[#All],Tabelle10[[#This Row],[Spalte1]]+14,Ranking!$AJ$2)</f>
        <v>91.676658801437512</v>
      </c>
    </row>
    <row r="135" spans="32:36" x14ac:dyDescent="0.25">
      <c r="AF135" s="29">
        <f>IF(IFERROR(Tabelle12[[#This Row],[Spiel]],0)=0,AF134+1,Tabelle12[[#This Row],[Spiel]])</f>
        <v>133</v>
      </c>
      <c r="AG135" s="29">
        <f>INDEX(Tabelle11[#All],Tabelle10[[#This Row],[Spalte1]]+14,Ranking!$AG$2)</f>
        <v>87.218181702302758</v>
      </c>
      <c r="AH135" s="29">
        <f>INDEX(Tabelle11[#All],Tabelle10[[#This Row],[Spalte1]]+14,$AH$2)</f>
        <v>92.088832784692983</v>
      </c>
      <c r="AI135" s="29">
        <f>INDEX(Tabelle11[#All],Tabelle10[[#This Row],[Spalte1]]+14,$AI$2)</f>
        <v>114.56696382395144</v>
      </c>
      <c r="AJ135" s="29">
        <f>INDEX(Tabelle11[#All],Tabelle10[[#This Row],[Spalte1]]+14,Ranking!$AJ$2)</f>
        <v>91.676658801437512</v>
      </c>
    </row>
    <row r="136" spans="32:36" x14ac:dyDescent="0.25">
      <c r="AF136" s="29">
        <f>IF(IFERROR(Tabelle12[[#This Row],[Spiel]],0)=0,AF135+1,Tabelle12[[#This Row],[Spiel]])</f>
        <v>134</v>
      </c>
      <c r="AG136" s="29">
        <f>INDEX(Tabelle11[#All],Tabelle10[[#This Row],[Spalte1]]+14,Ranking!$AG$2)</f>
        <v>87.122357539750482</v>
      </c>
      <c r="AH136" s="29">
        <f>INDEX(Tabelle11[#All],Tabelle10[[#This Row],[Spalte1]]+14,$AH$2)</f>
        <v>92.193247119046291</v>
      </c>
      <c r="AI136" s="29">
        <f>INDEX(Tabelle11[#All],Tabelle10[[#This Row],[Spalte1]]+14,$AI$2)</f>
        <v>114.56696382395144</v>
      </c>
      <c r="AJ136" s="29">
        <f>INDEX(Tabelle11[#All],Tabelle10[[#This Row],[Spalte1]]+14,Ranking!$AJ$2)</f>
        <v>91.781542577769429</v>
      </c>
    </row>
    <row r="137" spans="32:36" x14ac:dyDescent="0.25">
      <c r="AF137" s="29">
        <f>IF(IFERROR(Tabelle12[[#This Row],[Spiel]],0)=0,AF136+1,Tabelle12[[#This Row],[Spiel]])</f>
        <v>135</v>
      </c>
      <c r="AG137" s="29">
        <f>INDEX(Tabelle11[#All],Tabelle10[[#This Row],[Spalte1]]+14,Ranking!$AG$2)</f>
        <v>86.673825961289879</v>
      </c>
      <c r="AH137" s="29">
        <f>INDEX(Tabelle11[#All],Tabelle10[[#This Row],[Spalte1]]+14,$AH$2)</f>
        <v>92.681989879704432</v>
      </c>
      <c r="AI137" s="29">
        <f>INDEX(Tabelle11[#All],Tabelle10[[#This Row],[Spalte1]]+14,$AI$2)</f>
        <v>114.56696382395144</v>
      </c>
      <c r="AJ137" s="29">
        <f>INDEX(Tabelle11[#All],Tabelle10[[#This Row],[Spalte1]]+14,Ranking!$AJ$2)</f>
        <v>92.272477692232357</v>
      </c>
    </row>
    <row r="138" spans="32:36" x14ac:dyDescent="0.25">
      <c r="AF138" s="29">
        <f>IF(IFERROR(Tabelle12[[#This Row],[Spiel]],0)=0,AF137+1,Tabelle12[[#This Row],[Spiel]])</f>
        <v>136</v>
      </c>
      <c r="AG138" s="29">
        <f>INDEX(Tabelle11[#All],Tabelle10[[#This Row],[Spalte1]]+14,Ranking!$AG$2)</f>
        <v>86.673825961289879</v>
      </c>
      <c r="AH138" s="29">
        <f>INDEX(Tabelle11[#All],Tabelle10[[#This Row],[Spalte1]]+14,$AH$2)</f>
        <v>93.648922636992893</v>
      </c>
      <c r="AI138" s="29">
        <f>INDEX(Tabelle11[#All],Tabelle10[[#This Row],[Spalte1]]+14,$AI$2)</f>
        <v>114.56696382395144</v>
      </c>
      <c r="AJ138" s="29">
        <f>INDEX(Tabelle11[#All],Tabelle10[[#This Row],[Spalte1]]+14,Ranking!$AJ$2)</f>
        <v>92.272477692232357</v>
      </c>
    </row>
    <row r="139" spans="32:36" x14ac:dyDescent="0.25">
      <c r="AF139" s="29">
        <f>IF(IFERROR(Tabelle12[[#This Row],[Spiel]],0)=0,AF138+1,Tabelle12[[#This Row],[Spiel]])</f>
        <v>137</v>
      </c>
      <c r="AG139" s="29">
        <f>INDEX(Tabelle11[#All],Tabelle10[[#This Row],[Spalte1]]+14,Ranking!$AG$2)</f>
        <v>86.673825961289879</v>
      </c>
      <c r="AH139" s="29">
        <f>INDEX(Tabelle11[#All],Tabelle10[[#This Row],[Spalte1]]+14,$AH$2)</f>
        <v>93.026096354794433</v>
      </c>
      <c r="AI139" s="29">
        <f>INDEX(Tabelle11[#All],Tabelle10[[#This Row],[Spalte1]]+14,$AI$2)</f>
        <v>114.56696382395144</v>
      </c>
      <c r="AJ139" s="29">
        <f>INDEX(Tabelle11[#All],Tabelle10[[#This Row],[Spalte1]]+14,Ranking!$AJ$2)</f>
        <v>92.272477692232357</v>
      </c>
    </row>
    <row r="140" spans="32:36" x14ac:dyDescent="0.25">
      <c r="AF140" s="29">
        <f>IF(IFERROR(Tabelle12[[#This Row],[Spiel]],0)=0,AF139+1,Tabelle12[[#This Row],[Spiel]])</f>
        <v>138</v>
      </c>
      <c r="AG140" s="29">
        <f>INDEX(Tabelle11[#All],Tabelle10[[#This Row],[Spalte1]]+14,Ranking!$AG$2)</f>
        <v>86.673825961289879</v>
      </c>
      <c r="AH140" s="29">
        <f>INDEX(Tabelle11[#All],Tabelle10[[#This Row],[Spalte1]]+14,$AH$2)</f>
        <v>93.026096354794433</v>
      </c>
      <c r="AI140" s="29">
        <f>INDEX(Tabelle11[#All],Tabelle10[[#This Row],[Spalte1]]+14,$AI$2)</f>
        <v>112.52971286836684</v>
      </c>
      <c r="AJ140" s="29">
        <f>INDEX(Tabelle11[#All],Tabelle10[[#This Row],[Spalte1]]+14,Ranking!$AJ$2)</f>
        <v>92.272477692232357</v>
      </c>
    </row>
    <row r="141" spans="32:36" x14ac:dyDescent="0.25">
      <c r="AF141" s="29">
        <f>IF(IFERROR(Tabelle12[[#This Row],[Spiel]],0)=0,AF140+1,Tabelle12[[#This Row],[Spiel]])</f>
        <v>139</v>
      </c>
      <c r="AG141" s="29">
        <f>INDEX(Tabelle11[#All],Tabelle10[[#This Row],[Spalte1]]+14,Ranking!$AG$2)</f>
        <v>86.673825961289879</v>
      </c>
      <c r="AH141" s="29">
        <f>INDEX(Tabelle11[#All],Tabelle10[[#This Row],[Spalte1]]+14,$AH$2)</f>
        <v>93.026096354794433</v>
      </c>
      <c r="AI141" s="29">
        <f>INDEX(Tabelle11[#All],Tabelle10[[#This Row],[Spalte1]]+14,$AI$2)</f>
        <v>113.79738422969976</v>
      </c>
      <c r="AJ141" s="29">
        <f>INDEX(Tabelle11[#All],Tabelle10[[#This Row],[Spalte1]]+14,Ranking!$AJ$2)</f>
        <v>92.272477692232357</v>
      </c>
    </row>
    <row r="142" spans="32:36" x14ac:dyDescent="0.25">
      <c r="AF142" s="29">
        <f>IF(IFERROR(Tabelle12[[#This Row],[Spiel]],0)=0,AF141+1,Tabelle12[[#This Row],[Spiel]])</f>
        <v>140</v>
      </c>
      <c r="AG142" s="29">
        <f>INDEX(Tabelle11[#All],Tabelle10[[#This Row],[Spalte1]]+14,Ranking!$AG$2)</f>
        <v>86.900093476486944</v>
      </c>
      <c r="AH142" s="29">
        <f>INDEX(Tabelle11[#All],Tabelle10[[#This Row],[Spalte1]]+14,$AH$2)</f>
        <v>93.026096354794433</v>
      </c>
      <c r="AI142" s="29">
        <f>INDEX(Tabelle11[#All],Tabelle10[[#This Row],[Spalte1]]+14,$AI$2)</f>
        <v>113.79738422969976</v>
      </c>
      <c r="AJ142" s="29">
        <f>INDEX(Tabelle11[#All],Tabelle10[[#This Row],[Spalte1]]+14,Ranking!$AJ$2)</f>
        <v>92.485016378993279</v>
      </c>
    </row>
    <row r="143" spans="32:36" x14ac:dyDescent="0.25">
      <c r="AF143" s="29">
        <f>IF(IFERROR(Tabelle12[[#This Row],[Spiel]],0)=0,AF142+1,Tabelle12[[#This Row],[Spiel]])</f>
        <v>141</v>
      </c>
      <c r="AG143" s="29">
        <f>INDEX(Tabelle11[#All],Tabelle10[[#This Row],[Spalte1]]+14,Ranking!$AG$2)</f>
        <v>87.724932987035942</v>
      </c>
      <c r="AH143" s="29">
        <f>INDEX(Tabelle11[#All],Tabelle10[[#This Row],[Spalte1]]+14,$AH$2)</f>
        <v>93.026096354794433</v>
      </c>
      <c r="AI143" s="29">
        <f>INDEX(Tabelle11[#All],Tabelle10[[#This Row],[Spalte1]]+14,$AI$2)</f>
        <v>113.79738422969976</v>
      </c>
      <c r="AJ143" s="29">
        <f>INDEX(Tabelle11[#All],Tabelle10[[#This Row],[Spalte1]]+14,Ranking!$AJ$2)</f>
        <v>93.260046036511824</v>
      </c>
    </row>
    <row r="144" spans="32:36" x14ac:dyDescent="0.25">
      <c r="AF144" s="29">
        <f>IF(IFERROR(Tabelle12[[#This Row],[Spiel]],0)=0,AF143+1,Tabelle12[[#This Row],[Spiel]])</f>
        <v>142</v>
      </c>
      <c r="AG144" s="29">
        <f>INDEX(Tabelle11[#All],Tabelle10[[#This Row],[Spalte1]]+14,Ranking!$AG$2)</f>
        <v>87.724932987035942</v>
      </c>
      <c r="AH144" s="29">
        <f>INDEX(Tabelle11[#All],Tabelle10[[#This Row],[Spalte1]]+14,$AH$2)</f>
        <v>93.026096354794433</v>
      </c>
      <c r="AI144" s="29">
        <f>INDEX(Tabelle11[#All],Tabelle10[[#This Row],[Spalte1]]+14,$AI$2)</f>
        <v>113.79738422969976</v>
      </c>
      <c r="AJ144" s="29">
        <f>INDEX(Tabelle11[#All],Tabelle10[[#This Row],[Spalte1]]+14,Ranking!$AJ$2)</f>
        <v>93.260046036511824</v>
      </c>
    </row>
    <row r="145" spans="32:36" x14ac:dyDescent="0.25">
      <c r="AF145" s="29">
        <f>IF(IFERROR(Tabelle12[[#This Row],[Spiel]],0)=0,AF144+1,Tabelle12[[#This Row],[Spiel]])</f>
        <v>143</v>
      </c>
      <c r="AG145" s="29">
        <f>INDEX(Tabelle11[#All],Tabelle10[[#This Row],[Spalte1]]+14,Ranking!$AG$2)</f>
        <v>87.724932987035942</v>
      </c>
      <c r="AH145" s="29">
        <f>INDEX(Tabelle11[#All],Tabelle10[[#This Row],[Spalte1]]+14,$AH$2)</f>
        <v>93.026096354794433</v>
      </c>
      <c r="AI145" s="29">
        <f>INDEX(Tabelle11[#All],Tabelle10[[#This Row],[Spalte1]]+14,$AI$2)</f>
        <v>113.79738422969976</v>
      </c>
      <c r="AJ145" s="29">
        <f>INDEX(Tabelle11[#All],Tabelle10[[#This Row],[Spalte1]]+14,Ranking!$AJ$2)</f>
        <v>93.260046036511824</v>
      </c>
    </row>
    <row r="146" spans="32:36" x14ac:dyDescent="0.25">
      <c r="AF146" s="29">
        <f>IF(IFERROR(Tabelle12[[#This Row],[Spiel]],0)=0,AF145+1,Tabelle12[[#This Row],[Spiel]])</f>
        <v>144</v>
      </c>
      <c r="AG146" s="29">
        <f>INDEX(Tabelle11[#All],Tabelle10[[#This Row],[Spalte1]]+14,Ranking!$AG$2)</f>
        <v>86.392759894679898</v>
      </c>
      <c r="AH146" s="29">
        <f>INDEX(Tabelle11[#All],Tabelle10[[#This Row],[Spalte1]]+14,$AH$2)</f>
        <v>93.026096354794433</v>
      </c>
      <c r="AI146" s="29">
        <f>INDEX(Tabelle11[#All],Tabelle10[[#This Row],[Spalte1]]+14,$AI$2)</f>
        <v>113.79738422969976</v>
      </c>
      <c r="AJ146" s="29">
        <f>INDEX(Tabelle11[#All],Tabelle10[[#This Row],[Spalte1]]+14,Ranking!$AJ$2)</f>
        <v>94.850432820757391</v>
      </c>
    </row>
    <row r="147" spans="32:36" x14ac:dyDescent="0.25">
      <c r="AF147" s="29">
        <f>IF(IFERROR(Tabelle12[[#This Row],[Spiel]],0)=0,AF146+1,Tabelle12[[#This Row],[Spiel]])</f>
        <v>145</v>
      </c>
      <c r="AG147" s="29">
        <f>INDEX(Tabelle11[#All],Tabelle10[[#This Row],[Spalte1]]+14,Ranking!$AG$2)</f>
        <v>87.662470960780851</v>
      </c>
      <c r="AH147" s="29">
        <f>INDEX(Tabelle11[#All],Tabelle10[[#This Row],[Spalte1]]+14,$AH$2)</f>
        <v>93.026096354794433</v>
      </c>
      <c r="AI147" s="29">
        <f>INDEX(Tabelle11[#All],Tabelle10[[#This Row],[Spalte1]]+14,$AI$2)</f>
        <v>113.79738422969976</v>
      </c>
      <c r="AJ147" s="29">
        <f>INDEX(Tabelle11[#All],Tabelle10[[#This Row],[Spalte1]]+14,Ranking!$AJ$2)</f>
        <v>93.775343307918618</v>
      </c>
    </row>
    <row r="148" spans="32:36" x14ac:dyDescent="0.25">
      <c r="AF148" s="29">
        <f>IF(IFERROR(Tabelle12[[#This Row],[Spiel]],0)=0,AF147+1,Tabelle12[[#This Row],[Spiel]])</f>
        <v>146</v>
      </c>
      <c r="AG148" s="29">
        <f>INDEX(Tabelle11[#All],Tabelle10[[#This Row],[Spalte1]]+14,Ranking!$AG$2)</f>
        <v>87.662470960780851</v>
      </c>
      <c r="AH148" s="29">
        <f>INDEX(Tabelle11[#All],Tabelle10[[#This Row],[Spalte1]]+14,$AH$2)</f>
        <v>92.814485551898713</v>
      </c>
      <c r="AI148" s="29">
        <f>INDEX(Tabelle11[#All],Tabelle10[[#This Row],[Spalte1]]+14,$AI$2)</f>
        <v>113.79738422969976</v>
      </c>
      <c r="AJ148" s="29">
        <f>INDEX(Tabelle11[#All],Tabelle10[[#This Row],[Spalte1]]+14,Ranking!$AJ$2)</f>
        <v>93.775343307918618</v>
      </c>
    </row>
    <row r="149" spans="32:36" x14ac:dyDescent="0.25">
      <c r="AF149" s="29">
        <f>IF(IFERROR(Tabelle12[[#This Row],[Spiel]],0)=0,AF148+1,Tabelle12[[#This Row],[Spiel]])</f>
        <v>147</v>
      </c>
      <c r="AG149" s="29">
        <f>INDEX(Tabelle11[#All],Tabelle10[[#This Row],[Spalte1]]+14,Ranking!$AG$2)</f>
        <v>87.662470960780851</v>
      </c>
      <c r="AH149" s="29">
        <f>INDEX(Tabelle11[#All],Tabelle10[[#This Row],[Spalte1]]+14,$AH$2)</f>
        <v>90.543035157452209</v>
      </c>
      <c r="AI149" s="29">
        <f>INDEX(Tabelle11[#All],Tabelle10[[#This Row],[Spalte1]]+14,$AI$2)</f>
        <v>113.79738422969976</v>
      </c>
      <c r="AJ149" s="29">
        <f>INDEX(Tabelle11[#All],Tabelle10[[#This Row],[Spalte1]]+14,Ranking!$AJ$2)</f>
        <v>93.775343307918618</v>
      </c>
    </row>
    <row r="150" spans="32:36" x14ac:dyDescent="0.25">
      <c r="AF150" s="29">
        <f>IF(IFERROR(Tabelle12[[#This Row],[Spiel]],0)=0,AF149+1,Tabelle12[[#This Row],[Spiel]])</f>
        <v>148</v>
      </c>
      <c r="AG150" s="29">
        <f>INDEX(Tabelle11[#All],Tabelle10[[#This Row],[Spalte1]]+14,Ranking!$AG$2)</f>
        <v>87.662470960780851</v>
      </c>
      <c r="AH150" s="29">
        <f>INDEX(Tabelle11[#All],Tabelle10[[#This Row],[Spalte1]]+14,$AH$2)</f>
        <v>90.543035157452209</v>
      </c>
      <c r="AI150" s="29">
        <f>INDEX(Tabelle11[#All],Tabelle10[[#This Row],[Spalte1]]+14,$AI$2)</f>
        <v>113.79738422969976</v>
      </c>
      <c r="AJ150" s="29">
        <f>INDEX(Tabelle11[#All],Tabelle10[[#This Row],[Spalte1]]+14,Ranking!$AJ$2)</f>
        <v>93.775343307918618</v>
      </c>
    </row>
    <row r="151" spans="32:36" x14ac:dyDescent="0.25">
      <c r="AF151" s="29">
        <f>IF(IFERROR(Tabelle12[[#This Row],[Spiel]],0)=0,AF150+1,Tabelle12[[#This Row],[Spiel]])</f>
        <v>149</v>
      </c>
      <c r="AG151" s="29">
        <f>INDEX(Tabelle11[#All],Tabelle10[[#This Row],[Spalte1]]+14,Ranking!$AG$2)</f>
        <v>87.662470960780851</v>
      </c>
      <c r="AH151" s="29">
        <f>INDEX(Tabelle11[#All],Tabelle10[[#This Row],[Spalte1]]+14,$AH$2)</f>
        <v>90.543035157452209</v>
      </c>
      <c r="AI151" s="29">
        <f>INDEX(Tabelle11[#All],Tabelle10[[#This Row],[Spalte1]]+14,$AI$2)</f>
        <v>113.79738422969976</v>
      </c>
      <c r="AJ151" s="29">
        <f>INDEX(Tabelle11[#All],Tabelle10[[#This Row],[Spalte1]]+14,Ranking!$AJ$2)</f>
        <v>93.775343307918618</v>
      </c>
    </row>
    <row r="152" spans="32:36" x14ac:dyDescent="0.25">
      <c r="AF152" s="29">
        <f>IF(IFERROR(Tabelle12[[#This Row],[Spiel]],0)=0,AF151+1,Tabelle12[[#This Row],[Spiel]])</f>
        <v>150</v>
      </c>
      <c r="AG152" s="29">
        <f>INDEX(Tabelle11[#All],Tabelle10[[#This Row],[Spalte1]]+14,Ranking!$AG$2)</f>
        <v>87.662470960780851</v>
      </c>
      <c r="AH152" s="29">
        <f>INDEX(Tabelle11[#All],Tabelle10[[#This Row],[Spalte1]]+14,$AH$2)</f>
        <v>90.543035157452209</v>
      </c>
      <c r="AI152" s="29">
        <f>INDEX(Tabelle11[#All],Tabelle10[[#This Row],[Spalte1]]+14,$AI$2)</f>
        <v>113.79738422969976</v>
      </c>
      <c r="AJ152" s="29">
        <f>INDEX(Tabelle11[#All],Tabelle10[[#This Row],[Spalte1]]+14,Ranking!$AJ$2)</f>
        <v>93.775343307918618</v>
      </c>
    </row>
    <row r="153" spans="32:36" x14ac:dyDescent="0.25">
      <c r="AF153" s="29">
        <f>IF(IFERROR(Tabelle12[[#This Row],[Spiel]],0)=0,AF152+1,Tabelle12[[#This Row],[Spiel]])</f>
        <v>151</v>
      </c>
      <c r="AG153" s="29">
        <f>INDEX(Tabelle11[#All],Tabelle10[[#This Row],[Spalte1]]+14,Ranking!$AG$2)</f>
        <v>87.662470960780851</v>
      </c>
      <c r="AH153" s="29">
        <f>INDEX(Tabelle11[#All],Tabelle10[[#This Row],[Spalte1]]+14,$AH$2)</f>
        <v>90.543035157452209</v>
      </c>
      <c r="AI153" s="29">
        <f>INDEX(Tabelle11[#All],Tabelle10[[#This Row],[Spalte1]]+14,$AI$2)</f>
        <v>113.79738422969976</v>
      </c>
      <c r="AJ153" s="29">
        <f>INDEX(Tabelle11[#All],Tabelle10[[#This Row],[Spalte1]]+14,Ranking!$AJ$2)</f>
        <v>93.775343307918618</v>
      </c>
    </row>
    <row r="154" spans="32:36" x14ac:dyDescent="0.25">
      <c r="AF154" s="29">
        <f>IF(IFERROR(Tabelle12[[#This Row],[Spiel]],0)=0,AF153+1,Tabelle12[[#This Row],[Spiel]])</f>
        <v>152</v>
      </c>
      <c r="AG154" s="29">
        <f>INDEX(Tabelle11[#All],Tabelle10[[#This Row],[Spalte1]]+14,Ranking!$AG$2)</f>
        <v>88.885368379364024</v>
      </c>
      <c r="AH154" s="29">
        <f>INDEX(Tabelle11[#All],Tabelle10[[#This Row],[Spalte1]]+14,$AH$2)</f>
        <v>90.543035157452209</v>
      </c>
      <c r="AI154" s="29">
        <f>INDEX(Tabelle11[#All],Tabelle10[[#This Row],[Spalte1]]+14,$AI$2)</f>
        <v>112.62294255947666</v>
      </c>
      <c r="AJ154" s="29">
        <f>INDEX(Tabelle11[#All],Tabelle10[[#This Row],[Spalte1]]+14,Ranking!$AJ$2)</f>
        <v>93.775343307918618</v>
      </c>
    </row>
    <row r="155" spans="32:36" x14ac:dyDescent="0.25">
      <c r="AF155" s="29">
        <f>IF(IFERROR(Tabelle12[[#This Row],[Spiel]],0)=0,AF154+1,Tabelle12[[#This Row],[Spiel]])</f>
        <v>153</v>
      </c>
      <c r="AG155" s="29">
        <f>INDEX(Tabelle11[#All],Tabelle10[[#This Row],[Spalte1]]+14,Ranking!$AG$2)</f>
        <v>90.329910721770588</v>
      </c>
      <c r="AH155" s="29">
        <f>INDEX(Tabelle11[#All],Tabelle10[[#This Row],[Spalte1]]+14,$AH$2)</f>
        <v>90.543035157452209</v>
      </c>
      <c r="AI155" s="29">
        <f>INDEX(Tabelle11[#All],Tabelle10[[#This Row],[Spalte1]]+14,$AI$2)</f>
        <v>111.23294693469907</v>
      </c>
      <c r="AJ155" s="29">
        <f>INDEX(Tabelle11[#All],Tabelle10[[#This Row],[Spalte1]]+14,Ranking!$AJ$2)</f>
        <v>93.775343307918618</v>
      </c>
    </row>
    <row r="156" spans="32:36" x14ac:dyDescent="0.25">
      <c r="AF156" s="29">
        <f>IF(IFERROR(Tabelle12[[#This Row],[Spiel]],0)=0,AF155+1,Tabelle12[[#This Row],[Spiel]])</f>
        <v>154</v>
      </c>
      <c r="AG156" s="29">
        <f>INDEX(Tabelle11[#All],Tabelle10[[#This Row],[Spalte1]]+14,Ranking!$AG$2)</f>
        <v>90.281272697397114</v>
      </c>
      <c r="AH156" s="29">
        <f>INDEX(Tabelle11[#All],Tabelle10[[#This Row],[Spalte1]]+14,$AH$2)</f>
        <v>90.543035157452209</v>
      </c>
      <c r="AI156" s="29">
        <f>INDEX(Tabelle11[#All],Tabelle10[[#This Row],[Spalte1]]+14,$AI$2)</f>
        <v>111.23294693469907</v>
      </c>
      <c r="AJ156" s="29">
        <f>INDEX(Tabelle11[#All],Tabelle10[[#This Row],[Spalte1]]+14,Ranking!$AJ$2)</f>
        <v>93.775343307918618</v>
      </c>
    </row>
    <row r="157" spans="32:36" x14ac:dyDescent="0.25">
      <c r="AF157" s="29">
        <f>IF(IFERROR(Tabelle12[[#This Row],[Spiel]],0)=0,AF156+1,Tabelle12[[#This Row],[Spiel]])</f>
        <v>155</v>
      </c>
      <c r="AG157" s="29">
        <f>INDEX(Tabelle11[#All],Tabelle10[[#This Row],[Spalte1]]+14,Ranking!$AG$2)</f>
        <v>90.401037594332138</v>
      </c>
      <c r="AH157" s="29">
        <f>INDEX(Tabelle11[#All],Tabelle10[[#This Row],[Spalte1]]+14,$AH$2)</f>
        <v>90.543035157452209</v>
      </c>
      <c r="AI157" s="29">
        <f>INDEX(Tabelle11[#All],Tabelle10[[#This Row],[Spalte1]]+14,$AI$2)</f>
        <v>111.23294693469907</v>
      </c>
      <c r="AJ157" s="29">
        <f>INDEX(Tabelle11[#All],Tabelle10[[#This Row],[Spalte1]]+14,Ranking!$AJ$2)</f>
        <v>93.775343307918618</v>
      </c>
    </row>
    <row r="158" spans="32:36" x14ac:dyDescent="0.25">
      <c r="AF158" s="29">
        <f>IF(IFERROR(Tabelle12[[#This Row],[Spiel]],0)=0,AF157+1,Tabelle12[[#This Row],[Spiel]])</f>
        <v>156</v>
      </c>
      <c r="AG158" s="29">
        <f>INDEX(Tabelle11[#All],Tabelle10[[#This Row],[Spalte1]]+14,Ranking!$AG$2)</f>
        <v>90.401037594332138</v>
      </c>
      <c r="AH158" s="29">
        <f>INDEX(Tabelle11[#All],Tabelle10[[#This Row],[Spalte1]]+14,$AH$2)</f>
        <v>90.373388069526399</v>
      </c>
      <c r="AI158" s="29">
        <f>INDEX(Tabelle11[#All],Tabelle10[[#This Row],[Spalte1]]+14,$AI$2)</f>
        <v>111.02453393533293</v>
      </c>
      <c r="AJ158" s="29">
        <f>INDEX(Tabelle11[#All],Tabelle10[[#This Row],[Spalte1]]+14,Ranking!$AJ$2)</f>
        <v>93.966745188693196</v>
      </c>
    </row>
    <row r="159" spans="32:36" x14ac:dyDescent="0.25">
      <c r="AF159" s="29">
        <f>IF(IFERROR(Tabelle12[[#This Row],[Spiel]],0)=0,AF158+1,Tabelle12[[#This Row],[Spiel]])</f>
        <v>157</v>
      </c>
      <c r="AG159" s="29">
        <f>INDEX(Tabelle11[#All],Tabelle10[[#This Row],[Spalte1]]+14,Ranking!$AG$2)</f>
        <v>90.401037594332138</v>
      </c>
      <c r="AH159" s="29">
        <f>INDEX(Tabelle11[#All],Tabelle10[[#This Row],[Spalte1]]+14,$AH$2)</f>
        <v>91.404645247339246</v>
      </c>
      <c r="AI159" s="29">
        <f>INDEX(Tabelle11[#All],Tabelle10[[#This Row],[Spalte1]]+14,$AI$2)</f>
        <v>111.86397186699089</v>
      </c>
      <c r="AJ159" s="29">
        <f>INDEX(Tabelle11[#All],Tabelle10[[#This Row],[Spalte1]]+14,Ranking!$AJ$2)</f>
        <v>93.043087193034467</v>
      </c>
    </row>
    <row r="160" spans="32:36" x14ac:dyDescent="0.25">
      <c r="AF160" s="29">
        <f>IF(IFERROR(Tabelle12[[#This Row],[Spiel]],0)=0,AF159+1,Tabelle12[[#This Row],[Spiel]])</f>
        <v>158</v>
      </c>
      <c r="AG160" s="29">
        <f>INDEX(Tabelle11[#All],Tabelle10[[#This Row],[Spalte1]]+14,Ranking!$AG$2)</f>
        <v>90.401037594332138</v>
      </c>
      <c r="AH160" s="29">
        <f>INDEX(Tabelle11[#All],Tabelle10[[#This Row],[Spalte1]]+14,$AH$2)</f>
        <v>91.404645247339246</v>
      </c>
      <c r="AI160" s="29">
        <f>INDEX(Tabelle11[#All],Tabelle10[[#This Row],[Spalte1]]+14,$AI$2)</f>
        <v>111.86397186699089</v>
      </c>
      <c r="AJ160" s="29">
        <f>INDEX(Tabelle11[#All],Tabelle10[[#This Row],[Spalte1]]+14,Ranking!$AJ$2)</f>
        <v>93.043087193034467</v>
      </c>
    </row>
    <row r="161" spans="32:36" x14ac:dyDescent="0.25">
      <c r="AF161" s="29">
        <f>IF(IFERROR(Tabelle12[[#This Row],[Spiel]],0)=0,AF160+1,Tabelle12[[#This Row],[Spiel]])</f>
        <v>159</v>
      </c>
      <c r="AG161" s="29">
        <f>INDEX(Tabelle11[#All],Tabelle10[[#This Row],[Spalte1]]+14,Ranking!$AG$2)</f>
        <v>90.401037594332138</v>
      </c>
      <c r="AH161" s="29">
        <f>INDEX(Tabelle11[#All],Tabelle10[[#This Row],[Spalte1]]+14,$AH$2)</f>
        <v>91.404645247339246</v>
      </c>
      <c r="AI161" s="29">
        <f>INDEX(Tabelle11[#All],Tabelle10[[#This Row],[Spalte1]]+14,$AI$2)</f>
        <v>111.86397186699089</v>
      </c>
      <c r="AJ161" s="29">
        <f>INDEX(Tabelle11[#All],Tabelle10[[#This Row],[Spalte1]]+14,Ranking!$AJ$2)</f>
        <v>93.043087193034467</v>
      </c>
    </row>
    <row r="162" spans="32:36" x14ac:dyDescent="0.25">
      <c r="AF162" s="29">
        <f>IF(IFERROR(Tabelle12[[#This Row],[Spiel]],0)=0,AF161+1,Tabelle12[[#This Row],[Spiel]])</f>
        <v>160</v>
      </c>
      <c r="AG162" s="29">
        <f>INDEX(Tabelle11[#All],Tabelle10[[#This Row],[Spalte1]]+14,Ranking!$AG$2)</f>
        <v>90.401037594332138</v>
      </c>
      <c r="AH162" s="29">
        <f>INDEX(Tabelle11[#All],Tabelle10[[#This Row],[Spalte1]]+14,$AH$2)</f>
        <v>91.404645247339246</v>
      </c>
      <c r="AI162" s="29">
        <f>INDEX(Tabelle11[#All],Tabelle10[[#This Row],[Spalte1]]+14,$AI$2)</f>
        <v>111.58694376488107</v>
      </c>
      <c r="AJ162" s="29">
        <f>INDEX(Tabelle11[#All],Tabelle10[[#This Row],[Spalte1]]+14,Ranking!$AJ$2)</f>
        <v>93.319814333059526</v>
      </c>
    </row>
    <row r="163" spans="32:36" x14ac:dyDescent="0.25">
      <c r="AF163" s="29">
        <f>IF(IFERROR(Tabelle12[[#This Row],[Spiel]],0)=0,AF162+1,Tabelle12[[#This Row],[Spiel]])</f>
        <v>161</v>
      </c>
      <c r="AG163" s="29">
        <f>INDEX(Tabelle11[#All],Tabelle10[[#This Row],[Spalte1]]+14,Ranking!$AG$2)</f>
        <v>90.401037594332138</v>
      </c>
      <c r="AH163" s="29">
        <f>INDEX(Tabelle11[#All],Tabelle10[[#This Row],[Spalte1]]+14,$AH$2)</f>
        <v>91.404645247339246</v>
      </c>
      <c r="AI163" s="29">
        <f>INDEX(Tabelle11[#All],Tabelle10[[#This Row],[Spalte1]]+14,$AI$2)</f>
        <v>111.97365309169301</v>
      </c>
      <c r="AJ163" s="29">
        <f>INDEX(Tabelle11[#All],Tabelle10[[#This Row],[Spalte1]]+14,Ranking!$AJ$2)</f>
        <v>92.932502579021659</v>
      </c>
    </row>
    <row r="164" spans="32:36" x14ac:dyDescent="0.25">
      <c r="AF164" s="29">
        <f>IF(IFERROR(Tabelle12[[#This Row],[Spiel]],0)=0,AF163+1,Tabelle12[[#This Row],[Spiel]])</f>
        <v>162</v>
      </c>
      <c r="AG164" s="29">
        <f>INDEX(Tabelle11[#All],Tabelle10[[#This Row],[Spalte1]]+14,Ranking!$AG$2)</f>
        <v>90.401037594332138</v>
      </c>
      <c r="AH164" s="29">
        <f>INDEX(Tabelle11[#All],Tabelle10[[#This Row],[Spalte1]]+14,$AH$2)</f>
        <v>91.404645247339246</v>
      </c>
      <c r="AI164" s="29">
        <f>INDEX(Tabelle11[#All],Tabelle10[[#This Row],[Spalte1]]+14,$AI$2)</f>
        <v>111.97365309169301</v>
      </c>
      <c r="AJ164" s="29">
        <f>INDEX(Tabelle11[#All],Tabelle10[[#This Row],[Spalte1]]+14,Ranking!$AJ$2)</f>
        <v>92.775887633136506</v>
      </c>
    </row>
    <row r="165" spans="32:36" x14ac:dyDescent="0.25">
      <c r="AF165" s="29">
        <f>IF(IFERROR(Tabelle12[[#This Row],[Spiel]],0)=0,AF164+1,Tabelle12[[#This Row],[Spiel]])</f>
        <v>163</v>
      </c>
      <c r="AG165" s="29">
        <f>INDEX(Tabelle11[#All],Tabelle10[[#This Row],[Spalte1]]+14,Ranking!$AG$2)</f>
        <v>90.401037594332138</v>
      </c>
      <c r="AH165" s="29">
        <f>INDEX(Tabelle11[#All],Tabelle10[[#This Row],[Spalte1]]+14,$AH$2)</f>
        <v>91.404645247339246</v>
      </c>
      <c r="AI165" s="29">
        <f>INDEX(Tabelle11[#All],Tabelle10[[#This Row],[Spalte1]]+14,$AI$2)</f>
        <v>111.97365309169301</v>
      </c>
      <c r="AJ165" s="29">
        <f>INDEX(Tabelle11[#All],Tabelle10[[#This Row],[Spalte1]]+14,Ranking!$AJ$2)</f>
        <v>92.33212835037989</v>
      </c>
    </row>
    <row r="166" spans="32:36" x14ac:dyDescent="0.25">
      <c r="AF166" s="29">
        <f>IF(IFERROR(Tabelle12[[#This Row],[Spiel]],0)=0,AF165+1,Tabelle12[[#This Row],[Spiel]])</f>
        <v>164</v>
      </c>
      <c r="AG166" s="29">
        <f>INDEX(Tabelle11[#All],Tabelle10[[#This Row],[Spalte1]]+14,Ranking!$AG$2)</f>
        <v>90.401037594332138</v>
      </c>
      <c r="AH166" s="29">
        <f>INDEX(Tabelle11[#All],Tabelle10[[#This Row],[Spalte1]]+14,$AH$2)</f>
        <v>91.404645247339246</v>
      </c>
      <c r="AI166" s="29">
        <f>INDEX(Tabelle11[#All],Tabelle10[[#This Row],[Spalte1]]+14,$AI$2)</f>
        <v>112.69675855150234</v>
      </c>
      <c r="AJ166" s="29">
        <f>INDEX(Tabelle11[#All],Tabelle10[[#This Row],[Spalte1]]+14,Ranking!$AJ$2)</f>
        <v>93.209057771936614</v>
      </c>
    </row>
    <row r="167" spans="32:36" x14ac:dyDescent="0.25">
      <c r="AF167" s="29">
        <f>IF(IFERROR(Tabelle12[[#This Row],[Spiel]],0)=0,AF166+1,Tabelle12[[#This Row],[Spiel]])</f>
        <v>165</v>
      </c>
      <c r="AG167" s="29">
        <f>INDEX(Tabelle11[#All],Tabelle10[[#This Row],[Spalte1]]+14,Ranking!$AG$2)</f>
        <v>90.401037594332138</v>
      </c>
      <c r="AH167" s="29">
        <f>INDEX(Tabelle11[#All],Tabelle10[[#This Row],[Spalte1]]+14,$AH$2)</f>
        <v>91.404645247339246</v>
      </c>
      <c r="AI167" s="29">
        <f>INDEX(Tabelle11[#All],Tabelle10[[#This Row],[Spalte1]]+14,$AI$2)</f>
        <v>115.46826639223708</v>
      </c>
      <c r="AJ167" s="29">
        <f>INDEX(Tabelle11[#All],Tabelle10[[#This Row],[Spalte1]]+14,Ranking!$AJ$2)</f>
        <v>96.560019120726452</v>
      </c>
    </row>
    <row r="168" spans="32:36" x14ac:dyDescent="0.25">
      <c r="AF168" s="29">
        <f>IF(IFERROR(Tabelle12[[#This Row],[Spiel]],0)=0,AF167+1,Tabelle12[[#This Row],[Spiel]])</f>
        <v>166</v>
      </c>
      <c r="AG168" s="29">
        <f>INDEX(Tabelle11[#All],Tabelle10[[#This Row],[Spalte1]]+14,Ranking!$AG$2)</f>
        <v>90.401037594332138</v>
      </c>
      <c r="AH168" s="29">
        <f>INDEX(Tabelle11[#All],Tabelle10[[#This Row],[Spalte1]]+14,$AH$2)</f>
        <v>91.36654900136385</v>
      </c>
      <c r="AI168" s="29">
        <f>INDEX(Tabelle11[#All],Tabelle10[[#This Row],[Spalte1]]+14,$AI$2)</f>
        <v>115.46826639223708</v>
      </c>
      <c r="AJ168" s="29">
        <f>INDEX(Tabelle11[#All],Tabelle10[[#This Row],[Spalte1]]+14,Ranking!$AJ$2)</f>
        <v>96.560019120726452</v>
      </c>
    </row>
    <row r="169" spans="32:36" x14ac:dyDescent="0.25">
      <c r="AF169" s="29">
        <f>IF(IFERROR(Tabelle12[[#This Row],[Spiel]],0)=0,AF168+1,Tabelle12[[#This Row],[Spiel]])</f>
        <v>167</v>
      </c>
      <c r="AG169" s="29">
        <f>INDEX(Tabelle11[#All],Tabelle10[[#This Row],[Spalte1]]+14,Ranking!$AG$2)</f>
        <v>90.401037594332138</v>
      </c>
      <c r="AH169" s="29">
        <f>INDEX(Tabelle11[#All],Tabelle10[[#This Row],[Spalte1]]+14,$AH$2)</f>
        <v>92.492038502898922</v>
      </c>
      <c r="AI169" s="29">
        <f>INDEX(Tabelle11[#All],Tabelle10[[#This Row],[Spalte1]]+14,$AI$2)</f>
        <v>115.46826639223708</v>
      </c>
      <c r="AJ169" s="29">
        <f>INDEX(Tabelle11[#All],Tabelle10[[#This Row],[Spalte1]]+14,Ranking!$AJ$2)</f>
        <v>96.560019120726452</v>
      </c>
    </row>
    <row r="170" spans="32:36" x14ac:dyDescent="0.25">
      <c r="AF170" s="29">
        <f>IF(IFERROR(Tabelle12[[#This Row],[Spiel]],0)=0,AF169+1,Tabelle12[[#This Row],[Spiel]])</f>
        <v>168</v>
      </c>
      <c r="AG170" s="29">
        <f>INDEX(Tabelle11[#All],Tabelle10[[#This Row],[Spalte1]]+14,Ranking!$AG$2)</f>
        <v>90.401037594332138</v>
      </c>
      <c r="AH170" s="29">
        <f>INDEX(Tabelle11[#All],Tabelle10[[#This Row],[Spalte1]]+14,$AH$2)</f>
        <v>92.492038502898922</v>
      </c>
      <c r="AI170" s="29">
        <f>INDEX(Tabelle11[#All],Tabelle10[[#This Row],[Spalte1]]+14,$AI$2)</f>
        <v>115.46826639223708</v>
      </c>
      <c r="AJ170" s="29">
        <f>INDEX(Tabelle11[#All],Tabelle10[[#This Row],[Spalte1]]+14,Ranking!$AJ$2)</f>
        <v>96.560019120726452</v>
      </c>
    </row>
    <row r="171" spans="32:36" x14ac:dyDescent="0.25">
      <c r="AF171" s="29">
        <f>IF(IFERROR(Tabelle12[[#This Row],[Spiel]],0)=0,AF170+1,Tabelle12[[#This Row],[Spiel]])</f>
        <v>169</v>
      </c>
      <c r="AG171" s="29">
        <f>INDEX(Tabelle11[#All],Tabelle10[[#This Row],[Spalte1]]+14,Ranking!$AG$2)</f>
        <v>90.401037594332138</v>
      </c>
      <c r="AH171" s="29">
        <f>INDEX(Tabelle11[#All],Tabelle10[[#This Row],[Spalte1]]+14,$AH$2)</f>
        <v>92.492038502898922</v>
      </c>
      <c r="AI171" s="29">
        <f>INDEX(Tabelle11[#All],Tabelle10[[#This Row],[Spalte1]]+14,$AI$2)</f>
        <v>115.46826639223708</v>
      </c>
      <c r="AJ171" s="29">
        <f>INDEX(Tabelle11[#All],Tabelle10[[#This Row],[Spalte1]]+14,Ranking!$AJ$2)</f>
        <v>96.560019120726452</v>
      </c>
    </row>
    <row r="172" spans="32:36" x14ac:dyDescent="0.25">
      <c r="AF172" s="29">
        <f>IF(IFERROR(Tabelle12[[#This Row],[Spiel]],0)=0,AF171+1,Tabelle12[[#This Row],[Spiel]])</f>
        <v>170</v>
      </c>
      <c r="AG172" s="29">
        <f>INDEX(Tabelle11[#All],Tabelle10[[#This Row],[Spalte1]]+14,Ranking!$AG$2)</f>
        <v>90.401037594332138</v>
      </c>
      <c r="AH172" s="29">
        <f>INDEX(Tabelle11[#All],Tabelle10[[#This Row],[Spalte1]]+14,$AH$2)</f>
        <v>92.492038502898922</v>
      </c>
      <c r="AI172" s="29">
        <f>INDEX(Tabelle11[#All],Tabelle10[[#This Row],[Spalte1]]+14,$AI$2)</f>
        <v>115.46826639223708</v>
      </c>
      <c r="AJ172" s="29">
        <f>INDEX(Tabelle11[#All],Tabelle10[[#This Row],[Spalte1]]+14,Ranking!$AJ$2)</f>
        <v>96.560019120726452</v>
      </c>
    </row>
    <row r="173" spans="32:36" x14ac:dyDescent="0.25">
      <c r="AF173" s="29">
        <f>IF(IFERROR(Tabelle12[[#This Row],[Spiel]],0)=0,AF172+1,Tabelle12[[#This Row],[Spiel]])</f>
        <v>171</v>
      </c>
      <c r="AG173" s="29">
        <f>INDEX(Tabelle11[#All],Tabelle10[[#This Row],[Spalte1]]+14,Ranking!$AG$2)</f>
        <v>90.401037594332138</v>
      </c>
      <c r="AH173" s="29">
        <f>INDEX(Tabelle11[#All],Tabelle10[[#This Row],[Spalte1]]+14,$AH$2)</f>
        <v>92.492038502898922</v>
      </c>
      <c r="AI173" s="29">
        <f>INDEX(Tabelle11[#All],Tabelle10[[#This Row],[Spalte1]]+14,$AI$2)</f>
        <v>115.46826639223708</v>
      </c>
      <c r="AJ173" s="29">
        <f>INDEX(Tabelle11[#All],Tabelle10[[#This Row],[Spalte1]]+14,Ranking!$AJ$2)</f>
        <v>96.560019120726452</v>
      </c>
    </row>
    <row r="174" spans="32:36" x14ac:dyDescent="0.25">
      <c r="AF174" s="29">
        <f>IF(IFERROR(Tabelle12[[#This Row],[Spiel]],0)=0,AF173+1,Tabelle12[[#This Row],[Spiel]])</f>
        <v>172</v>
      </c>
      <c r="AG174" s="29">
        <f>INDEX(Tabelle11[#All],Tabelle10[[#This Row],[Spalte1]]+14,Ranking!$AG$2)</f>
        <v>90.401037594332138</v>
      </c>
      <c r="AH174" s="29">
        <f>INDEX(Tabelle11[#All],Tabelle10[[#This Row],[Spalte1]]+14,$AH$2)</f>
        <v>92.492038502898922</v>
      </c>
      <c r="AI174" s="29">
        <f>INDEX(Tabelle11[#All],Tabelle10[[#This Row],[Spalte1]]+14,$AI$2)</f>
        <v>115.46826639223708</v>
      </c>
      <c r="AJ174" s="29">
        <f>INDEX(Tabelle11[#All],Tabelle10[[#This Row],[Spalte1]]+14,Ranking!$AJ$2)</f>
        <v>96.331235389289319</v>
      </c>
    </row>
    <row r="175" spans="32:36" x14ac:dyDescent="0.25">
      <c r="AF175" s="29">
        <f>IF(IFERROR(Tabelle12[[#This Row],[Spiel]],0)=0,AF174+1,Tabelle12[[#This Row],[Spiel]])</f>
        <v>173</v>
      </c>
      <c r="AG175" s="29">
        <f>INDEX(Tabelle11[#All],Tabelle10[[#This Row],[Spalte1]]+14,Ranking!$AG$2)</f>
        <v>90.401037594332138</v>
      </c>
      <c r="AH175" s="29">
        <f>INDEX(Tabelle11[#All],Tabelle10[[#This Row],[Spalte1]]+14,$AH$2)</f>
        <v>93.0017970348663</v>
      </c>
      <c r="AI175" s="29">
        <f>INDEX(Tabelle11[#All],Tabelle10[[#This Row],[Spalte1]]+14,$AI$2)</f>
        <v>115.46826639223708</v>
      </c>
      <c r="AJ175" s="29">
        <f>INDEX(Tabelle11[#All],Tabelle10[[#This Row],[Spalte1]]+14,Ranking!$AJ$2)</f>
        <v>96.820677942116262</v>
      </c>
    </row>
    <row r="176" spans="32:36" x14ac:dyDescent="0.25">
      <c r="AF176" s="29">
        <f>IF(IFERROR(Tabelle12[[#This Row],[Spiel]],0)=0,AF175+1,Tabelle12[[#This Row],[Spiel]])</f>
        <v>174</v>
      </c>
      <c r="AG176" s="29">
        <f>INDEX(Tabelle11[#All],Tabelle10[[#This Row],[Spalte1]]+14,Ranking!$AG$2)</f>
        <v>90.401037594332138</v>
      </c>
      <c r="AH176" s="29">
        <f>INDEX(Tabelle11[#All],Tabelle10[[#This Row],[Spalte1]]+14,$AH$2)</f>
        <v>92.37963946355147</v>
      </c>
      <c r="AI176" s="29">
        <f>INDEX(Tabelle11[#All],Tabelle10[[#This Row],[Spalte1]]+14,$AI$2)</f>
        <v>115.46826639223708</v>
      </c>
      <c r="AJ176" s="29">
        <f>INDEX(Tabelle11[#All],Tabelle10[[#This Row],[Spalte1]]+14,Ranking!$AJ$2)</f>
        <v>96.172973061543473</v>
      </c>
    </row>
    <row r="177" spans="32:36" x14ac:dyDescent="0.25">
      <c r="AF177" s="29">
        <f>IF(IFERROR(Tabelle12[[#This Row],[Spiel]],0)=0,AF176+1,Tabelle12[[#This Row],[Spiel]])</f>
        <v>175</v>
      </c>
      <c r="AG177" s="29">
        <f>INDEX(Tabelle11[#All],Tabelle10[[#This Row],[Spalte1]]+14,Ranking!$AG$2)</f>
        <v>90.401037594332138</v>
      </c>
      <c r="AH177" s="29">
        <f>INDEX(Tabelle11[#All],Tabelle10[[#This Row],[Spalte1]]+14,$AH$2)</f>
        <v>92.37963946355147</v>
      </c>
      <c r="AI177" s="29">
        <f>INDEX(Tabelle11[#All],Tabelle10[[#This Row],[Spalte1]]+14,$AI$2)</f>
        <v>115.46826639223708</v>
      </c>
      <c r="AJ177" s="29">
        <f>INDEX(Tabelle11[#All],Tabelle10[[#This Row],[Spalte1]]+14,Ranking!$AJ$2)</f>
        <v>96.172973061543473</v>
      </c>
    </row>
    <row r="178" spans="32:36" x14ac:dyDescent="0.25">
      <c r="AF178" s="29">
        <f>IF(IFERROR(Tabelle12[[#This Row],[Spiel]],0)=0,AF177+1,Tabelle12[[#This Row],[Spiel]])</f>
        <v>176</v>
      </c>
      <c r="AG178" s="29">
        <f>INDEX(Tabelle11[#All],Tabelle10[[#This Row],[Spalte1]]+14,Ranking!$AG$2)</f>
        <v>90.401037594332138</v>
      </c>
      <c r="AH178" s="29">
        <f>INDEX(Tabelle11[#All],Tabelle10[[#This Row],[Spalte1]]+14,$AH$2)</f>
        <v>92.37963946355147</v>
      </c>
      <c r="AI178" s="29">
        <f>INDEX(Tabelle11[#All],Tabelle10[[#This Row],[Spalte1]]+14,$AI$2)</f>
        <v>115.46826639223708</v>
      </c>
      <c r="AJ178" s="29">
        <f>INDEX(Tabelle11[#All],Tabelle10[[#This Row],[Spalte1]]+14,Ranking!$AJ$2)</f>
        <v>96.172973061543473</v>
      </c>
    </row>
    <row r="179" spans="32:36" x14ac:dyDescent="0.25">
      <c r="AF179" s="29">
        <f>IF(IFERROR(Tabelle12[[#This Row],[Spiel]],0)=0,AF178+1,Tabelle12[[#This Row],[Spiel]])</f>
        <v>177</v>
      </c>
      <c r="AG179" s="29">
        <f>INDEX(Tabelle11[#All],Tabelle10[[#This Row],[Spalte1]]+14,Ranking!$AG$2)</f>
        <v>91.739150003765786</v>
      </c>
      <c r="AH179" s="29">
        <f>INDEX(Tabelle11[#All],Tabelle10[[#This Row],[Spalte1]]+14,$AH$2)</f>
        <v>92.37963946355147</v>
      </c>
      <c r="AI179" s="29">
        <f>INDEX(Tabelle11[#All],Tabelle10[[#This Row],[Spalte1]]+14,$AI$2)</f>
        <v>115.46826639223708</v>
      </c>
      <c r="AJ179" s="29">
        <f>INDEX(Tabelle11[#All],Tabelle10[[#This Row],[Spalte1]]+14,Ranking!$AJ$2)</f>
        <v>96.172973061543473</v>
      </c>
    </row>
    <row r="180" spans="32:36" x14ac:dyDescent="0.25">
      <c r="AF180" s="29">
        <f>IF(IFERROR(Tabelle12[[#This Row],[Spiel]],0)=0,AF179+1,Tabelle12[[#This Row],[Spiel]])</f>
        <v>178</v>
      </c>
      <c r="AG180" s="29">
        <f>INDEX(Tabelle11[#All],Tabelle10[[#This Row],[Spalte1]]+14,Ranking!$AG$2)</f>
        <v>91.623000485584186</v>
      </c>
      <c r="AH180" s="29">
        <f>INDEX(Tabelle11[#All],Tabelle10[[#This Row],[Spalte1]]+14,$AH$2)</f>
        <v>92.37963946355147</v>
      </c>
      <c r="AI180" s="29">
        <f>INDEX(Tabelle11[#All],Tabelle10[[#This Row],[Spalte1]]+14,$AI$2)</f>
        <v>115.46826639223708</v>
      </c>
      <c r="AJ180" s="29">
        <f>INDEX(Tabelle11[#All],Tabelle10[[#This Row],[Spalte1]]+14,Ranking!$AJ$2)</f>
        <v>96.172973061543473</v>
      </c>
    </row>
    <row r="181" spans="32:36" x14ac:dyDescent="0.25">
      <c r="AF181" s="29">
        <f>IF(IFERROR(Tabelle12[[#This Row],[Spiel]],0)=0,AF180+1,Tabelle12[[#This Row],[Spiel]])</f>
        <v>179</v>
      </c>
      <c r="AG181" s="29">
        <f>INDEX(Tabelle11[#All],Tabelle10[[#This Row],[Spalte1]]+14,Ranking!$AG$2)</f>
        <v>91.623000485584186</v>
      </c>
      <c r="AH181" s="29">
        <f>INDEX(Tabelle11[#All],Tabelle10[[#This Row],[Spalte1]]+14,$AH$2)</f>
        <v>92.37963946355147</v>
      </c>
      <c r="AI181" s="29">
        <f>INDEX(Tabelle11[#All],Tabelle10[[#This Row],[Spalte1]]+14,$AI$2)</f>
        <v>115.46826639223708</v>
      </c>
      <c r="AJ181" s="29">
        <f>INDEX(Tabelle11[#All],Tabelle10[[#This Row],[Spalte1]]+14,Ranking!$AJ$2)</f>
        <v>96.172973061543473</v>
      </c>
    </row>
    <row r="182" spans="32:36" x14ac:dyDescent="0.25">
      <c r="AF182" s="29">
        <f>IF(IFERROR(Tabelle12[[#This Row],[Spiel]],0)=0,AF181+1,Tabelle12[[#This Row],[Spiel]])</f>
        <v>180</v>
      </c>
      <c r="AG182" s="29">
        <f>INDEX(Tabelle11[#All],Tabelle10[[#This Row],[Spalte1]]+14,Ranking!$AG$2)</f>
        <v>91.623000485584186</v>
      </c>
      <c r="AH182" s="29">
        <f>INDEX(Tabelle11[#All],Tabelle10[[#This Row],[Spalte1]]+14,$AH$2)</f>
        <v>92.37963946355147</v>
      </c>
      <c r="AI182" s="29">
        <f>INDEX(Tabelle11[#All],Tabelle10[[#This Row],[Spalte1]]+14,$AI$2)</f>
        <v>115.46826639223708</v>
      </c>
      <c r="AJ182" s="29">
        <f>INDEX(Tabelle11[#All],Tabelle10[[#This Row],[Spalte1]]+14,Ranking!$AJ$2)</f>
        <v>96.172973061543473</v>
      </c>
    </row>
    <row r="183" spans="32:36" x14ac:dyDescent="0.25">
      <c r="AF183" s="29">
        <f>IF(IFERROR(Tabelle12[[#This Row],[Spiel]],0)=0,AF182+1,Tabelle12[[#This Row],[Spiel]])</f>
        <v>181</v>
      </c>
      <c r="AG183" s="29">
        <f>INDEX(Tabelle11[#All],Tabelle10[[#This Row],[Spalte1]]+14,Ranking!$AG$2)</f>
        <v>91.623000485584186</v>
      </c>
      <c r="AH183" s="29">
        <f>INDEX(Tabelle11[#All],Tabelle10[[#This Row],[Spalte1]]+14,$AH$2)</f>
        <v>92.860798172289265</v>
      </c>
      <c r="AI183" s="29">
        <f>INDEX(Tabelle11[#All],Tabelle10[[#This Row],[Spalte1]]+14,$AI$2)</f>
        <v>115.46826639223708</v>
      </c>
      <c r="AJ183" s="29">
        <f>INDEX(Tabelle11[#All],Tabelle10[[#This Row],[Spalte1]]+14,Ranking!$AJ$2)</f>
        <v>95.746837280263904</v>
      </c>
    </row>
    <row r="184" spans="32:36" x14ac:dyDescent="0.25">
      <c r="AF184" s="29">
        <f>IF(IFERROR(Tabelle12[[#This Row],[Spiel]],0)=0,AF183+1,Tabelle12[[#This Row],[Spiel]])</f>
        <v>182</v>
      </c>
      <c r="AG184" s="29">
        <f>INDEX(Tabelle11[#All],Tabelle10[[#This Row],[Spalte1]]+14,Ranking!$AG$2)</f>
        <v>91.623000485584186</v>
      </c>
      <c r="AH184" s="29">
        <f>INDEX(Tabelle11[#All],Tabelle10[[#This Row],[Spalte1]]+14,$AH$2)</f>
        <v>93.231055625235641</v>
      </c>
      <c r="AI184" s="29">
        <f>INDEX(Tabelle11[#All],Tabelle10[[#This Row],[Spalte1]]+14,$AI$2)</f>
        <v>115.46826639223708</v>
      </c>
      <c r="AJ184" s="29">
        <f>INDEX(Tabelle11[#All],Tabelle10[[#This Row],[Spalte1]]+14,Ranking!$AJ$2)</f>
        <v>95.418701778261266</v>
      </c>
    </row>
    <row r="185" spans="32:36" x14ac:dyDescent="0.25">
      <c r="AF185" s="29">
        <f>IF(IFERROR(Tabelle12[[#This Row],[Spiel]],0)=0,AF184+1,Tabelle12[[#This Row],[Spiel]])</f>
        <v>183</v>
      </c>
      <c r="AG185" s="29">
        <f>INDEX(Tabelle11[#All],Tabelle10[[#This Row],[Spalte1]]+14,Ranking!$AG$2)</f>
        <v>90.692639838571509</v>
      </c>
      <c r="AH185" s="29">
        <f>INDEX(Tabelle11[#All],Tabelle10[[#This Row],[Spalte1]]+14,$AH$2)</f>
        <v>93.231055625235641</v>
      </c>
      <c r="AI185" s="29">
        <f>INDEX(Tabelle11[#All],Tabelle10[[#This Row],[Spalte1]]+14,$AI$2)</f>
        <v>115.46826639223708</v>
      </c>
      <c r="AJ185" s="29">
        <f>INDEX(Tabelle11[#All],Tabelle10[[#This Row],[Spalte1]]+14,Ranking!$AJ$2)</f>
        <v>96.38614968970569</v>
      </c>
    </row>
    <row r="186" spans="32:36" x14ac:dyDescent="0.25">
      <c r="AF186" s="29">
        <f>IF(IFERROR(Tabelle12[[#This Row],[Spiel]],0)=0,AF185+1,Tabelle12[[#This Row],[Spiel]])</f>
        <v>184</v>
      </c>
      <c r="AG186" s="29">
        <f>INDEX(Tabelle11[#All],Tabelle10[[#This Row],[Spalte1]]+14,Ranking!$AG$2)</f>
        <v>89.97073964991985</v>
      </c>
      <c r="AH186" s="29">
        <f>INDEX(Tabelle11[#All],Tabelle10[[#This Row],[Spalte1]]+14,$AH$2)</f>
        <v>93.231055625235641</v>
      </c>
      <c r="AI186" s="29">
        <f>INDEX(Tabelle11[#All],Tabelle10[[#This Row],[Spalte1]]+14,$AI$2)</f>
        <v>115.46826639223708</v>
      </c>
      <c r="AJ186" s="29">
        <f>INDEX(Tabelle11[#All],Tabelle10[[#This Row],[Spalte1]]+14,Ranking!$AJ$2)</f>
        <v>97.137225577706403</v>
      </c>
    </row>
    <row r="187" spans="32:36" x14ac:dyDescent="0.25">
      <c r="AF187" s="29">
        <f>IF(IFERROR(Tabelle12[[#This Row],[Spiel]],0)=0,AF186+1,Tabelle12[[#This Row],[Spiel]])</f>
        <v>185</v>
      </c>
      <c r="AG187" s="29">
        <f>INDEX(Tabelle11[#All],Tabelle10[[#This Row],[Spalte1]]+14,Ranking!$AG$2)</f>
        <v>89.97073964991985</v>
      </c>
      <c r="AH187" s="29">
        <f>INDEX(Tabelle11[#All],Tabelle10[[#This Row],[Spalte1]]+14,$AH$2)</f>
        <v>93.231055625235641</v>
      </c>
      <c r="AI187" s="29">
        <f>INDEX(Tabelle11[#All],Tabelle10[[#This Row],[Spalte1]]+14,$AI$2)</f>
        <v>115.46826639223708</v>
      </c>
      <c r="AJ187" s="29">
        <f>INDEX(Tabelle11[#All],Tabelle10[[#This Row],[Spalte1]]+14,Ranking!$AJ$2)</f>
        <v>97.137225577706403</v>
      </c>
    </row>
    <row r="188" spans="32:36" x14ac:dyDescent="0.25">
      <c r="AF188" s="29">
        <f>IF(IFERROR(Tabelle12[[#This Row],[Spiel]],0)=0,AF187+1,Tabelle12[[#This Row],[Spiel]])</f>
        <v>186</v>
      </c>
      <c r="AG188" s="29">
        <f>INDEX(Tabelle11[#All],Tabelle10[[#This Row],[Spalte1]]+14,Ranking!$AG$2)</f>
        <v>89.97073964991985</v>
      </c>
      <c r="AH188" s="29">
        <f>INDEX(Tabelle11[#All],Tabelle10[[#This Row],[Spalte1]]+14,$AH$2)</f>
        <v>93.231055625235641</v>
      </c>
      <c r="AI188" s="29">
        <f>INDEX(Tabelle11[#All],Tabelle10[[#This Row],[Spalte1]]+14,$AI$2)</f>
        <v>115.46826639223708</v>
      </c>
      <c r="AJ188" s="29">
        <f>INDEX(Tabelle11[#All],Tabelle10[[#This Row],[Spalte1]]+14,Ranking!$AJ$2)</f>
        <v>97.137225577706403</v>
      </c>
    </row>
    <row r="189" spans="32:36" x14ac:dyDescent="0.25">
      <c r="AF189" s="29">
        <f>IF(IFERROR(Tabelle12[[#This Row],[Spiel]],0)=0,AF188+1,Tabelle12[[#This Row],[Spiel]])</f>
        <v>187</v>
      </c>
      <c r="AG189" s="29">
        <f>INDEX(Tabelle11[#All],Tabelle10[[#This Row],[Spalte1]]+14,Ranking!$AG$2)</f>
        <v>89.97073964991985</v>
      </c>
      <c r="AH189" s="29">
        <f>INDEX(Tabelle11[#All],Tabelle10[[#This Row],[Spalte1]]+14,$AH$2)</f>
        <v>93.231055625235641</v>
      </c>
      <c r="AI189" s="29">
        <f>INDEX(Tabelle11[#All],Tabelle10[[#This Row],[Spalte1]]+14,$AI$2)</f>
        <v>115.46826639223708</v>
      </c>
      <c r="AJ189" s="29">
        <f>INDEX(Tabelle11[#All],Tabelle10[[#This Row],[Spalte1]]+14,Ranking!$AJ$2)</f>
        <v>97.137225577706403</v>
      </c>
    </row>
    <row r="190" spans="32:36" x14ac:dyDescent="0.25">
      <c r="AF190" s="29">
        <f>IF(IFERROR(Tabelle12[[#This Row],[Spiel]],0)=0,AF189+1,Tabelle12[[#This Row],[Spiel]])</f>
        <v>188</v>
      </c>
      <c r="AG190" s="29">
        <f>INDEX(Tabelle11[#All],Tabelle10[[#This Row],[Spalte1]]+14,Ranking!$AG$2)</f>
        <v>89.97073964991985</v>
      </c>
      <c r="AH190" s="29">
        <f>INDEX(Tabelle11[#All],Tabelle10[[#This Row],[Spalte1]]+14,$AH$2)</f>
        <v>93.231055625235641</v>
      </c>
      <c r="AI190" s="29">
        <f>INDEX(Tabelle11[#All],Tabelle10[[#This Row],[Spalte1]]+14,$AI$2)</f>
        <v>115.46826639223708</v>
      </c>
      <c r="AJ190" s="29">
        <f>INDEX(Tabelle11[#All],Tabelle10[[#This Row],[Spalte1]]+14,Ranking!$AJ$2)</f>
        <v>97.137225577706403</v>
      </c>
    </row>
    <row r="191" spans="32:36" x14ac:dyDescent="0.25">
      <c r="AF191" s="29">
        <f>IF(IFERROR(Tabelle12[[#This Row],[Spiel]],0)=0,AF190+1,Tabelle12[[#This Row],[Spiel]])</f>
        <v>189</v>
      </c>
      <c r="AG191" s="29">
        <f>INDEX(Tabelle11[#All],Tabelle10[[#This Row],[Spalte1]]+14,Ranking!$AG$2)</f>
        <v>89.97073964991985</v>
      </c>
      <c r="AH191" s="29">
        <f>INDEX(Tabelle11[#All],Tabelle10[[#This Row],[Spalte1]]+14,$AH$2)</f>
        <v>92.57157399213736</v>
      </c>
      <c r="AI191" s="29">
        <f>INDEX(Tabelle11[#All],Tabelle10[[#This Row],[Spalte1]]+14,$AI$2)</f>
        <v>115.46826639223708</v>
      </c>
      <c r="AJ191" s="29">
        <f>INDEX(Tabelle11[#All],Tabelle10[[#This Row],[Spalte1]]+14,Ranking!$AJ$2)</f>
        <v>96.450113158684488</v>
      </c>
    </row>
    <row r="192" spans="32:36" x14ac:dyDescent="0.25">
      <c r="AF192" s="29">
        <f>IF(IFERROR(Tabelle12[[#This Row],[Spiel]],0)=0,AF191+1,Tabelle12[[#This Row],[Spiel]])</f>
        <v>190</v>
      </c>
      <c r="AG192" s="29">
        <f>INDEX(Tabelle11[#All],Tabelle10[[#This Row],[Spalte1]]+14,Ranking!$AG$2)</f>
        <v>89.97073964991985</v>
      </c>
      <c r="AH192" s="29">
        <f>INDEX(Tabelle11[#All],Tabelle10[[#This Row],[Spalte1]]+14,$AH$2)</f>
        <v>92.057940496793833</v>
      </c>
      <c r="AI192" s="29">
        <f>INDEX(Tabelle11[#All],Tabelle10[[#This Row],[Spalte1]]+14,$AI$2)</f>
        <v>115.46826639223708</v>
      </c>
      <c r="AJ192" s="29">
        <f>INDEX(Tabelle11[#All],Tabelle10[[#This Row],[Spalte1]]+14,Ranking!$AJ$2)</f>
        <v>95.914959583871322</v>
      </c>
    </row>
    <row r="193" spans="32:36" x14ac:dyDescent="0.25">
      <c r="AF193" s="29">
        <f>IF(IFERROR(Tabelle12[[#This Row],[Spiel]],0)=0,AF192+1,Tabelle12[[#This Row],[Spiel]])</f>
        <v>191</v>
      </c>
      <c r="AG193" s="29">
        <f>INDEX(Tabelle11[#All],Tabelle10[[#This Row],[Spalte1]]+14,Ranking!$AG$2)</f>
        <v>92.825361887902346</v>
      </c>
      <c r="AH193" s="29">
        <f>INDEX(Tabelle11[#All],Tabelle10[[#This Row],[Spalte1]]+14,$AH$2)</f>
        <v>92.057940496793833</v>
      </c>
      <c r="AI193" s="29">
        <f>INDEX(Tabelle11[#All],Tabelle10[[#This Row],[Spalte1]]+14,$AI$2)</f>
        <v>115.46826639223708</v>
      </c>
      <c r="AJ193" s="29">
        <f>INDEX(Tabelle11[#All],Tabelle10[[#This Row],[Spalte1]]+14,Ranking!$AJ$2)</f>
        <v>95.914959583871322</v>
      </c>
    </row>
    <row r="194" spans="32:36" x14ac:dyDescent="0.25">
      <c r="AF194" s="29">
        <f>IF(IFERROR(Tabelle12[[#This Row],[Spiel]],0)=0,AF193+1,Tabelle12[[#This Row],[Spiel]])</f>
        <v>192</v>
      </c>
      <c r="AG194" s="29">
        <f>INDEX(Tabelle11[#All],Tabelle10[[#This Row],[Spalte1]]+14,Ranking!$AG$2)</f>
        <v>93.849229804733312</v>
      </c>
      <c r="AH194" s="29">
        <f>INDEX(Tabelle11[#All],Tabelle10[[#This Row],[Spalte1]]+14,$AH$2)</f>
        <v>92.057940496793833</v>
      </c>
      <c r="AI194" s="29">
        <f>INDEX(Tabelle11[#All],Tabelle10[[#This Row],[Spalte1]]+14,$AI$2)</f>
        <v>115.46826639223708</v>
      </c>
      <c r="AJ194" s="29">
        <f>INDEX(Tabelle11[#All],Tabelle10[[#This Row],[Spalte1]]+14,Ranking!$AJ$2)</f>
        <v>95.914959583871322</v>
      </c>
    </row>
    <row r="195" spans="32:36" x14ac:dyDescent="0.25">
      <c r="AF195" s="29">
        <f>IF(IFERROR(Tabelle12[[#This Row],[Spiel]],0)=0,AF194+1,Tabelle12[[#This Row],[Spiel]])</f>
        <v>193</v>
      </c>
      <c r="AG195" s="29">
        <f>INDEX(Tabelle11[#All],Tabelle10[[#This Row],[Spalte1]]+14,Ranking!$AG$2)</f>
        <v>95.563883335101934</v>
      </c>
      <c r="AH195" s="29">
        <f>INDEX(Tabelle11[#All],Tabelle10[[#This Row],[Spalte1]]+14,$AH$2)</f>
        <v>92.057940496793833</v>
      </c>
      <c r="AI195" s="29">
        <f>INDEX(Tabelle11[#All],Tabelle10[[#This Row],[Spalte1]]+14,$AI$2)</f>
        <v>116.86188663297433</v>
      </c>
      <c r="AJ195" s="29">
        <f>INDEX(Tabelle11[#All],Tabelle10[[#This Row],[Spalte1]]+14,Ranking!$AJ$2)</f>
        <v>95.914959583871322</v>
      </c>
    </row>
    <row r="196" spans="32:36" x14ac:dyDescent="0.25">
      <c r="AF196" s="29">
        <f>IF(IFERROR(Tabelle12[[#This Row],[Spiel]],0)=0,AF195+1,Tabelle12[[#This Row],[Spiel]])</f>
        <v>194</v>
      </c>
      <c r="AG196" s="29">
        <f>INDEX(Tabelle11[#All],Tabelle10[[#This Row],[Spalte1]]+14,Ranking!$AG$2)</f>
        <v>96.882907232496876</v>
      </c>
      <c r="AH196" s="29">
        <f>INDEX(Tabelle11[#All],Tabelle10[[#This Row],[Spalte1]]+14,$AH$2)</f>
        <v>92.057940496793833</v>
      </c>
      <c r="AI196" s="29">
        <f>INDEX(Tabelle11[#All],Tabelle10[[#This Row],[Spalte1]]+14,$AI$2)</f>
        <v>117.94051927770261</v>
      </c>
      <c r="AJ196" s="29">
        <f>INDEX(Tabelle11[#All],Tabelle10[[#This Row],[Spalte1]]+14,Ranking!$AJ$2)</f>
        <v>95.914959583871322</v>
      </c>
    </row>
    <row r="197" spans="32:36" x14ac:dyDescent="0.25">
      <c r="AF197" s="29">
        <f>IF(IFERROR(Tabelle12[[#This Row],[Spiel]],0)=0,AF196+1,Tabelle12[[#This Row],[Spiel]])</f>
        <v>195</v>
      </c>
      <c r="AG197" s="29">
        <f>INDEX(Tabelle11[#All],Tabelle10[[#This Row],[Spalte1]]+14,Ranking!$AG$2)</f>
        <v>96.882907232496876</v>
      </c>
      <c r="AH197" s="29">
        <f>INDEX(Tabelle11[#All],Tabelle10[[#This Row],[Spalte1]]+14,$AH$2)</f>
        <v>92.057940496793833</v>
      </c>
      <c r="AI197" s="29">
        <f>INDEX(Tabelle11[#All],Tabelle10[[#This Row],[Spalte1]]+14,$AI$2)</f>
        <v>117.94051927770261</v>
      </c>
      <c r="AJ197" s="29">
        <f>INDEX(Tabelle11[#All],Tabelle10[[#This Row],[Spalte1]]+14,Ranking!$AJ$2)</f>
        <v>95.71984927432095</v>
      </c>
    </row>
    <row r="198" spans="32:36" x14ac:dyDescent="0.25">
      <c r="AF198" s="29">
        <f>IF(IFERROR(Tabelle12[[#This Row],[Spiel]],0)=0,AF197+1,Tabelle12[[#This Row],[Spiel]])</f>
        <v>196</v>
      </c>
      <c r="AG198" s="29">
        <f>INDEX(Tabelle11[#All],Tabelle10[[#This Row],[Spalte1]]+14,Ranking!$AG$2)</f>
        <v>96.882907232496876</v>
      </c>
      <c r="AH198" s="29">
        <f>INDEX(Tabelle11[#All],Tabelle10[[#This Row],[Spalte1]]+14,$AH$2)</f>
        <v>92.057940496793833</v>
      </c>
      <c r="AI198" s="29">
        <f>INDEX(Tabelle11[#All],Tabelle10[[#This Row],[Spalte1]]+14,$AI$2)</f>
        <v>117.94051927770261</v>
      </c>
      <c r="AJ198" s="29">
        <f>INDEX(Tabelle11[#All],Tabelle10[[#This Row],[Spalte1]]+14,Ranking!$AJ$2)</f>
        <v>95.917768502176742</v>
      </c>
    </row>
    <row r="199" spans="32:36" x14ac:dyDescent="0.25">
      <c r="AF199" s="29">
        <f>IF(IFERROR(Tabelle12[[#This Row],[Spiel]],0)=0,AF198+1,Tabelle12[[#This Row],[Spiel]])</f>
        <v>197</v>
      </c>
      <c r="AG199" s="29">
        <f>INDEX(Tabelle11[#All],Tabelle10[[#This Row],[Spalte1]]+14,Ranking!$AG$2)</f>
        <v>96.882907232496876</v>
      </c>
      <c r="AH199" s="29">
        <f>INDEX(Tabelle11[#All],Tabelle10[[#This Row],[Spalte1]]+14,$AH$2)</f>
        <v>92.057940496793833</v>
      </c>
      <c r="AI199" s="29">
        <f>INDEX(Tabelle11[#All],Tabelle10[[#This Row],[Spalte1]]+14,$AI$2)</f>
        <v>117.94051927770261</v>
      </c>
      <c r="AJ199" s="29">
        <f>INDEX(Tabelle11[#All],Tabelle10[[#This Row],[Spalte1]]+14,Ranking!$AJ$2)</f>
        <v>95.917768502176742</v>
      </c>
    </row>
    <row r="200" spans="32:36" x14ac:dyDescent="0.25">
      <c r="AF200" s="29">
        <f>IF(IFERROR(Tabelle12[[#This Row],[Spiel]],0)=0,AF199+1,Tabelle12[[#This Row],[Spiel]])</f>
        <v>198</v>
      </c>
      <c r="AG200" s="29">
        <f>INDEX(Tabelle11[#All],Tabelle10[[#This Row],[Spalte1]]+14,Ranking!$AG$2)</f>
        <v>96.882907232496876</v>
      </c>
      <c r="AH200" s="29">
        <f>INDEX(Tabelle11[#All],Tabelle10[[#This Row],[Spalte1]]+14,$AH$2)</f>
        <v>92.057940496793833</v>
      </c>
      <c r="AI200" s="29">
        <f>INDEX(Tabelle11[#All],Tabelle10[[#This Row],[Spalte1]]+14,$AI$2)</f>
        <v>117.94051927770261</v>
      </c>
      <c r="AJ200" s="29">
        <f>INDEX(Tabelle11[#All],Tabelle10[[#This Row],[Spalte1]]+14,Ranking!$AJ$2)</f>
        <v>95.917768502176742</v>
      </c>
    </row>
    <row r="201" spans="32:36" x14ac:dyDescent="0.25">
      <c r="AF201" s="29">
        <f>IF(IFERROR(Tabelle12[[#This Row],[Spiel]],0)=0,AF200+1,Tabelle12[[#This Row],[Spiel]])</f>
        <v>199</v>
      </c>
      <c r="AG201" s="29">
        <f>INDEX(Tabelle11[#All],Tabelle10[[#This Row],[Spalte1]]+14,Ranking!$AG$2)</f>
        <v>96.882907232496876</v>
      </c>
      <c r="AH201" s="29">
        <f>INDEX(Tabelle11[#All],Tabelle10[[#This Row],[Spalte1]]+14,$AH$2)</f>
        <v>90.934420715012422</v>
      </c>
      <c r="AI201" s="29">
        <f>INDEX(Tabelle11[#All],Tabelle10[[#This Row],[Spalte1]]+14,$AI$2)</f>
        <v>116.50111594359602</v>
      </c>
      <c r="AJ201" s="29">
        <f>INDEX(Tabelle11[#All],Tabelle10[[#This Row],[Spalte1]]+14,Ranking!$AJ$2)</f>
        <v>95.917768502176742</v>
      </c>
    </row>
    <row r="202" spans="32:36" x14ac:dyDescent="0.25">
      <c r="AF202" s="29">
        <f>IF(IFERROR(Tabelle12[[#This Row],[Spiel]],0)=0,AF201+1,Tabelle12[[#This Row],[Spiel]])</f>
        <v>200</v>
      </c>
      <c r="AG202" s="29">
        <f>INDEX(Tabelle11[#All],Tabelle10[[#This Row],[Spalte1]]+14,Ranking!$AG$2)</f>
        <v>96.882907232496876</v>
      </c>
      <c r="AH202" s="29">
        <f>INDEX(Tabelle11[#All],Tabelle10[[#This Row],[Spalte1]]+14,$AH$2)</f>
        <v>90.915295868048489</v>
      </c>
      <c r="AI202" s="29">
        <f>INDEX(Tabelle11[#All],Tabelle10[[#This Row],[Spalte1]]+14,$AI$2)</f>
        <v>116.47661404435885</v>
      </c>
      <c r="AJ202" s="29">
        <f>INDEX(Tabelle11[#All],Tabelle10[[#This Row],[Spalte1]]+14,Ranking!$AJ$2)</f>
        <v>95.917768502176742</v>
      </c>
    </row>
    <row r="203" spans="32:36" x14ac:dyDescent="0.25">
      <c r="AF203" s="29">
        <f>IF(IFERROR(Tabelle12[[#This Row],[Spiel]],0)=0,AF202+1,Tabelle12[[#This Row],[Spiel]])</f>
        <v>201</v>
      </c>
      <c r="AG203" s="29">
        <f>INDEX(Tabelle11[#All],Tabelle10[[#This Row],[Spalte1]]+14,Ranking!$AG$2)</f>
        <v>96.882907232496876</v>
      </c>
      <c r="AH203" s="29">
        <f>INDEX(Tabelle11[#All],Tabelle10[[#This Row],[Spalte1]]+14,$AH$2)</f>
        <v>90.915295868048489</v>
      </c>
      <c r="AI203" s="29">
        <f>INDEX(Tabelle11[#All],Tabelle10[[#This Row],[Spalte1]]+14,$AI$2)</f>
        <v>116.47661404435885</v>
      </c>
      <c r="AJ203" s="29">
        <f>INDEX(Tabelle11[#All],Tabelle10[[#This Row],[Spalte1]]+14,Ranking!$AJ$2)</f>
        <v>96.715761214766104</v>
      </c>
    </row>
    <row r="204" spans="32:36" x14ac:dyDescent="0.25">
      <c r="AF204" s="29">
        <f>IF(IFERROR(Tabelle12[[#This Row],[Spiel]],0)=0,AF203+1,Tabelle12[[#This Row],[Spiel]])</f>
        <v>202</v>
      </c>
      <c r="AG204" s="29">
        <f>INDEX(Tabelle11[#All],Tabelle10[[#This Row],[Spalte1]]+14,Ranking!$AG$2)</f>
        <v>96.882907232496876</v>
      </c>
      <c r="AH204" s="29">
        <f>INDEX(Tabelle11[#All],Tabelle10[[#This Row],[Spalte1]]+14,$AH$2)</f>
        <v>90.915295868048489</v>
      </c>
      <c r="AI204" s="29">
        <f>INDEX(Tabelle11[#All],Tabelle10[[#This Row],[Spalte1]]+14,$AI$2)</f>
        <v>116.47661404435885</v>
      </c>
      <c r="AJ204" s="29">
        <f>INDEX(Tabelle11[#All],Tabelle10[[#This Row],[Spalte1]]+14,Ranking!$AJ$2)</f>
        <v>97.979228323532269</v>
      </c>
    </row>
    <row r="205" spans="32:36" x14ac:dyDescent="0.25">
      <c r="AF205" s="29">
        <f>IF(IFERROR(Tabelle12[[#This Row],[Spiel]],0)=0,AF204+1,Tabelle12[[#This Row],[Spiel]])</f>
        <v>203</v>
      </c>
      <c r="AG205" s="29">
        <f>INDEX(Tabelle11[#All],Tabelle10[[#This Row],[Spalte1]]+14,Ranking!$AG$2)</f>
        <v>96.882907232496876</v>
      </c>
      <c r="AH205" s="29">
        <f>INDEX(Tabelle11[#All],Tabelle10[[#This Row],[Spalte1]]+14,$AH$2)</f>
        <v>90.915295868048489</v>
      </c>
      <c r="AI205" s="29">
        <f>INDEX(Tabelle11[#All],Tabelle10[[#This Row],[Spalte1]]+14,$AI$2)</f>
        <v>116.47661404435885</v>
      </c>
      <c r="AJ205" s="29">
        <f>INDEX(Tabelle11[#All],Tabelle10[[#This Row],[Spalte1]]+14,Ranking!$AJ$2)</f>
        <v>97.979228323532269</v>
      </c>
    </row>
    <row r="206" spans="32:36" x14ac:dyDescent="0.25">
      <c r="AF206" s="29">
        <f>IF(IFERROR(Tabelle12[[#This Row],[Spiel]],0)=0,AF205+1,Tabelle12[[#This Row],[Spiel]])</f>
        <v>204</v>
      </c>
      <c r="AG206" s="29">
        <f>INDEX(Tabelle11[#All],Tabelle10[[#This Row],[Spalte1]]+14,Ranking!$AG$2)</f>
        <v>96.882907232496876</v>
      </c>
      <c r="AH206" s="29">
        <f>INDEX(Tabelle11[#All],Tabelle10[[#This Row],[Spalte1]]+14,$AH$2)</f>
        <v>90.915295868048489</v>
      </c>
      <c r="AI206" s="29">
        <f>INDEX(Tabelle11[#All],Tabelle10[[#This Row],[Spalte1]]+14,$AI$2)</f>
        <v>116.47661404435885</v>
      </c>
      <c r="AJ206" s="29">
        <f>INDEX(Tabelle11[#All],Tabelle10[[#This Row],[Spalte1]]+14,Ranking!$AJ$2)</f>
        <v>97.979228323532269</v>
      </c>
    </row>
    <row r="207" spans="32:36" x14ac:dyDescent="0.25">
      <c r="AF207" s="29">
        <f>IF(IFERROR(Tabelle12[[#This Row],[Spiel]],0)=0,AF206+1,Tabelle12[[#This Row],[Spiel]])</f>
        <v>205</v>
      </c>
      <c r="AG207" s="29">
        <f>INDEX(Tabelle11[#All],Tabelle10[[#This Row],[Spalte1]]+14,Ranking!$AG$2)</f>
        <v>96.882907232496876</v>
      </c>
      <c r="AH207" s="29">
        <f>INDEX(Tabelle11[#All],Tabelle10[[#This Row],[Spalte1]]+14,$AH$2)</f>
        <v>91.310215223004548</v>
      </c>
      <c r="AI207" s="29">
        <f>INDEX(Tabelle11[#All],Tabelle10[[#This Row],[Spalte1]]+14,$AI$2)</f>
        <v>116.47661404435885</v>
      </c>
      <c r="AJ207" s="29">
        <f>INDEX(Tabelle11[#All],Tabelle10[[#This Row],[Spalte1]]+14,Ranking!$AJ$2)</f>
        <v>97.979228323532269</v>
      </c>
    </row>
    <row r="208" spans="32:36" x14ac:dyDescent="0.25">
      <c r="AF208" s="29">
        <f>IF(IFERROR(Tabelle12[[#This Row],[Spiel]],0)=0,AF207+1,Tabelle12[[#This Row],[Spiel]])</f>
        <v>206</v>
      </c>
      <c r="AG208" s="29">
        <f>INDEX(Tabelle11[#All],Tabelle10[[#This Row],[Spalte1]]+14,Ranking!$AG$2)</f>
        <v>96.580412901782537</v>
      </c>
      <c r="AH208" s="29">
        <f>INDEX(Tabelle11[#All],Tabelle10[[#This Row],[Spalte1]]+14,$AH$2)</f>
        <v>91.025120326182545</v>
      </c>
      <c r="AI208" s="29">
        <f>INDEX(Tabelle11[#All],Tabelle10[[#This Row],[Spalte1]]+14,$AI$2)</f>
        <v>116.47661404435885</v>
      </c>
      <c r="AJ208" s="29">
        <f>INDEX(Tabelle11[#All],Tabelle10[[#This Row],[Spalte1]]+14,Ranking!$AJ$2)</f>
        <v>97.979228323532269</v>
      </c>
    </row>
    <row r="209" spans="32:36" x14ac:dyDescent="0.25">
      <c r="AF209" s="29">
        <f>IF(IFERROR(Tabelle12[[#This Row],[Spiel]],0)=0,AF208+1,Tabelle12[[#This Row],[Spiel]])</f>
        <v>207</v>
      </c>
      <c r="AG209" s="29">
        <f>INDEX(Tabelle11[#All],Tabelle10[[#This Row],[Spalte1]]+14,Ranking!$AG$2)</f>
        <v>96.339887223435241</v>
      </c>
      <c r="AH209" s="29">
        <f>INDEX(Tabelle11[#All],Tabelle10[[#This Row],[Spalte1]]+14,$AH$2)</f>
        <v>90.798429653039904</v>
      </c>
      <c r="AI209" s="29">
        <f>INDEX(Tabelle11[#All],Tabelle10[[#This Row],[Spalte1]]+14,$AI$2)</f>
        <v>116.47661404435885</v>
      </c>
      <c r="AJ209" s="29">
        <f>INDEX(Tabelle11[#All],Tabelle10[[#This Row],[Spalte1]]+14,Ranking!$AJ$2)</f>
        <v>97.979228323532269</v>
      </c>
    </row>
    <row r="210" spans="32:36" x14ac:dyDescent="0.25">
      <c r="AF210" s="29">
        <f>IF(IFERROR(Tabelle12[[#This Row],[Spiel]],0)=0,AF209+1,Tabelle12[[#This Row],[Spiel]])</f>
        <v>208</v>
      </c>
      <c r="AG210" s="29">
        <f>INDEX(Tabelle11[#All],Tabelle10[[#This Row],[Spalte1]]+14,Ranking!$AG$2)</f>
        <v>96.339887223435241</v>
      </c>
      <c r="AH210" s="29">
        <f>INDEX(Tabelle11[#All],Tabelle10[[#This Row],[Spalte1]]+14,$AH$2)</f>
        <v>90.798429653039904</v>
      </c>
      <c r="AI210" s="29">
        <f>INDEX(Tabelle11[#All],Tabelle10[[#This Row],[Spalte1]]+14,$AI$2)</f>
        <v>114.77748784532551</v>
      </c>
      <c r="AJ210" s="29">
        <f>INDEX(Tabelle11[#All],Tabelle10[[#This Row],[Spalte1]]+14,Ranking!$AJ$2)</f>
        <v>97.979228323532269</v>
      </c>
    </row>
    <row r="211" spans="32:36" x14ac:dyDescent="0.25">
      <c r="AF211" s="29">
        <f>IF(IFERROR(Tabelle12[[#This Row],[Spiel]],0)=0,AF210+1,Tabelle12[[#This Row],[Spiel]])</f>
        <v>209</v>
      </c>
      <c r="AG211" s="29">
        <f>INDEX(Tabelle11[#All],Tabelle10[[#This Row],[Spalte1]]+14,Ranking!$AG$2)</f>
        <v>96.339887223435241</v>
      </c>
      <c r="AH211" s="29">
        <f>INDEX(Tabelle11[#All],Tabelle10[[#This Row],[Spalte1]]+14,$AH$2)</f>
        <v>90.798429653039904</v>
      </c>
      <c r="AI211" s="29">
        <f>INDEX(Tabelle11[#All],Tabelle10[[#This Row],[Spalte1]]+14,$AI$2)</f>
        <v>114.91814596969184</v>
      </c>
      <c r="AJ211" s="29">
        <f>INDEX(Tabelle11[#All],Tabelle10[[#This Row],[Spalte1]]+14,Ranking!$AJ$2)</f>
        <v>97.979228323532269</v>
      </c>
    </row>
    <row r="212" spans="32:36" x14ac:dyDescent="0.25">
      <c r="AF212" s="29">
        <f>IF(IFERROR(Tabelle12[[#This Row],[Spiel]],0)=0,AF211+1,Tabelle12[[#This Row],[Spiel]])</f>
        <v>210</v>
      </c>
      <c r="AG212" s="29">
        <f>INDEX(Tabelle11[#All],Tabelle10[[#This Row],[Spalte1]]+14,Ranking!$AG$2)</f>
        <v>96.339887223435241</v>
      </c>
      <c r="AH212" s="29">
        <f>INDEX(Tabelle11[#All],Tabelle10[[#This Row],[Spalte1]]+14,$AH$2)</f>
        <v>91.341226729787238</v>
      </c>
      <c r="AI212" s="29">
        <f>INDEX(Tabelle11[#All],Tabelle10[[#This Row],[Spalte1]]+14,$AI$2)</f>
        <v>114.91814596969184</v>
      </c>
      <c r="AJ212" s="29">
        <f>INDEX(Tabelle11[#All],Tabelle10[[#This Row],[Spalte1]]+14,Ranking!$AJ$2)</f>
        <v>97.478441177444367</v>
      </c>
    </row>
    <row r="213" spans="32:36" x14ac:dyDescent="0.25">
      <c r="AF213" s="29">
        <f>IF(IFERROR(Tabelle12[[#This Row],[Spiel]],0)=0,AF212+1,Tabelle12[[#This Row],[Spiel]])</f>
        <v>211</v>
      </c>
      <c r="AG213" s="29">
        <f>INDEX(Tabelle11[#All],Tabelle10[[#This Row],[Spalte1]]+14,Ranking!$AG$2)</f>
        <v>96.339887223435241</v>
      </c>
      <c r="AH213" s="29">
        <f>INDEX(Tabelle11[#All],Tabelle10[[#This Row],[Spalte1]]+14,$AH$2)</f>
        <v>92.556719888011116</v>
      </c>
      <c r="AI213" s="29">
        <f>INDEX(Tabelle11[#All],Tabelle10[[#This Row],[Spalte1]]+14,$AI$2)</f>
        <v>114.91814596969184</v>
      </c>
      <c r="AJ213" s="29">
        <f>INDEX(Tabelle11[#All],Tabelle10[[#This Row],[Spalte1]]+14,Ranking!$AJ$2)</f>
        <v>96.356640245356616</v>
      </c>
    </row>
    <row r="214" spans="32:36" x14ac:dyDescent="0.25">
      <c r="AF214" s="29">
        <f>IF(IFERROR(Tabelle12[[#This Row],[Spiel]],0)=0,AF213+1,Tabelle12[[#This Row],[Spiel]])</f>
        <v>212</v>
      </c>
      <c r="AG214" s="29">
        <f>INDEX(Tabelle11[#All],Tabelle10[[#This Row],[Spalte1]]+14,Ranking!$AG$2)</f>
        <v>96.339887223435241</v>
      </c>
      <c r="AH214" s="29">
        <f>INDEX(Tabelle11[#All],Tabelle10[[#This Row],[Spalte1]]+14,$AH$2)</f>
        <v>90.228681467848247</v>
      </c>
      <c r="AI214" s="29">
        <f>INDEX(Tabelle11[#All],Tabelle10[[#This Row],[Spalte1]]+14,$AI$2)</f>
        <v>114.91814596969184</v>
      </c>
      <c r="AJ214" s="29">
        <f>INDEX(Tabelle11[#All],Tabelle10[[#This Row],[Spalte1]]+14,Ranking!$AJ$2)</f>
        <v>96.356640245356616</v>
      </c>
    </row>
    <row r="215" spans="32:36" x14ac:dyDescent="0.25">
      <c r="AF215" s="29">
        <f>IF(IFERROR(Tabelle12[[#This Row],[Spiel]],0)=0,AF214+1,Tabelle12[[#This Row],[Spiel]])</f>
        <v>213</v>
      </c>
      <c r="AG215" s="29">
        <f>INDEX(Tabelle11[#All],Tabelle10[[#This Row],[Spalte1]]+14,Ranking!$AG$2)</f>
        <v>96.339887223435241</v>
      </c>
      <c r="AH215" s="29">
        <f>INDEX(Tabelle11[#All],Tabelle10[[#This Row],[Spalte1]]+14,$AH$2)</f>
        <v>89.124366469803178</v>
      </c>
      <c r="AI215" s="29">
        <f>INDEX(Tabelle11[#All],Tabelle10[[#This Row],[Spalte1]]+14,$AI$2)</f>
        <v>114.91814596969184</v>
      </c>
      <c r="AJ215" s="29">
        <f>INDEX(Tabelle11[#All],Tabelle10[[#This Row],[Spalte1]]+14,Ranking!$AJ$2)</f>
        <v>96.356640245356616</v>
      </c>
    </row>
    <row r="216" spans="32:36" x14ac:dyDescent="0.25">
      <c r="AF216" s="29">
        <f>IF(IFERROR(Tabelle12[[#This Row],[Spiel]],0)=0,AF215+1,Tabelle12[[#This Row],[Spiel]])</f>
        <v>214</v>
      </c>
      <c r="AG216" s="29">
        <f>INDEX(Tabelle11[#All],Tabelle10[[#This Row],[Spalte1]]+14,Ranking!$AG$2)</f>
        <v>96.339887223435241</v>
      </c>
      <c r="AH216" s="29">
        <f>INDEX(Tabelle11[#All],Tabelle10[[#This Row],[Spalte1]]+14,$AH$2)</f>
        <v>89.124366469803178</v>
      </c>
      <c r="AI216" s="29">
        <f>INDEX(Tabelle11[#All],Tabelle10[[#This Row],[Spalte1]]+14,$AI$2)</f>
        <v>114.44185653138463</v>
      </c>
      <c r="AJ216" s="29">
        <f>INDEX(Tabelle11[#All],Tabelle10[[#This Row],[Spalte1]]+14,Ranking!$AJ$2)</f>
        <v>96.356640245356616</v>
      </c>
    </row>
    <row r="217" spans="32:36" x14ac:dyDescent="0.25">
      <c r="AF217" s="29">
        <f>IF(IFERROR(Tabelle12[[#This Row],[Spiel]],0)=0,AF216+1,Tabelle12[[#This Row],[Spiel]])</f>
        <v>215</v>
      </c>
      <c r="AG217" s="29">
        <f>INDEX(Tabelle11[#All],Tabelle10[[#This Row],[Spalte1]]+14,Ranking!$AG$2)</f>
        <v>96.339887223435241</v>
      </c>
      <c r="AH217" s="29">
        <f>INDEX(Tabelle11[#All],Tabelle10[[#This Row],[Spalte1]]+14,$AH$2)</f>
        <v>89.124366469803178</v>
      </c>
      <c r="AI217" s="29">
        <f>INDEX(Tabelle11[#All],Tabelle10[[#This Row],[Spalte1]]+14,$AI$2)</f>
        <v>111.23463743978623</v>
      </c>
      <c r="AJ217" s="29">
        <f>INDEX(Tabelle11[#All],Tabelle10[[#This Row],[Spalte1]]+14,Ranking!$AJ$2)</f>
        <v>96.356640245356616</v>
      </c>
    </row>
    <row r="218" spans="32:36" x14ac:dyDescent="0.25">
      <c r="AF218" s="29">
        <f>IF(IFERROR(Tabelle12[[#This Row],[Spiel]],0)=0,AF217+1,Tabelle12[[#This Row],[Spiel]])</f>
        <v>216</v>
      </c>
      <c r="AG218" s="29">
        <f>INDEX(Tabelle11[#All],Tabelle10[[#This Row],[Spalte1]]+14,Ranking!$AG$2)</f>
        <v>95.722103246174782</v>
      </c>
      <c r="AH218" s="29">
        <f>INDEX(Tabelle11[#All],Tabelle10[[#This Row],[Spalte1]]+14,$AH$2)</f>
        <v>89.124366469803178</v>
      </c>
      <c r="AI218" s="29">
        <f>INDEX(Tabelle11[#All],Tabelle10[[#This Row],[Spalte1]]+14,$AI$2)</f>
        <v>111.23463743978623</v>
      </c>
      <c r="AJ218" s="29">
        <f>INDEX(Tabelle11[#All],Tabelle10[[#This Row],[Spalte1]]+14,Ranking!$AJ$2)</f>
        <v>96.356640245356616</v>
      </c>
    </row>
    <row r="219" spans="32:36" x14ac:dyDescent="0.25">
      <c r="AF219" s="29">
        <f>IF(IFERROR(Tabelle12[[#This Row],[Spiel]],0)=0,AF218+1,Tabelle12[[#This Row],[Spiel]])</f>
        <v>217</v>
      </c>
      <c r="AG219" s="29">
        <f>INDEX(Tabelle11[#All],Tabelle10[[#This Row],[Spalte1]]+14,Ranking!$AG$2)</f>
        <v>95.630354838947454</v>
      </c>
      <c r="AH219" s="29">
        <f>INDEX(Tabelle11[#All],Tabelle10[[#This Row],[Spalte1]]+14,$AH$2)</f>
        <v>89.124366469803178</v>
      </c>
      <c r="AI219" s="29">
        <f>INDEX(Tabelle11[#All],Tabelle10[[#This Row],[Spalte1]]+14,$AI$2)</f>
        <v>111.23463743978623</v>
      </c>
      <c r="AJ219" s="29">
        <f>INDEX(Tabelle11[#All],Tabelle10[[#This Row],[Spalte1]]+14,Ranking!$AJ$2)</f>
        <v>96.356640245356616</v>
      </c>
    </row>
    <row r="220" spans="32:36" x14ac:dyDescent="0.25">
      <c r="AF220" s="29">
        <f>IF(IFERROR(Tabelle12[[#This Row],[Spiel]],0)=0,AF219+1,Tabelle12[[#This Row],[Spiel]])</f>
        <v>218</v>
      </c>
      <c r="AG220" s="29">
        <f>INDEX(Tabelle11[#All],Tabelle10[[#This Row],[Spalte1]]+14,Ranking!$AG$2)</f>
        <v>95.037491452161717</v>
      </c>
      <c r="AH220" s="29">
        <f>INDEX(Tabelle11[#All],Tabelle10[[#This Row],[Spalte1]]+14,$AH$2)</f>
        <v>89.124366469803178</v>
      </c>
      <c r="AI220" s="29">
        <f>INDEX(Tabelle11[#All],Tabelle10[[#This Row],[Spalte1]]+14,$AI$2)</f>
        <v>111.23463743978623</v>
      </c>
      <c r="AJ220" s="29">
        <f>INDEX(Tabelle11[#All],Tabelle10[[#This Row],[Spalte1]]+14,Ranking!$AJ$2)</f>
        <v>96.976441830557292</v>
      </c>
    </row>
    <row r="221" spans="32:36" x14ac:dyDescent="0.25">
      <c r="AF221" s="29">
        <f>IF(IFERROR(Tabelle12[[#This Row],[Spiel]],0)=0,AF220+1,Tabelle12[[#This Row],[Spiel]])</f>
        <v>219</v>
      </c>
      <c r="AG221" s="29">
        <f>INDEX(Tabelle11[#All],Tabelle10[[#This Row],[Spalte1]]+14,Ranking!$AG$2)</f>
        <v>95.331368708307579</v>
      </c>
      <c r="AH221" s="29">
        <f>INDEX(Tabelle11[#All],Tabelle10[[#This Row],[Spalte1]]+14,$AH$2)</f>
        <v>89.124366469803178</v>
      </c>
      <c r="AI221" s="29">
        <f>INDEX(Tabelle11[#All],Tabelle10[[#This Row],[Spalte1]]+14,$AI$2)</f>
        <v>111.23463743978623</v>
      </c>
      <c r="AJ221" s="29">
        <f>INDEX(Tabelle11[#All],Tabelle10[[#This Row],[Spalte1]]+14,Ranking!$AJ$2)</f>
        <v>96.69505571782534</v>
      </c>
    </row>
    <row r="222" spans="32:36" x14ac:dyDescent="0.25">
      <c r="AF222" s="29">
        <f>IF(IFERROR(Tabelle12[[#This Row],[Spiel]],0)=0,AF221+1,Tabelle12[[#This Row],[Spiel]])</f>
        <v>220</v>
      </c>
      <c r="AG222" s="29">
        <f>INDEX(Tabelle11[#All],Tabelle10[[#This Row],[Spalte1]]+14,Ranking!$AG$2)</f>
        <v>95.331368708307579</v>
      </c>
      <c r="AH222" s="29">
        <f>INDEX(Tabelle11[#All],Tabelle10[[#This Row],[Spalte1]]+14,$AH$2)</f>
        <v>89.124366469803178</v>
      </c>
      <c r="AI222" s="29">
        <f>INDEX(Tabelle11[#All],Tabelle10[[#This Row],[Spalte1]]+14,$AI$2)</f>
        <v>111.23463743978623</v>
      </c>
      <c r="AJ222" s="29">
        <f>INDEX(Tabelle11[#All],Tabelle10[[#This Row],[Spalte1]]+14,Ranking!$AJ$2)</f>
        <v>96.69505571782534</v>
      </c>
    </row>
    <row r="223" spans="32:36" x14ac:dyDescent="0.25">
      <c r="AF223" s="29">
        <f>IF(IFERROR(Tabelle12[[#This Row],[Spiel]],0)=0,AF222+1,Tabelle12[[#This Row],[Spiel]])</f>
        <v>221</v>
      </c>
      <c r="AG223" s="29">
        <f>INDEX(Tabelle11[#All],Tabelle10[[#This Row],[Spalte1]]+14,Ranking!$AG$2)</f>
        <v>95.331368708307579</v>
      </c>
      <c r="AH223" s="29">
        <f>INDEX(Tabelle11[#All],Tabelle10[[#This Row],[Spalte1]]+14,$AH$2)</f>
        <v>89.124366469803178</v>
      </c>
      <c r="AI223" s="29">
        <f>INDEX(Tabelle11[#All],Tabelle10[[#This Row],[Spalte1]]+14,$AI$2)</f>
        <v>111.23463743978623</v>
      </c>
      <c r="AJ223" s="29">
        <f>INDEX(Tabelle11[#All],Tabelle10[[#This Row],[Spalte1]]+14,Ranking!$AJ$2)</f>
        <v>96.69505571782534</v>
      </c>
    </row>
    <row r="224" spans="32:36" x14ac:dyDescent="0.25">
      <c r="AF224" s="29">
        <f>IF(IFERROR(Tabelle12[[#This Row],[Spiel]],0)=0,AF223+1,Tabelle12[[#This Row],[Spiel]])</f>
        <v>222</v>
      </c>
      <c r="AG224" s="29">
        <f>INDEX(Tabelle11[#All],Tabelle10[[#This Row],[Spalte1]]+14,Ranking!$AG$2)</f>
        <v>95.331368708307579</v>
      </c>
      <c r="AH224" s="29">
        <f>INDEX(Tabelle11[#All],Tabelle10[[#This Row],[Spalte1]]+14,$AH$2)</f>
        <v>89.124366469803178</v>
      </c>
      <c r="AI224" s="29">
        <f>INDEX(Tabelle11[#All],Tabelle10[[#This Row],[Spalte1]]+14,$AI$2)</f>
        <v>111.02575823914968</v>
      </c>
      <c r="AJ224" s="29">
        <f>INDEX(Tabelle11[#All],Tabelle10[[#This Row],[Spalte1]]+14,Ranking!$AJ$2)</f>
        <v>96.69505571782534</v>
      </c>
    </row>
    <row r="225" spans="32:36" x14ac:dyDescent="0.25">
      <c r="AF225" s="29">
        <f>IF(IFERROR(Tabelle12[[#This Row],[Spiel]],0)=0,AF224+1,Tabelle12[[#This Row],[Spiel]])</f>
        <v>223</v>
      </c>
      <c r="AG225" s="29">
        <f>INDEX(Tabelle11[#All],Tabelle10[[#This Row],[Spalte1]]+14,Ranking!$AG$2)</f>
        <v>95.331368708307579</v>
      </c>
      <c r="AH225" s="29">
        <f>INDEX(Tabelle11[#All],Tabelle10[[#This Row],[Spalte1]]+14,$AH$2)</f>
        <v>89.124366469803178</v>
      </c>
      <c r="AI225" s="29">
        <f>INDEX(Tabelle11[#All],Tabelle10[[#This Row],[Spalte1]]+14,$AI$2)</f>
        <v>110.8642661825124</v>
      </c>
      <c r="AJ225" s="29">
        <f>INDEX(Tabelle11[#All],Tabelle10[[#This Row],[Spalte1]]+14,Ranking!$AJ$2)</f>
        <v>96.69505571782534</v>
      </c>
    </row>
    <row r="226" spans="32:36" x14ac:dyDescent="0.25">
      <c r="AF226" s="29">
        <f>IF(IFERROR(Tabelle12[[#This Row],[Spiel]],0)=0,AF225+1,Tabelle12[[#This Row],[Spiel]])</f>
        <v>224</v>
      </c>
      <c r="AG226" s="29">
        <f>INDEX(Tabelle11[#All],Tabelle10[[#This Row],[Spalte1]]+14,Ranking!$AG$2)</f>
        <v>94.891289313533846</v>
      </c>
      <c r="AH226" s="29">
        <f>INDEX(Tabelle11[#All],Tabelle10[[#This Row],[Spalte1]]+14,$AH$2)</f>
        <v>89.124366469803178</v>
      </c>
      <c r="AI226" s="29">
        <f>INDEX(Tabelle11[#All],Tabelle10[[#This Row],[Spalte1]]+14,$AI$2)</f>
        <v>110.8642661825124</v>
      </c>
      <c r="AJ226" s="29">
        <f>INDEX(Tabelle11[#All],Tabelle10[[#This Row],[Spalte1]]+14,Ranking!$AJ$2)</f>
        <v>96.69505571782534</v>
      </c>
    </row>
    <row r="227" spans="32:36" x14ac:dyDescent="0.25">
      <c r="AF227" s="29">
        <f>IF(IFERROR(Tabelle12[[#This Row],[Spiel]],0)=0,AF226+1,Tabelle12[[#This Row],[Spiel]])</f>
        <v>225</v>
      </c>
      <c r="AG227" s="29">
        <f>INDEX(Tabelle11[#All],Tabelle10[[#This Row],[Spalte1]]+14,Ranking!$AG$2)</f>
        <v>94.891289313533846</v>
      </c>
      <c r="AH227" s="29">
        <f>INDEX(Tabelle11[#All],Tabelle10[[#This Row],[Spalte1]]+14,$AH$2)</f>
        <v>89.124366469803178</v>
      </c>
      <c r="AI227" s="29">
        <f>INDEX(Tabelle11[#All],Tabelle10[[#This Row],[Spalte1]]+14,$AI$2)</f>
        <v>112.88081899899511</v>
      </c>
      <c r="AJ227" s="29">
        <f>INDEX(Tabelle11[#All],Tabelle10[[#This Row],[Spalte1]]+14,Ranking!$AJ$2)</f>
        <v>99.007104111178947</v>
      </c>
    </row>
    <row r="228" spans="32:36" x14ac:dyDescent="0.25">
      <c r="AF228" s="29">
        <f>IF(IFERROR(Tabelle12[[#This Row],[Spiel]],0)=0,AF227+1,Tabelle12[[#This Row],[Spiel]])</f>
        <v>226</v>
      </c>
      <c r="AG228" s="29">
        <f>INDEX(Tabelle11[#All],Tabelle10[[#This Row],[Spalte1]]+14,Ranking!$AG$2)</f>
        <v>94.891289313533846</v>
      </c>
      <c r="AH228" s="29">
        <f>INDEX(Tabelle11[#All],Tabelle10[[#This Row],[Spalte1]]+14,$AH$2)</f>
        <v>89.124366469803178</v>
      </c>
      <c r="AI228" s="29">
        <f>INDEX(Tabelle11[#All],Tabelle10[[#This Row],[Spalte1]]+14,$AI$2)</f>
        <v>113.11546114802825</v>
      </c>
      <c r="AJ228" s="29">
        <f>INDEX(Tabelle11[#All],Tabelle10[[#This Row],[Spalte1]]+14,Ranking!$AJ$2)</f>
        <v>99.274626307614483</v>
      </c>
    </row>
    <row r="229" spans="32:36" x14ac:dyDescent="0.25">
      <c r="AF229" s="29">
        <f>IF(IFERROR(Tabelle12[[#This Row],[Spiel]],0)=0,AF228+1,Tabelle12[[#This Row],[Spiel]])</f>
        <v>227</v>
      </c>
      <c r="AG229" s="29">
        <f>INDEX(Tabelle11[#All],Tabelle10[[#This Row],[Spalte1]]+14,Ranking!$AG$2)</f>
        <v>94.891289313533846</v>
      </c>
      <c r="AH229" s="29">
        <f>INDEX(Tabelle11[#All],Tabelle10[[#This Row],[Spalte1]]+14,$AH$2)</f>
        <v>89.124366469803178</v>
      </c>
      <c r="AI229" s="29">
        <f>INDEX(Tabelle11[#All],Tabelle10[[#This Row],[Spalte1]]+14,$AI$2)</f>
        <v>113.11546114802825</v>
      </c>
      <c r="AJ229" s="29">
        <f>INDEX(Tabelle11[#All],Tabelle10[[#This Row],[Spalte1]]+14,Ranking!$AJ$2)</f>
        <v>99.274626307614483</v>
      </c>
    </row>
    <row r="230" spans="32:36" x14ac:dyDescent="0.25">
      <c r="AF230" s="29">
        <f>IF(IFERROR(Tabelle12[[#This Row],[Spiel]],0)=0,AF229+1,Tabelle12[[#This Row],[Spiel]])</f>
        <v>228</v>
      </c>
      <c r="AG230" s="29">
        <f>INDEX(Tabelle11[#All],Tabelle10[[#This Row],[Spalte1]]+14,Ranking!$AG$2)</f>
        <v>94.891289313533846</v>
      </c>
      <c r="AH230" s="29">
        <f>INDEX(Tabelle11[#All],Tabelle10[[#This Row],[Spalte1]]+14,$AH$2)</f>
        <v>89.124366469803178</v>
      </c>
      <c r="AI230" s="29">
        <f>INDEX(Tabelle11[#All],Tabelle10[[#This Row],[Spalte1]]+14,$AI$2)</f>
        <v>113.11546114802825</v>
      </c>
      <c r="AJ230" s="29">
        <f>INDEX(Tabelle11[#All],Tabelle10[[#This Row],[Spalte1]]+14,Ranking!$AJ$2)</f>
        <v>99.274626307614483</v>
      </c>
    </row>
    <row r="231" spans="32:36" x14ac:dyDescent="0.25">
      <c r="AF231" s="29">
        <f>IF(IFERROR(Tabelle12[[#This Row],[Spiel]],0)=0,AF230+1,Tabelle12[[#This Row],[Spiel]])</f>
        <v>229</v>
      </c>
      <c r="AG231" s="29">
        <f>INDEX(Tabelle11[#All],Tabelle10[[#This Row],[Spalte1]]+14,Ranking!$AG$2)</f>
        <v>94.891289313533846</v>
      </c>
      <c r="AH231" s="29">
        <f>INDEX(Tabelle11[#All],Tabelle10[[#This Row],[Spalte1]]+14,$AH$2)</f>
        <v>89.124366469803178</v>
      </c>
      <c r="AI231" s="29">
        <f>INDEX(Tabelle11[#All],Tabelle10[[#This Row],[Spalte1]]+14,$AI$2)</f>
        <v>113.11546114802825</v>
      </c>
      <c r="AJ231" s="29">
        <f>INDEX(Tabelle11[#All],Tabelle10[[#This Row],[Spalte1]]+14,Ranking!$AJ$2)</f>
        <v>99.044991735974662</v>
      </c>
    </row>
    <row r="232" spans="32:36" x14ac:dyDescent="0.25">
      <c r="AF232" s="29">
        <f>IF(IFERROR(Tabelle12[[#This Row],[Spiel]],0)=0,AF231+1,Tabelle12[[#This Row],[Spiel]])</f>
        <v>230</v>
      </c>
      <c r="AG232" s="29">
        <f>INDEX(Tabelle11[#All],Tabelle10[[#This Row],[Spalte1]]+14,Ranking!$AG$2)</f>
        <v>94.891289313533846</v>
      </c>
      <c r="AH232" s="29">
        <f>INDEX(Tabelle11[#All],Tabelle10[[#This Row],[Spalte1]]+14,$AH$2)</f>
        <v>89.124366469803178</v>
      </c>
      <c r="AI232" s="29">
        <f>INDEX(Tabelle11[#All],Tabelle10[[#This Row],[Spalte1]]+14,$AI$2)</f>
        <v>113.11546114802825</v>
      </c>
      <c r="AJ232" s="29">
        <f>INDEX(Tabelle11[#All],Tabelle10[[#This Row],[Spalte1]]+14,Ranking!$AJ$2)</f>
        <v>98.222343669569312</v>
      </c>
    </row>
    <row r="233" spans="32:36" x14ac:dyDescent="0.25">
      <c r="AF233" s="29">
        <f>IF(IFERROR(Tabelle12[[#This Row],[Spiel]],0)=0,AF232+1,Tabelle12[[#This Row],[Spiel]])</f>
        <v>231</v>
      </c>
      <c r="AG233" s="29">
        <f>INDEX(Tabelle11[#All],Tabelle10[[#This Row],[Spalte1]]+14,Ranking!$AG$2)</f>
        <v>94.891289313533846</v>
      </c>
      <c r="AH233" s="29">
        <f>INDEX(Tabelle11[#All],Tabelle10[[#This Row],[Spalte1]]+14,$AH$2)</f>
        <v>89.124366469803178</v>
      </c>
      <c r="AI233" s="29">
        <f>INDEX(Tabelle11[#All],Tabelle10[[#This Row],[Spalte1]]+14,$AI$2)</f>
        <v>113.75824413816659</v>
      </c>
      <c r="AJ233" s="29">
        <f>INDEX(Tabelle11[#All],Tabelle10[[#This Row],[Spalte1]]+14,Ranking!$AJ$2)</f>
        <v>97.507553213074303</v>
      </c>
    </row>
    <row r="234" spans="32:36" x14ac:dyDescent="0.25">
      <c r="AF234" s="29">
        <f>IF(IFERROR(Tabelle12[[#This Row],[Spiel]],0)=0,AF233+1,Tabelle12[[#This Row],[Spiel]])</f>
        <v>232</v>
      </c>
      <c r="AG234" s="29">
        <f>INDEX(Tabelle11[#All],Tabelle10[[#This Row],[Spalte1]]+14,Ranking!$AG$2)</f>
        <v>94.891289313533846</v>
      </c>
      <c r="AH234" s="29">
        <f>INDEX(Tabelle11[#All],Tabelle10[[#This Row],[Spalte1]]+14,$AH$2)</f>
        <v>89.124366469803178</v>
      </c>
      <c r="AI234" s="29">
        <f>INDEX(Tabelle11[#All],Tabelle10[[#This Row],[Spalte1]]+14,$AI$2)</f>
        <v>114.67586130358623</v>
      </c>
      <c r="AJ234" s="29">
        <f>INDEX(Tabelle11[#All],Tabelle10[[#This Row],[Spalte1]]+14,Ranking!$AJ$2)</f>
        <v>96.488847893146854</v>
      </c>
    </row>
    <row r="235" spans="32:36" x14ac:dyDescent="0.25">
      <c r="AF235" s="29">
        <f>IF(IFERROR(Tabelle12[[#This Row],[Spiel]],0)=0,AF234+1,Tabelle12[[#This Row],[Spiel]])</f>
        <v>233</v>
      </c>
      <c r="AG235" s="29">
        <f>INDEX(Tabelle11[#All],Tabelle10[[#This Row],[Spalte1]]+14,Ranking!$AG$2)</f>
        <v>94.311805133977217</v>
      </c>
      <c r="AH235" s="29">
        <f>INDEX(Tabelle11[#All],Tabelle10[[#This Row],[Spalte1]]+14,$AH$2)</f>
        <v>89.124366469803178</v>
      </c>
      <c r="AI235" s="29">
        <f>INDEX(Tabelle11[#All],Tabelle10[[#This Row],[Spalte1]]+14,$AI$2)</f>
        <v>114.67586130358623</v>
      </c>
      <c r="AJ235" s="29">
        <f>INDEX(Tabelle11[#All],Tabelle10[[#This Row],[Spalte1]]+14,Ranking!$AJ$2)</f>
        <v>95.899607708276164</v>
      </c>
    </row>
    <row r="236" spans="32:36" x14ac:dyDescent="0.25">
      <c r="AF236" s="29">
        <f>IF(IFERROR(Tabelle12[[#This Row],[Spiel]],0)=0,AF235+1,Tabelle12[[#This Row],[Spiel]])</f>
        <v>234</v>
      </c>
      <c r="AG236" s="29">
        <f>INDEX(Tabelle11[#All],Tabelle10[[#This Row],[Spalte1]]+14,Ranking!$AG$2)</f>
        <v>92.494351810856728</v>
      </c>
      <c r="AH236" s="29">
        <f>INDEX(Tabelle11[#All],Tabelle10[[#This Row],[Spalte1]]+14,$AH$2)</f>
        <v>89.124366469803178</v>
      </c>
      <c r="AI236" s="29">
        <f>INDEX(Tabelle11[#All],Tabelle10[[#This Row],[Spalte1]]+14,$AI$2)</f>
        <v>114.67586130358623</v>
      </c>
      <c r="AJ236" s="29">
        <f>INDEX(Tabelle11[#All],Tabelle10[[#This Row],[Spalte1]]+14,Ranking!$AJ$2)</f>
        <v>94.051556337954494</v>
      </c>
    </row>
    <row r="237" spans="32:36" x14ac:dyDescent="0.25">
      <c r="AF237" s="29">
        <f>IF(IFERROR(Tabelle12[[#This Row],[Spiel]],0)=0,AF236+1,Tabelle12[[#This Row],[Spiel]])</f>
        <v>235</v>
      </c>
      <c r="AG237" s="29">
        <f>INDEX(Tabelle11[#All],Tabelle10[[#This Row],[Spalte1]]+14,Ranking!$AG$2)</f>
        <v>92.854749416233716</v>
      </c>
      <c r="AH237" s="29">
        <f>INDEX(Tabelle11[#All],Tabelle10[[#This Row],[Spalte1]]+14,$AH$2)</f>
        <v>89.124366469803178</v>
      </c>
      <c r="AI237" s="29">
        <f>INDEX(Tabelle11[#All],Tabelle10[[#This Row],[Spalte1]]+14,$AI$2)</f>
        <v>114.67586130358623</v>
      </c>
      <c r="AJ237" s="29">
        <f>INDEX(Tabelle11[#All],Tabelle10[[#This Row],[Spalte1]]+14,Ranking!$AJ$2)</f>
        <v>93.716841913751097</v>
      </c>
    </row>
    <row r="238" spans="32:36" x14ac:dyDescent="0.25">
      <c r="AF238" s="29">
        <f>IF(IFERROR(Tabelle12[[#This Row],[Spiel]],0)=0,AF237+1,Tabelle12[[#This Row],[Spiel]])</f>
        <v>236</v>
      </c>
      <c r="AG238" s="29">
        <f>INDEX(Tabelle11[#All],Tabelle10[[#This Row],[Spalte1]]+14,Ranking!$AG$2)</f>
        <v>93.552178955414988</v>
      </c>
      <c r="AH238" s="29">
        <f>INDEX(Tabelle11[#All],Tabelle10[[#This Row],[Spalte1]]+14,$AH$2)</f>
        <v>89.124366469803178</v>
      </c>
      <c r="AI238" s="29">
        <f>INDEX(Tabelle11[#All],Tabelle10[[#This Row],[Spalte1]]+14,$AI$2)</f>
        <v>114.67586130358623</v>
      </c>
      <c r="AJ238" s="29">
        <f>INDEX(Tabelle11[#All],Tabelle10[[#This Row],[Spalte1]]+14,Ranking!$AJ$2)</f>
        <v>93.069035981716212</v>
      </c>
    </row>
    <row r="239" spans="32:36" x14ac:dyDescent="0.25">
      <c r="AF239" s="29">
        <f>IF(IFERROR(Tabelle12[[#This Row],[Spiel]],0)=0,AF238+1,Tabelle12[[#This Row],[Spiel]])</f>
        <v>237</v>
      </c>
      <c r="AG239" s="29">
        <f>INDEX(Tabelle11[#All],Tabelle10[[#This Row],[Spalte1]]+14,Ranking!$AG$2)</f>
        <v>93.552178955414988</v>
      </c>
      <c r="AH239" s="29">
        <f>INDEX(Tabelle11[#All],Tabelle10[[#This Row],[Spalte1]]+14,$AH$2)</f>
        <v>89.124366469803178</v>
      </c>
      <c r="AI239" s="29">
        <f>INDEX(Tabelle11[#All],Tabelle10[[#This Row],[Spalte1]]+14,$AI$2)</f>
        <v>114.67586130358623</v>
      </c>
      <c r="AJ239" s="29">
        <f>INDEX(Tabelle11[#All],Tabelle10[[#This Row],[Spalte1]]+14,Ranking!$AJ$2)</f>
        <v>93.069035981716212</v>
      </c>
    </row>
    <row r="240" spans="32:36" x14ac:dyDescent="0.25">
      <c r="AF240" s="29">
        <f>IF(IFERROR(Tabelle12[[#This Row],[Spiel]],0)=0,AF239+1,Tabelle12[[#This Row],[Spiel]])</f>
        <v>238</v>
      </c>
      <c r="AG240" s="29">
        <f>INDEX(Tabelle11[#All],Tabelle10[[#This Row],[Spalte1]]+14,Ranking!$AG$2)</f>
        <v>93.552178955414988</v>
      </c>
      <c r="AH240" s="29">
        <f>INDEX(Tabelle11[#All],Tabelle10[[#This Row],[Spalte1]]+14,$AH$2)</f>
        <v>89.124366469803178</v>
      </c>
      <c r="AI240" s="29">
        <f>INDEX(Tabelle11[#All],Tabelle10[[#This Row],[Spalte1]]+14,$AI$2)</f>
        <v>114.67586130358623</v>
      </c>
      <c r="AJ240" s="29">
        <f>INDEX(Tabelle11[#All],Tabelle10[[#This Row],[Spalte1]]+14,Ranking!$AJ$2)</f>
        <v>93.069035981716212</v>
      </c>
    </row>
    <row r="241" spans="32:36" x14ac:dyDescent="0.25">
      <c r="AF241" s="29">
        <f>IF(IFERROR(Tabelle12[[#This Row],[Spiel]],0)=0,AF240+1,Tabelle12[[#This Row],[Spiel]])</f>
        <v>239</v>
      </c>
      <c r="AG241" s="29">
        <f>INDEX(Tabelle11[#All],Tabelle10[[#This Row],[Spalte1]]+14,Ranking!$AG$2)</f>
        <v>95.595541587200259</v>
      </c>
      <c r="AH241" s="29">
        <f>INDEX(Tabelle11[#All],Tabelle10[[#This Row],[Spalte1]]+14,$AH$2)</f>
        <v>89.124366469803178</v>
      </c>
      <c r="AI241" s="29">
        <f>INDEX(Tabelle11[#All],Tabelle10[[#This Row],[Spalte1]]+14,$AI$2)</f>
        <v>112.47059504820864</v>
      </c>
      <c r="AJ241" s="29">
        <f>INDEX(Tabelle11[#All],Tabelle10[[#This Row],[Spalte1]]+14,Ranking!$AJ$2)</f>
        <v>93.069035981716212</v>
      </c>
    </row>
    <row r="242" spans="32:36" x14ac:dyDescent="0.25">
      <c r="AF242" s="29">
        <f>IF(IFERROR(Tabelle12[[#This Row],[Spiel]],0)=0,AF241+1,Tabelle12[[#This Row],[Spiel]])</f>
        <v>240</v>
      </c>
      <c r="AG242" s="29">
        <f>INDEX(Tabelle11[#All],Tabelle10[[#This Row],[Spalte1]]+14,Ranking!$AG$2)</f>
        <v>93.951879620981259</v>
      </c>
      <c r="AH242" s="29">
        <f>INDEX(Tabelle11[#All],Tabelle10[[#This Row],[Spalte1]]+14,$AH$2)</f>
        <v>89.124366469803178</v>
      </c>
      <c r="AI242" s="29">
        <f>INDEX(Tabelle11[#All],Tabelle10[[#This Row],[Spalte1]]+14,$AI$2)</f>
        <v>113.97664203575378</v>
      </c>
      <c r="AJ242" s="29">
        <f>INDEX(Tabelle11[#All],Tabelle10[[#This Row],[Spalte1]]+14,Ranking!$AJ$2)</f>
        <v>93.069035981716212</v>
      </c>
    </row>
    <row r="243" spans="32:36" x14ac:dyDescent="0.25">
      <c r="AF243" s="29">
        <f>IF(IFERROR(Tabelle12[[#This Row],[Spiel]],0)=0,AF242+1,Tabelle12[[#This Row],[Spiel]])</f>
        <v>241</v>
      </c>
      <c r="AG243" s="29">
        <f>INDEX(Tabelle11[#All],Tabelle10[[#This Row],[Spalte1]]+14,Ranking!$AG$2)</f>
        <v>94.637311697664828</v>
      </c>
      <c r="AH243" s="29">
        <f>INDEX(Tabelle11[#All],Tabelle10[[#This Row],[Spalte1]]+14,$AH$2)</f>
        <v>89.124366469803178</v>
      </c>
      <c r="AI243" s="29">
        <f>INDEX(Tabelle11[#All],Tabelle10[[#This Row],[Spalte1]]+14,$AI$2)</f>
        <v>113.97664203575378</v>
      </c>
      <c r="AJ243" s="29">
        <f>INDEX(Tabelle11[#All],Tabelle10[[#This Row],[Spalte1]]+14,Ranking!$AJ$2)</f>
        <v>93.069035981716212</v>
      </c>
    </row>
    <row r="244" spans="32:36" x14ac:dyDescent="0.25">
      <c r="AF244" s="29">
        <f>IF(IFERROR(Tabelle12[[#This Row],[Spiel]],0)=0,AF243+1,Tabelle12[[#This Row],[Spiel]])</f>
        <v>242</v>
      </c>
      <c r="AG244" s="29">
        <f>INDEX(Tabelle11[#All],Tabelle10[[#This Row],[Spalte1]]+14,Ranking!$AG$2)</f>
        <v>94.751934852087658</v>
      </c>
      <c r="AH244" s="29">
        <f>INDEX(Tabelle11[#All],Tabelle10[[#This Row],[Spalte1]]+14,$AH$2)</f>
        <v>89.124366469803178</v>
      </c>
      <c r="AI244" s="29">
        <f>INDEX(Tabelle11[#All],Tabelle10[[#This Row],[Spalte1]]+14,$AI$2)</f>
        <v>113.97664203575378</v>
      </c>
      <c r="AJ244" s="29">
        <f>INDEX(Tabelle11[#All],Tabelle10[[#This Row],[Spalte1]]+14,Ranking!$AJ$2)</f>
        <v>93.069035981716212</v>
      </c>
    </row>
    <row r="245" spans="32:36" x14ac:dyDescent="0.25">
      <c r="AF245" s="29">
        <f>IF(IFERROR(Tabelle12[[#This Row],[Spiel]],0)=0,AF244+1,Tabelle12[[#This Row],[Spiel]])</f>
        <v>243</v>
      </c>
      <c r="AG245" s="29">
        <f>INDEX(Tabelle11[#All],Tabelle10[[#This Row],[Spalte1]]+14,Ranking!$AG$2)</f>
        <v>94.751934852087658</v>
      </c>
      <c r="AH245" s="29">
        <f>INDEX(Tabelle11[#All],Tabelle10[[#This Row],[Spalte1]]+14,$AH$2)</f>
        <v>89.124366469803178</v>
      </c>
      <c r="AI245" s="29">
        <f>INDEX(Tabelle11[#All],Tabelle10[[#This Row],[Spalte1]]+14,$AI$2)</f>
        <v>113.97664203575378</v>
      </c>
      <c r="AJ245" s="29">
        <f>INDEX(Tabelle11[#All],Tabelle10[[#This Row],[Spalte1]]+14,Ranking!$AJ$2)</f>
        <v>93.069035981716212</v>
      </c>
    </row>
    <row r="246" spans="32:36" x14ac:dyDescent="0.25">
      <c r="AF246" s="29">
        <f>IF(IFERROR(Tabelle12[[#This Row],[Spiel]],0)=0,AF245+1,Tabelle12[[#This Row],[Spiel]])</f>
        <v>244</v>
      </c>
      <c r="AG246" s="29">
        <f>INDEX(Tabelle11[#All],Tabelle10[[#This Row],[Spalte1]]+14,Ranking!$AG$2)</f>
        <v>94.751934852087658</v>
      </c>
      <c r="AH246" s="29">
        <f>INDEX(Tabelle11[#All],Tabelle10[[#This Row],[Spalte1]]+14,$AH$2)</f>
        <v>89.124366469803178</v>
      </c>
      <c r="AI246" s="29">
        <f>INDEX(Tabelle11[#All],Tabelle10[[#This Row],[Spalte1]]+14,$AI$2)</f>
        <v>113.97664203575378</v>
      </c>
      <c r="AJ246" s="29">
        <f>INDEX(Tabelle11[#All],Tabelle10[[#This Row],[Spalte1]]+14,Ranking!$AJ$2)</f>
        <v>93.069035981716212</v>
      </c>
    </row>
    <row r="247" spans="32:36" x14ac:dyDescent="0.25">
      <c r="AF247" s="29">
        <f>IF(IFERROR(Tabelle12[[#This Row],[Spiel]],0)=0,AF246+1,Tabelle12[[#This Row],[Spiel]])</f>
        <v>245</v>
      </c>
      <c r="AG247" s="29">
        <f>INDEX(Tabelle11[#All],Tabelle10[[#This Row],[Spalte1]]+14,Ranking!$AG$2)</f>
        <v>94.751934852087658</v>
      </c>
      <c r="AH247" s="29">
        <f>INDEX(Tabelle11[#All],Tabelle10[[#This Row],[Spalte1]]+14,$AH$2)</f>
        <v>89.124366469803178</v>
      </c>
      <c r="AI247" s="29">
        <f>INDEX(Tabelle11[#All],Tabelle10[[#This Row],[Spalte1]]+14,$AI$2)</f>
        <v>113.97664203575378</v>
      </c>
      <c r="AJ247" s="29">
        <f>INDEX(Tabelle11[#All],Tabelle10[[#This Row],[Spalte1]]+14,Ranking!$AJ$2)</f>
        <v>93.069035981716212</v>
      </c>
    </row>
    <row r="248" spans="32:36" x14ac:dyDescent="0.25">
      <c r="AF248" s="29">
        <f>IF(IFERROR(Tabelle12[[#This Row],[Spiel]],0)=0,AF247+1,Tabelle12[[#This Row],[Spiel]])</f>
        <v>246</v>
      </c>
      <c r="AG248" s="29">
        <f>INDEX(Tabelle11[#All],Tabelle10[[#This Row],[Spalte1]]+14,Ranking!$AG$2)</f>
        <v>94.751934852087658</v>
      </c>
      <c r="AH248" s="29">
        <f>INDEX(Tabelle11[#All],Tabelle10[[#This Row],[Spalte1]]+14,$AH$2)</f>
        <v>89.124366469803178</v>
      </c>
      <c r="AI248" s="29">
        <f>INDEX(Tabelle11[#All],Tabelle10[[#This Row],[Spalte1]]+14,$AI$2)</f>
        <v>113.97664203575378</v>
      </c>
      <c r="AJ248" s="29">
        <f>INDEX(Tabelle11[#All],Tabelle10[[#This Row],[Spalte1]]+14,Ranking!$AJ$2)</f>
        <v>93.069035981716212</v>
      </c>
    </row>
    <row r="249" spans="32:36" x14ac:dyDescent="0.25">
      <c r="AF249" s="29">
        <f>IF(IFERROR(Tabelle12[[#This Row],[Spiel]],0)=0,AF248+1,Tabelle12[[#This Row],[Spiel]])</f>
        <v>247</v>
      </c>
      <c r="AG249" s="29">
        <f>INDEX(Tabelle11[#All],Tabelle10[[#This Row],[Spalte1]]+14,Ranking!$AG$2)</f>
        <v>94.751934852087658</v>
      </c>
      <c r="AH249" s="29">
        <f>INDEX(Tabelle11[#All],Tabelle10[[#This Row],[Spalte1]]+14,$AH$2)</f>
        <v>89.124366469803178</v>
      </c>
      <c r="AI249" s="29">
        <f>INDEX(Tabelle11[#All],Tabelle10[[#This Row],[Spalte1]]+14,$AI$2)</f>
        <v>113.97664203575378</v>
      </c>
      <c r="AJ249" s="29">
        <f>INDEX(Tabelle11[#All],Tabelle10[[#This Row],[Spalte1]]+14,Ranking!$AJ$2)</f>
        <v>92.423017387826661</v>
      </c>
    </row>
    <row r="250" spans="32:36" x14ac:dyDescent="0.25">
      <c r="AF250" s="29">
        <f>IF(IFERROR(Tabelle12[[#This Row],[Spiel]],0)=0,AF249+1,Tabelle12[[#This Row],[Spiel]])</f>
        <v>248</v>
      </c>
      <c r="AG250" s="29">
        <f>INDEX(Tabelle11[#All],Tabelle10[[#This Row],[Spalte1]]+14,Ranking!$AG$2)</f>
        <v>94.751934852087658</v>
      </c>
      <c r="AH250" s="29">
        <f>INDEX(Tabelle11[#All],Tabelle10[[#This Row],[Spalte1]]+14,$AH$2)</f>
        <v>89.124366469803178</v>
      </c>
      <c r="AI250" s="29">
        <f>INDEX(Tabelle11[#All],Tabelle10[[#This Row],[Spalte1]]+14,$AI$2)</f>
        <v>113.97664203575378</v>
      </c>
      <c r="AJ250" s="29">
        <f>INDEX(Tabelle11[#All],Tabelle10[[#This Row],[Spalte1]]+14,Ranking!$AJ$2)</f>
        <v>91.310352209869691</v>
      </c>
    </row>
    <row r="251" spans="32:36" x14ac:dyDescent="0.25">
      <c r="AF251" s="29">
        <f>IF(IFERROR(Tabelle12[[#This Row],[Spiel]],0)=0,AF250+1,Tabelle12[[#This Row],[Spiel]])</f>
        <v>249</v>
      </c>
      <c r="AG251" s="29">
        <f>INDEX(Tabelle11[#All],Tabelle10[[#This Row],[Spalte1]]+14,Ranking!$AG$2)</f>
        <v>94.751934852087658</v>
      </c>
      <c r="AH251" s="29">
        <f>INDEX(Tabelle11[#All],Tabelle10[[#This Row],[Spalte1]]+14,$AH$2)</f>
        <v>89.124366469803178</v>
      </c>
      <c r="AI251" s="29">
        <f>INDEX(Tabelle11[#All],Tabelle10[[#This Row],[Spalte1]]+14,$AI$2)</f>
        <v>113.97664203575378</v>
      </c>
      <c r="AJ251" s="29">
        <f>INDEX(Tabelle11[#All],Tabelle10[[#This Row],[Spalte1]]+14,Ranking!$AJ$2)</f>
        <v>91.027864376356746</v>
      </c>
    </row>
    <row r="252" spans="32:36" x14ac:dyDescent="0.25">
      <c r="AF252" s="29">
        <f>IF(IFERROR(Tabelle12[[#This Row],[Spiel]],0)=0,AF251+1,Tabelle12[[#This Row],[Spiel]])</f>
        <v>250</v>
      </c>
      <c r="AG252" s="29">
        <f>INDEX(Tabelle11[#All],Tabelle10[[#This Row],[Spalte1]]+14,Ranking!$AG$2)</f>
        <v>94.751934852087658</v>
      </c>
      <c r="AH252" s="29">
        <f>INDEX(Tabelle11[#All],Tabelle10[[#This Row],[Spalte1]]+14,$AH$2)</f>
        <v>89.124366469803178</v>
      </c>
      <c r="AI252" s="29">
        <f>INDEX(Tabelle11[#All],Tabelle10[[#This Row],[Spalte1]]+14,$AI$2)</f>
        <v>113.97664203575378</v>
      </c>
      <c r="AJ252" s="29">
        <f>INDEX(Tabelle11[#All],Tabelle10[[#This Row],[Spalte1]]+14,Ranking!$AJ$2)</f>
        <v>90.803233822585213</v>
      </c>
    </row>
    <row r="253" spans="32:36" x14ac:dyDescent="0.25">
      <c r="AF253" s="29">
        <f>IF(IFERROR(Tabelle12[[#This Row],[Spiel]],0)=0,AF252+1,Tabelle12[[#This Row],[Spiel]])</f>
        <v>251</v>
      </c>
      <c r="AG253" s="29">
        <f>INDEX(Tabelle11[#All],Tabelle10[[#This Row],[Spalte1]]+14,Ranking!$AG$2)</f>
        <v>94.751934852087658</v>
      </c>
      <c r="AH253" s="29">
        <f>INDEX(Tabelle11[#All],Tabelle10[[#This Row],[Spalte1]]+14,$AH$2)</f>
        <v>89.124366469803178</v>
      </c>
      <c r="AI253" s="29">
        <f>INDEX(Tabelle11[#All],Tabelle10[[#This Row],[Spalte1]]+14,$AI$2)</f>
        <v>113.97664203575378</v>
      </c>
      <c r="AJ253" s="29">
        <f>INDEX(Tabelle11[#All],Tabelle10[[#This Row],[Spalte1]]+14,Ranking!$AJ$2)</f>
        <v>90.803233822585213</v>
      </c>
    </row>
    <row r="254" spans="32:36" x14ac:dyDescent="0.25">
      <c r="AF254" s="29">
        <f>IF(IFERROR(Tabelle12[[#This Row],[Spiel]],0)=0,AF253+1,Tabelle12[[#This Row],[Spiel]])</f>
        <v>252</v>
      </c>
      <c r="AG254" s="29">
        <f>INDEX(Tabelle11[#All],Tabelle10[[#This Row],[Spalte1]]+14,Ranking!$AG$2)</f>
        <v>94.751934852087658</v>
      </c>
      <c r="AH254" s="29">
        <f>INDEX(Tabelle11[#All],Tabelle10[[#This Row],[Spalte1]]+14,$AH$2)</f>
        <v>89.124366469803178</v>
      </c>
      <c r="AI254" s="29">
        <f>INDEX(Tabelle11[#All],Tabelle10[[#This Row],[Spalte1]]+14,$AI$2)</f>
        <v>113.97664203575378</v>
      </c>
      <c r="AJ254" s="29">
        <f>INDEX(Tabelle11[#All],Tabelle10[[#This Row],[Spalte1]]+14,Ranking!$AJ$2)</f>
        <v>90.803233822585213</v>
      </c>
    </row>
    <row r="255" spans="32:36" x14ac:dyDescent="0.25">
      <c r="AF255" s="29">
        <f>IF(IFERROR(Tabelle12[[#This Row],[Spiel]],0)=0,AF254+1,Tabelle12[[#This Row],[Spiel]])</f>
        <v>253</v>
      </c>
      <c r="AG255" s="29">
        <f>INDEX(Tabelle11[#All],Tabelle10[[#This Row],[Spalte1]]+14,Ranking!$AG$2)</f>
        <v>94.751934852087658</v>
      </c>
      <c r="AH255" s="29">
        <f>INDEX(Tabelle11[#All],Tabelle10[[#This Row],[Spalte1]]+14,$AH$2)</f>
        <v>89.124366469803178</v>
      </c>
      <c r="AI255" s="29">
        <f>INDEX(Tabelle11[#All],Tabelle10[[#This Row],[Spalte1]]+14,$AI$2)</f>
        <v>114.07593258199644</v>
      </c>
      <c r="AJ255" s="29">
        <f>INDEX(Tabelle11[#All],Tabelle10[[#This Row],[Spalte1]]+14,Ranking!$AJ$2)</f>
        <v>90.927863778702701</v>
      </c>
    </row>
    <row r="256" spans="32:36" x14ac:dyDescent="0.25">
      <c r="AF256" s="29">
        <f>IF(IFERROR(Tabelle12[[#This Row],[Spiel]],0)=0,AF255+1,Tabelle12[[#This Row],[Spiel]])</f>
        <v>254</v>
      </c>
      <c r="AG256" s="29">
        <f>INDEX(Tabelle11[#All],Tabelle10[[#This Row],[Spalte1]]+14,Ranking!$AG$2)</f>
        <v>94.751934852087658</v>
      </c>
      <c r="AH256" s="29">
        <f>INDEX(Tabelle11[#All],Tabelle10[[#This Row],[Spalte1]]+14,$AH$2)</f>
        <v>89.124366469803178</v>
      </c>
      <c r="AI256" s="29">
        <f>INDEX(Tabelle11[#All],Tabelle10[[#This Row],[Spalte1]]+14,$AI$2)</f>
        <v>115.28797022820102</v>
      </c>
      <c r="AJ256" s="29">
        <f>INDEX(Tabelle11[#All],Tabelle10[[#This Row],[Spalte1]]+14,Ranking!$AJ$2)</f>
        <v>92.448457346718101</v>
      </c>
    </row>
    <row r="257" spans="32:36" x14ac:dyDescent="0.25">
      <c r="AF257" s="29">
        <f>IF(IFERROR(Tabelle12[[#This Row],[Spiel]],0)=0,AF256+1,Tabelle12[[#This Row],[Spiel]])</f>
        <v>255</v>
      </c>
      <c r="AG257" s="29">
        <f>INDEX(Tabelle11[#All],Tabelle10[[#This Row],[Spalte1]]+14,Ranking!$AG$2)</f>
        <v>94.751934852087658</v>
      </c>
      <c r="AH257" s="29">
        <f>INDEX(Tabelle11[#All],Tabelle10[[#This Row],[Spalte1]]+14,$AH$2)</f>
        <v>89.124366469803178</v>
      </c>
      <c r="AI257" s="29">
        <f>INDEX(Tabelle11[#All],Tabelle10[[#This Row],[Spalte1]]+14,$AI$2)</f>
        <v>115.28797022820102</v>
      </c>
      <c r="AJ257" s="29">
        <f>INDEX(Tabelle11[#All],Tabelle10[[#This Row],[Spalte1]]+14,Ranking!$AJ$2)</f>
        <v>92.448457346718101</v>
      </c>
    </row>
    <row r="258" spans="32:36" x14ac:dyDescent="0.25">
      <c r="AF258" s="29">
        <f>IF(IFERROR(Tabelle12[[#This Row],[Spiel]],0)=0,AF257+1,Tabelle12[[#This Row],[Spiel]])</f>
        <v>256</v>
      </c>
      <c r="AG258" s="29">
        <f>INDEX(Tabelle11[#All],Tabelle10[[#This Row],[Spalte1]]+14,Ranking!$AG$2)</f>
        <v>94.751934852087658</v>
      </c>
      <c r="AH258" s="29">
        <f>INDEX(Tabelle11[#All],Tabelle10[[#This Row],[Spalte1]]+14,$AH$2)</f>
        <v>89.124366469803178</v>
      </c>
      <c r="AI258" s="29">
        <f>INDEX(Tabelle11[#All],Tabelle10[[#This Row],[Spalte1]]+14,$AI$2)</f>
        <v>115.28797022820102</v>
      </c>
      <c r="AJ258" s="29">
        <f>INDEX(Tabelle11[#All],Tabelle10[[#This Row],[Spalte1]]+14,Ranking!$AJ$2)</f>
        <v>92.448457346718101</v>
      </c>
    </row>
    <row r="259" spans="32:36" x14ac:dyDescent="0.25">
      <c r="AF259" s="29">
        <f>IF(IFERROR(Tabelle12[[#This Row],[Spiel]],0)=0,AF258+1,Tabelle12[[#This Row],[Spiel]])</f>
        <v>257</v>
      </c>
      <c r="AG259" s="29">
        <f>INDEX(Tabelle11[#All],Tabelle10[[#This Row],[Spalte1]]+14,Ranking!$AG$2)</f>
        <v>94.751934852087658</v>
      </c>
      <c r="AH259" s="29">
        <f>INDEX(Tabelle11[#All],Tabelle10[[#This Row],[Spalte1]]+14,$AH$2)</f>
        <v>89.124366469803178</v>
      </c>
      <c r="AI259" s="29">
        <f>INDEX(Tabelle11[#All],Tabelle10[[#This Row],[Spalte1]]+14,$AI$2)</f>
        <v>114.73694674609409</v>
      </c>
      <c r="AJ259" s="29">
        <f>INDEX(Tabelle11[#All],Tabelle10[[#This Row],[Spalte1]]+14,Ranking!$AJ$2)</f>
        <v>92.006596233353278</v>
      </c>
    </row>
    <row r="260" spans="32:36" x14ac:dyDescent="0.25">
      <c r="AF260" s="29">
        <f>IF(IFERROR(Tabelle12[[#This Row],[Spiel]],0)=0,AF259+1,Tabelle12[[#This Row],[Spiel]])</f>
        <v>258</v>
      </c>
      <c r="AG260" s="29">
        <f>INDEX(Tabelle11[#All],Tabelle10[[#This Row],[Spalte1]]+14,Ranking!$AG$2)</f>
        <v>94.751934852087658</v>
      </c>
      <c r="AH260" s="29">
        <f>INDEX(Tabelle11[#All],Tabelle10[[#This Row],[Spalte1]]+14,$AH$2)</f>
        <v>89.124366469803178</v>
      </c>
      <c r="AI260" s="29">
        <f>INDEX(Tabelle11[#All],Tabelle10[[#This Row],[Spalte1]]+14,$AI$2)</f>
        <v>114.02034665253744</v>
      </c>
      <c r="AJ260" s="29">
        <f>INDEX(Tabelle11[#All],Tabelle10[[#This Row],[Spalte1]]+14,Ranking!$AJ$2)</f>
        <v>91.43196062260661</v>
      </c>
    </row>
    <row r="261" spans="32:36" x14ac:dyDescent="0.25">
      <c r="AF261" s="29">
        <f>IF(IFERROR(Tabelle12[[#This Row],[Spiel]],0)=0,AF260+1,Tabelle12[[#This Row],[Spiel]])</f>
        <v>259</v>
      </c>
      <c r="AG261" s="29">
        <f>INDEX(Tabelle11[#All],Tabelle10[[#This Row],[Spalte1]]+14,Ranking!$AG$2)</f>
        <v>94.751934852087658</v>
      </c>
      <c r="AH261" s="29">
        <f>INDEX(Tabelle11[#All],Tabelle10[[#This Row],[Spalte1]]+14,$AH$2)</f>
        <v>89.124366469803178</v>
      </c>
      <c r="AI261" s="29">
        <f>INDEX(Tabelle11[#All],Tabelle10[[#This Row],[Spalte1]]+14,$AI$2)</f>
        <v>114.02034665253744</v>
      </c>
      <c r="AJ261" s="29">
        <f>INDEX(Tabelle11[#All],Tabelle10[[#This Row],[Spalte1]]+14,Ranking!$AJ$2)</f>
        <v>91.43196062260661</v>
      </c>
    </row>
    <row r="262" spans="32:36" x14ac:dyDescent="0.25">
      <c r="AF262" s="29">
        <f>IF(IFERROR(Tabelle12[[#This Row],[Spiel]],0)=0,AF261+1,Tabelle12[[#This Row],[Spiel]])</f>
        <v>260</v>
      </c>
      <c r="AG262" s="29">
        <f>INDEX(Tabelle11[#All],Tabelle10[[#This Row],[Spalte1]]+14,Ranking!$AG$2)</f>
        <v>94.751934852087658</v>
      </c>
      <c r="AH262" s="29">
        <f>INDEX(Tabelle11[#All],Tabelle10[[#This Row],[Spalte1]]+14,$AH$2)</f>
        <v>89.124366469803178</v>
      </c>
      <c r="AI262" s="29">
        <f>INDEX(Tabelle11[#All],Tabelle10[[#This Row],[Spalte1]]+14,$AI$2)</f>
        <v>114.02034665253744</v>
      </c>
      <c r="AJ262" s="29">
        <f>INDEX(Tabelle11[#All],Tabelle10[[#This Row],[Spalte1]]+14,Ranking!$AJ$2)</f>
        <v>91.43196062260661</v>
      </c>
    </row>
    <row r="263" spans="32:36" x14ac:dyDescent="0.25">
      <c r="AF263" s="29">
        <f>IF(IFERROR(Tabelle12[[#This Row],[Spiel]],0)=0,AF262+1,Tabelle12[[#This Row],[Spiel]])</f>
        <v>261</v>
      </c>
      <c r="AG263" s="29">
        <f>INDEX(Tabelle11[#All],Tabelle10[[#This Row],[Spalte1]]+14,Ranking!$AG$2)</f>
        <v>94.751934852087658</v>
      </c>
      <c r="AH263" s="29">
        <f>INDEX(Tabelle11[#All],Tabelle10[[#This Row],[Spalte1]]+14,$AH$2)</f>
        <v>89.412388908288605</v>
      </c>
      <c r="AI263" s="29">
        <f>INDEX(Tabelle11[#All],Tabelle10[[#This Row],[Spalte1]]+14,$AI$2)</f>
        <v>114.02034665253744</v>
      </c>
      <c r="AJ263" s="29">
        <f>INDEX(Tabelle11[#All],Tabelle10[[#This Row],[Spalte1]]+14,Ranking!$AJ$2)</f>
        <v>91.43196062260661</v>
      </c>
    </row>
    <row r="264" spans="32:36" x14ac:dyDescent="0.25">
      <c r="AF264" s="29">
        <f>IF(IFERROR(Tabelle12[[#This Row],[Spiel]],0)=0,AF263+1,Tabelle12[[#This Row],[Spiel]])</f>
        <v>262</v>
      </c>
      <c r="AG264" s="29">
        <f>INDEX(Tabelle11[#All],Tabelle10[[#This Row],[Spalte1]]+14,Ranking!$AG$2)</f>
        <v>94.751934852087658</v>
      </c>
      <c r="AH264" s="29">
        <f>INDEX(Tabelle11[#All],Tabelle10[[#This Row],[Spalte1]]+14,$AH$2)</f>
        <v>90.004021470920136</v>
      </c>
      <c r="AI264" s="29">
        <f>INDEX(Tabelle11[#All],Tabelle10[[#This Row],[Spalte1]]+14,$AI$2)</f>
        <v>114.02034665253744</v>
      </c>
      <c r="AJ264" s="29">
        <f>INDEX(Tabelle11[#All],Tabelle10[[#This Row],[Spalte1]]+14,Ranking!$AJ$2)</f>
        <v>91.43196062260661</v>
      </c>
    </row>
    <row r="265" spans="32:36" x14ac:dyDescent="0.25">
      <c r="AF265" s="29">
        <f>IF(IFERROR(Tabelle12[[#This Row],[Spiel]],0)=0,AF264+1,Tabelle12[[#This Row],[Spiel]])</f>
        <v>263</v>
      </c>
      <c r="AG265" s="29">
        <f>INDEX(Tabelle11[#All],Tabelle10[[#This Row],[Spalte1]]+14,Ranking!$AG$2)</f>
        <v>94.751934852087658</v>
      </c>
      <c r="AH265" s="29">
        <f>INDEX(Tabelle11[#All],Tabelle10[[#This Row],[Spalte1]]+14,$AH$2)</f>
        <v>90.004021470920136</v>
      </c>
      <c r="AI265" s="29">
        <f>INDEX(Tabelle11[#All],Tabelle10[[#This Row],[Spalte1]]+14,$AI$2)</f>
        <v>113.63732942732678</v>
      </c>
      <c r="AJ265" s="29">
        <f>INDEX(Tabelle11[#All],Tabelle10[[#This Row],[Spalte1]]+14,Ranking!$AJ$2)</f>
        <v>91.124822318949626</v>
      </c>
    </row>
    <row r="266" spans="32:36" x14ac:dyDescent="0.25">
      <c r="AF266" s="29">
        <f>IF(IFERROR(Tabelle12[[#This Row],[Spiel]],0)=0,AF265+1,Tabelle12[[#This Row],[Spiel]])</f>
        <v>264</v>
      </c>
      <c r="AG266" s="29">
        <f>INDEX(Tabelle11[#All],Tabelle10[[#This Row],[Spalte1]]+14,Ranking!$AG$2)</f>
        <v>94.751934852087658</v>
      </c>
      <c r="AH266" s="29">
        <f>INDEX(Tabelle11[#All],Tabelle10[[#This Row],[Spalte1]]+14,$AH$2)</f>
        <v>90.004021470920136</v>
      </c>
      <c r="AI266" s="29">
        <f>INDEX(Tabelle11[#All],Tabelle10[[#This Row],[Spalte1]]+14,$AI$2)</f>
        <v>111.75344828458302</v>
      </c>
      <c r="AJ266" s="29">
        <f>INDEX(Tabelle11[#All],Tabelle10[[#This Row],[Spalte1]]+14,Ranking!$AJ$2)</f>
        <v>89.614153815319128</v>
      </c>
    </row>
    <row r="267" spans="32:36" x14ac:dyDescent="0.25">
      <c r="AF267" s="29">
        <f>IF(IFERROR(Tabelle12[[#This Row],[Spiel]],0)=0,AF266+1,Tabelle12[[#This Row],[Spiel]])</f>
        <v>265</v>
      </c>
      <c r="AG267" s="29">
        <f>INDEX(Tabelle11[#All],Tabelle10[[#This Row],[Spalte1]]+14,Ranking!$AG$2)</f>
        <v>94.751934852087658</v>
      </c>
      <c r="AH267" s="29">
        <f>INDEX(Tabelle11[#All],Tabelle10[[#This Row],[Spalte1]]+14,$AH$2)</f>
        <v>90.004021470920136</v>
      </c>
      <c r="AI267" s="29">
        <f>INDEX(Tabelle11[#All],Tabelle10[[#This Row],[Spalte1]]+14,$AI$2)</f>
        <v>111.96646298744147</v>
      </c>
      <c r="AJ267" s="29">
        <f>INDEX(Tabelle11[#All],Tabelle10[[#This Row],[Spalte1]]+14,Ranking!$AJ$2)</f>
        <v>89.614153815319128</v>
      </c>
    </row>
    <row r="268" spans="32:36" x14ac:dyDescent="0.25">
      <c r="AF268" s="29">
        <f>IF(IFERROR(Tabelle12[[#This Row],[Spiel]],0)=0,AF267+1,Tabelle12[[#This Row],[Spiel]])</f>
        <v>266</v>
      </c>
      <c r="AG268" s="29">
        <f>INDEX(Tabelle11[#All],Tabelle10[[#This Row],[Spalte1]]+14,Ranking!$AG$2)</f>
        <v>94.751934852087658</v>
      </c>
      <c r="AH268" s="29">
        <f>INDEX(Tabelle11[#All],Tabelle10[[#This Row],[Spalte1]]+14,$AH$2)</f>
        <v>90.004021470920136</v>
      </c>
      <c r="AI268" s="29">
        <f>INDEX(Tabelle11[#All],Tabelle10[[#This Row],[Spalte1]]+14,$AI$2)</f>
        <v>111.6742412765127</v>
      </c>
      <c r="AJ268" s="29">
        <f>INDEX(Tabelle11[#All],Tabelle10[[#This Row],[Spalte1]]+14,Ranking!$AJ$2)</f>
        <v>89.614153815319128</v>
      </c>
    </row>
    <row r="269" spans="32:36" x14ac:dyDescent="0.25">
      <c r="AF269" s="29">
        <f>IF(IFERROR(Tabelle12[[#This Row],[Spiel]],0)=0,AF268+1,Tabelle12[[#This Row],[Spiel]])</f>
        <v>267</v>
      </c>
      <c r="AG269" s="29">
        <f>INDEX(Tabelle11[#All],Tabelle10[[#This Row],[Spalte1]]+14,Ranking!$AG$2)</f>
        <v>95.130077345693593</v>
      </c>
      <c r="AH269" s="29">
        <f>INDEX(Tabelle11[#All],Tabelle10[[#This Row],[Spalte1]]+14,$AH$2)</f>
        <v>90.402111826588666</v>
      </c>
      <c r="AI269" s="29">
        <f>INDEX(Tabelle11[#All],Tabelle10[[#This Row],[Spalte1]]+14,$AI$2)</f>
        <v>111.6742412765127</v>
      </c>
      <c r="AJ269" s="29">
        <f>INDEX(Tabelle11[#All],Tabelle10[[#This Row],[Spalte1]]+14,Ranking!$AJ$2)</f>
        <v>89.255342100988642</v>
      </c>
    </row>
    <row r="270" spans="32:36" x14ac:dyDescent="0.25">
      <c r="AF270" s="29">
        <f>IF(IFERROR(Tabelle12[[#This Row],[Spiel]],0)=0,AF269+1,Tabelle12[[#This Row],[Spiel]])</f>
        <v>268</v>
      </c>
      <c r="AG270" s="29">
        <f>INDEX(Tabelle11[#All],Tabelle10[[#This Row],[Spalte1]]+14,Ranking!$AG$2)</f>
        <v>94.812915116027355</v>
      </c>
      <c r="AH270" s="29">
        <f>INDEX(Tabelle11[#All],Tabelle10[[#This Row],[Spalte1]]+14,$AH$2)</f>
        <v>90.100712561987365</v>
      </c>
      <c r="AI270" s="29">
        <f>INDEX(Tabelle11[#All],Tabelle10[[#This Row],[Spalte1]]+14,$AI$2)</f>
        <v>111.6742412765127</v>
      </c>
      <c r="AJ270" s="29">
        <f>INDEX(Tabelle11[#All],Tabelle10[[#This Row],[Spalte1]]+14,Ranking!$AJ$2)</f>
        <v>89.587975074729883</v>
      </c>
    </row>
    <row r="271" spans="32:36" x14ac:dyDescent="0.25">
      <c r="AF271" s="29">
        <f>IF(IFERROR(Tabelle12[[#This Row],[Spiel]],0)=0,AF270+1,Tabelle12[[#This Row],[Spiel]])</f>
        <v>269</v>
      </c>
      <c r="AG271" s="29">
        <f>INDEX(Tabelle11[#All],Tabelle10[[#This Row],[Spalte1]]+14,Ranking!$AG$2)</f>
        <v>94.812915116027355</v>
      </c>
      <c r="AH271" s="29">
        <f>INDEX(Tabelle11[#All],Tabelle10[[#This Row],[Spalte1]]+14,$AH$2)</f>
        <v>90.100712561987365</v>
      </c>
      <c r="AI271" s="29">
        <f>INDEX(Tabelle11[#All],Tabelle10[[#This Row],[Spalte1]]+14,$AI$2)</f>
        <v>111.6742412765127</v>
      </c>
      <c r="AJ271" s="29">
        <f>INDEX(Tabelle11[#All],Tabelle10[[#This Row],[Spalte1]]+14,Ranking!$AJ$2)</f>
        <v>89.587975074729883</v>
      </c>
    </row>
    <row r="272" spans="32:36" x14ac:dyDescent="0.25">
      <c r="AF272" s="29">
        <f>IF(IFERROR(Tabelle12[[#This Row],[Spiel]],0)=0,AF271+1,Tabelle12[[#This Row],[Spiel]])</f>
        <v>270</v>
      </c>
      <c r="AG272" s="29">
        <f>INDEX(Tabelle11[#All],Tabelle10[[#This Row],[Spalte1]]+14,Ranking!$AG$2)</f>
        <v>94.812915116027355</v>
      </c>
      <c r="AH272" s="29">
        <f>INDEX(Tabelle11[#All],Tabelle10[[#This Row],[Spalte1]]+14,$AH$2)</f>
        <v>90.100712561987365</v>
      </c>
      <c r="AI272" s="29">
        <f>INDEX(Tabelle11[#All],Tabelle10[[#This Row],[Spalte1]]+14,$AI$2)</f>
        <v>111.6742412765127</v>
      </c>
      <c r="AJ272" s="29">
        <f>INDEX(Tabelle11[#All],Tabelle10[[#This Row],[Spalte1]]+14,Ranking!$AJ$2)</f>
        <v>89.587975074729883</v>
      </c>
    </row>
    <row r="273" spans="32:36" x14ac:dyDescent="0.25">
      <c r="AF273" s="29">
        <f>IF(IFERROR(Tabelle12[[#This Row],[Spiel]],0)=0,AF272+1,Tabelle12[[#This Row],[Spiel]])</f>
        <v>271</v>
      </c>
      <c r="AG273" s="29">
        <f>INDEX(Tabelle11[#All],Tabelle10[[#This Row],[Spalte1]]+14,Ranking!$AG$2)</f>
        <v>94.00252266250115</v>
      </c>
      <c r="AH273" s="29">
        <f>INDEX(Tabelle11[#All],Tabelle10[[#This Row],[Spalte1]]+14,$AH$2)</f>
        <v>90.100712561987365</v>
      </c>
      <c r="AI273" s="29">
        <f>INDEX(Tabelle11[#All],Tabelle10[[#This Row],[Spalte1]]+14,$AI$2)</f>
        <v>111.6742412765127</v>
      </c>
      <c r="AJ273" s="29">
        <f>INDEX(Tabelle11[#All],Tabelle10[[#This Row],[Spalte1]]+14,Ranking!$AJ$2)</f>
        <v>89.587975074729883</v>
      </c>
    </row>
    <row r="274" spans="32:36" x14ac:dyDescent="0.25">
      <c r="AF274" s="29">
        <f>IF(IFERROR(Tabelle12[[#This Row],[Spiel]],0)=0,AF273+1,Tabelle12[[#This Row],[Spiel]])</f>
        <v>272</v>
      </c>
      <c r="AG274" s="29">
        <f>INDEX(Tabelle11[#All],Tabelle10[[#This Row],[Spalte1]]+14,Ranking!$AG$2)</f>
        <v>93.3751879919229</v>
      </c>
      <c r="AH274" s="29">
        <f>INDEX(Tabelle11[#All],Tabelle10[[#This Row],[Spalte1]]+14,$AH$2)</f>
        <v>90.100712561987365</v>
      </c>
      <c r="AI274" s="29">
        <f>INDEX(Tabelle11[#All],Tabelle10[[#This Row],[Spalte1]]+14,$AI$2)</f>
        <v>111.6742412765127</v>
      </c>
      <c r="AJ274" s="29">
        <f>INDEX(Tabelle11[#All],Tabelle10[[#This Row],[Spalte1]]+14,Ranking!$AJ$2)</f>
        <v>89.587975074729883</v>
      </c>
    </row>
    <row r="275" spans="32:36" x14ac:dyDescent="0.25">
      <c r="AF275" s="29">
        <f>IF(IFERROR(Tabelle12[[#This Row],[Spiel]],0)=0,AF274+1,Tabelle12[[#This Row],[Spiel]])</f>
        <v>273</v>
      </c>
      <c r="AG275" s="29">
        <f>INDEX(Tabelle11[#All],Tabelle10[[#This Row],[Spalte1]]+14,Ranking!$AG$2)</f>
        <v>93.3751879919229</v>
      </c>
      <c r="AH275" s="29">
        <f>INDEX(Tabelle11[#All],Tabelle10[[#This Row],[Spalte1]]+14,$AH$2)</f>
        <v>90.100712561987365</v>
      </c>
      <c r="AI275" s="29">
        <f>INDEX(Tabelle11[#All],Tabelle10[[#This Row],[Spalte1]]+14,$AI$2)</f>
        <v>110.20015428202967</v>
      </c>
      <c r="AJ275" s="29">
        <f>INDEX(Tabelle11[#All],Tabelle10[[#This Row],[Spalte1]]+14,Ranking!$AJ$2)</f>
        <v>91.045345328368953</v>
      </c>
    </row>
    <row r="276" spans="32:36" x14ac:dyDescent="0.25">
      <c r="AF276" s="29">
        <f>IF(IFERROR(Tabelle12[[#This Row],[Spiel]],0)=0,AF275+1,Tabelle12[[#This Row],[Spiel]])</f>
        <v>274</v>
      </c>
      <c r="AG276" s="29">
        <f>INDEX(Tabelle11[#All],Tabelle10[[#This Row],[Spalte1]]+14,Ranking!$AG$2)</f>
        <v>93.3751879919229</v>
      </c>
      <c r="AH276" s="29">
        <f>INDEX(Tabelle11[#All],Tabelle10[[#This Row],[Spalte1]]+14,$AH$2)</f>
        <v>90.100712561987365</v>
      </c>
      <c r="AI276" s="29">
        <f>INDEX(Tabelle11[#All],Tabelle10[[#This Row],[Spalte1]]+14,$AI$2)</f>
        <v>110.10001653226699</v>
      </c>
      <c r="AJ276" s="29">
        <f>INDEX(Tabelle11[#All],Tabelle10[[#This Row],[Spalte1]]+14,Ranking!$AJ$2)</f>
        <v>91.144204380009242</v>
      </c>
    </row>
    <row r="277" spans="32:36" x14ac:dyDescent="0.25">
      <c r="AF277" s="29">
        <f>IF(IFERROR(Tabelle12[[#This Row],[Spiel]],0)=0,AF276+1,Tabelle12[[#This Row],[Spiel]])</f>
        <v>275</v>
      </c>
      <c r="AG277" s="29">
        <f>INDEX(Tabelle11[#All],Tabelle10[[#This Row],[Spalte1]]+14,Ranking!$AG$2)</f>
        <v>93.3751879919229</v>
      </c>
      <c r="AH277" s="29">
        <f>INDEX(Tabelle11[#All],Tabelle10[[#This Row],[Spalte1]]+14,$AH$2)</f>
        <v>90.100712561987365</v>
      </c>
      <c r="AI277" s="29">
        <f>INDEX(Tabelle11[#All],Tabelle10[[#This Row],[Spalte1]]+14,$AI$2)</f>
        <v>110.10001653226699</v>
      </c>
      <c r="AJ277" s="29">
        <f>INDEX(Tabelle11[#All],Tabelle10[[#This Row],[Spalte1]]+14,Ranking!$AJ$2)</f>
        <v>91.144204380009242</v>
      </c>
    </row>
    <row r="278" spans="32:36" x14ac:dyDescent="0.25">
      <c r="AF278" s="29">
        <f>IF(IFERROR(Tabelle12[[#This Row],[Spiel]],0)=0,AF277+1,Tabelle12[[#This Row],[Spiel]])</f>
        <v>276</v>
      </c>
      <c r="AG278" s="29">
        <f>INDEX(Tabelle11[#All],Tabelle10[[#This Row],[Spalte1]]+14,Ranking!$AG$2)</f>
        <v>93.3751879919229</v>
      </c>
      <c r="AH278" s="29">
        <f>INDEX(Tabelle11[#All],Tabelle10[[#This Row],[Spalte1]]+14,$AH$2)</f>
        <v>90.100712561987365</v>
      </c>
      <c r="AI278" s="29">
        <f>INDEX(Tabelle11[#All],Tabelle10[[#This Row],[Spalte1]]+14,$AI$2)</f>
        <v>110.10001653226699</v>
      </c>
      <c r="AJ278" s="29">
        <f>INDEX(Tabelle11[#All],Tabelle10[[#This Row],[Spalte1]]+14,Ranking!$AJ$2)</f>
        <v>91.144204380009242</v>
      </c>
    </row>
    <row r="279" spans="32:36" x14ac:dyDescent="0.25">
      <c r="AF279" s="29">
        <f>IF(IFERROR(Tabelle12[[#This Row],[Spiel]],0)=0,AF278+1,Tabelle12[[#This Row],[Spiel]])</f>
        <v>277</v>
      </c>
      <c r="AG279" s="29">
        <f>INDEX(Tabelle11[#All],Tabelle10[[#This Row],[Spalte1]]+14,Ranking!$AG$2)</f>
        <v>94.21366324134641</v>
      </c>
      <c r="AH279" s="29">
        <f>INDEX(Tabelle11[#All],Tabelle10[[#This Row],[Spalte1]]+14,$AH$2)</f>
        <v>90.100712561987365</v>
      </c>
      <c r="AI279" s="29">
        <f>INDEX(Tabelle11[#All],Tabelle10[[#This Row],[Spalte1]]+14,$AI$2)</f>
        <v>110.10001653226699</v>
      </c>
      <c r="AJ279" s="29">
        <f>INDEX(Tabelle11[#All],Tabelle10[[#This Row],[Spalte1]]+14,Ranking!$AJ$2)</f>
        <v>91.144204380009242</v>
      </c>
    </row>
    <row r="280" spans="32:36" x14ac:dyDescent="0.25">
      <c r="AF280" s="29">
        <f>IF(IFERROR(Tabelle12[[#This Row],[Spiel]],0)=0,AF279+1,Tabelle12[[#This Row],[Spiel]])</f>
        <v>278</v>
      </c>
      <c r="AG280" s="29">
        <f>INDEX(Tabelle11[#All],Tabelle10[[#This Row],[Spalte1]]+14,Ranking!$AG$2)</f>
        <v>93.643142298095242</v>
      </c>
      <c r="AH280" s="29">
        <f>INDEX(Tabelle11[#All],Tabelle10[[#This Row],[Spalte1]]+14,$AH$2)</f>
        <v>90.100712561987365</v>
      </c>
      <c r="AI280" s="29">
        <f>INDEX(Tabelle11[#All],Tabelle10[[#This Row],[Spalte1]]+14,$AI$2)</f>
        <v>110.10001653226699</v>
      </c>
      <c r="AJ280" s="29">
        <f>INDEX(Tabelle11[#All],Tabelle10[[#This Row],[Spalte1]]+14,Ranking!$AJ$2)</f>
        <v>91.144204380009242</v>
      </c>
    </row>
    <row r="281" spans="32:36" x14ac:dyDescent="0.25">
      <c r="AF281" s="29">
        <f>IF(IFERROR(Tabelle12[[#This Row],[Spiel]],0)=0,AF280+1,Tabelle12[[#This Row],[Spiel]])</f>
        <v>279</v>
      </c>
      <c r="AG281" s="29">
        <f>INDEX(Tabelle11[#All],Tabelle10[[#This Row],[Spalte1]]+14,Ranking!$AG$2)</f>
        <v>90.395296406087425</v>
      </c>
      <c r="AH281" s="29">
        <f>INDEX(Tabelle11[#All],Tabelle10[[#This Row],[Spalte1]]+14,$AH$2)</f>
        <v>90.100712561987365</v>
      </c>
      <c r="AI281" s="29">
        <f>INDEX(Tabelle11[#All],Tabelle10[[#This Row],[Spalte1]]+14,$AI$2)</f>
        <v>110.10001653226699</v>
      </c>
      <c r="AJ281" s="29">
        <f>INDEX(Tabelle11[#All],Tabelle10[[#This Row],[Spalte1]]+14,Ranking!$AJ$2)</f>
        <v>94.787248867423443</v>
      </c>
    </row>
    <row r="282" spans="32:36" x14ac:dyDescent="0.25">
      <c r="AF282" s="29">
        <f>IF(IFERROR(Tabelle12[[#This Row],[Spiel]],0)=0,AF281+1,Tabelle12[[#This Row],[Spiel]])</f>
        <v>280</v>
      </c>
      <c r="AG282" s="29">
        <f>INDEX(Tabelle11[#All],Tabelle10[[#This Row],[Spalte1]]+14,Ranking!$AG$2)</f>
        <v>90.775354036476685</v>
      </c>
      <c r="AH282" s="29">
        <f>INDEX(Tabelle11[#All],Tabelle10[[#This Row],[Spalte1]]+14,$AH$2)</f>
        <v>90.100712561987365</v>
      </c>
      <c r="AI282" s="29">
        <f>INDEX(Tabelle11[#All],Tabelle10[[#This Row],[Spalte1]]+14,$AI$2)</f>
        <v>110.10001653226699</v>
      </c>
      <c r="AJ282" s="29">
        <f>INDEX(Tabelle11[#All],Tabelle10[[#This Row],[Spalte1]]+14,Ranking!$AJ$2)</f>
        <v>94.446410988605749</v>
      </c>
    </row>
    <row r="283" spans="32:36" x14ac:dyDescent="0.25">
      <c r="AF283" s="29">
        <f>IF(IFERROR(Tabelle12[[#This Row],[Spiel]],0)=0,AF282+1,Tabelle12[[#This Row],[Spiel]])</f>
        <v>281</v>
      </c>
      <c r="AG283" s="29">
        <f>INDEX(Tabelle11[#All],Tabelle10[[#This Row],[Spalte1]]+14,Ranking!$AG$2)</f>
        <v>90.775354036476685</v>
      </c>
      <c r="AH283" s="29">
        <f>INDEX(Tabelle11[#All],Tabelle10[[#This Row],[Spalte1]]+14,$AH$2)</f>
        <v>90.100712561987365</v>
      </c>
      <c r="AI283" s="29">
        <f>INDEX(Tabelle11[#All],Tabelle10[[#This Row],[Spalte1]]+14,$AI$2)</f>
        <v>110.10001653226699</v>
      </c>
      <c r="AJ283" s="29">
        <f>INDEX(Tabelle11[#All],Tabelle10[[#This Row],[Spalte1]]+14,Ranking!$AJ$2)</f>
        <v>94.446410988605749</v>
      </c>
    </row>
    <row r="284" spans="32:36" x14ac:dyDescent="0.25">
      <c r="AF284" s="29">
        <f>IF(IFERROR(Tabelle12[[#This Row],[Spiel]],0)=0,AF283+1,Tabelle12[[#This Row],[Spiel]])</f>
        <v>282</v>
      </c>
      <c r="AG284" s="29">
        <f>INDEX(Tabelle11[#All],Tabelle10[[#This Row],[Spalte1]]+14,Ranking!$AG$2)</f>
        <v>90.775354036476685</v>
      </c>
      <c r="AH284" s="29">
        <f>INDEX(Tabelle11[#All],Tabelle10[[#This Row],[Spalte1]]+14,$AH$2)</f>
        <v>90.100712561987365</v>
      </c>
      <c r="AI284" s="29">
        <f>INDEX(Tabelle11[#All],Tabelle10[[#This Row],[Spalte1]]+14,$AI$2)</f>
        <v>110.10001653226699</v>
      </c>
      <c r="AJ284" s="29">
        <f>INDEX(Tabelle11[#All],Tabelle10[[#This Row],[Spalte1]]+14,Ranking!$AJ$2)</f>
        <v>94.446410988605749</v>
      </c>
    </row>
    <row r="285" spans="32:36" x14ac:dyDescent="0.25">
      <c r="AF285" s="29">
        <f>IF(IFERROR(Tabelle12[[#This Row],[Spiel]],0)=0,AF284+1,Tabelle12[[#This Row],[Spiel]])</f>
        <v>283</v>
      </c>
      <c r="AG285" s="29">
        <f>INDEX(Tabelle11[#All],Tabelle10[[#This Row],[Spalte1]]+14,Ranking!$AG$2)</f>
        <v>90.775354036476685</v>
      </c>
      <c r="AH285" s="29">
        <f>INDEX(Tabelle11[#All],Tabelle10[[#This Row],[Spalte1]]+14,$AH$2)</f>
        <v>90.78701032680307</v>
      </c>
      <c r="AI285" s="29">
        <f>INDEX(Tabelle11[#All],Tabelle10[[#This Row],[Spalte1]]+14,$AI$2)</f>
        <v>110.10001653226699</v>
      </c>
      <c r="AJ285" s="29">
        <f>INDEX(Tabelle11[#All],Tabelle10[[#This Row],[Spalte1]]+14,Ranking!$AJ$2)</f>
        <v>94.446410988605749</v>
      </c>
    </row>
    <row r="286" spans="32:36" x14ac:dyDescent="0.25">
      <c r="AF286" s="29">
        <f>IF(IFERROR(Tabelle12[[#This Row],[Spiel]],0)=0,AF285+1,Tabelle12[[#This Row],[Spiel]])</f>
        <v>284</v>
      </c>
      <c r="AG286" s="29">
        <f>INDEX(Tabelle11[#All],Tabelle10[[#This Row],[Spalte1]]+14,Ranking!$AG$2)</f>
        <v>90.775354036476685</v>
      </c>
      <c r="AH286" s="29">
        <f>INDEX(Tabelle11[#All],Tabelle10[[#This Row],[Spalte1]]+14,$AH$2)</f>
        <v>91.692683674146281</v>
      </c>
      <c r="AI286" s="29">
        <f>INDEX(Tabelle11[#All],Tabelle10[[#This Row],[Spalte1]]+14,$AI$2)</f>
        <v>110.10001653226699</v>
      </c>
      <c r="AJ286" s="29">
        <f>INDEX(Tabelle11[#All],Tabelle10[[#This Row],[Spalte1]]+14,Ranking!$AJ$2)</f>
        <v>94.446410988605749</v>
      </c>
    </row>
    <row r="287" spans="32:36" x14ac:dyDescent="0.25">
      <c r="AF287" s="29">
        <f>IF(IFERROR(Tabelle12[[#This Row],[Spiel]],0)=0,AF286+1,Tabelle12[[#This Row],[Spiel]])</f>
        <v>285</v>
      </c>
      <c r="AG287" s="29">
        <f>INDEX(Tabelle11[#All],Tabelle10[[#This Row],[Spalte1]]+14,Ranking!$AG$2)</f>
        <v>90.775354036476685</v>
      </c>
      <c r="AH287" s="29">
        <f>INDEX(Tabelle11[#All],Tabelle10[[#This Row],[Spalte1]]+14,$AH$2)</f>
        <v>91.692683674146281</v>
      </c>
      <c r="AI287" s="29">
        <f>INDEX(Tabelle11[#All],Tabelle10[[#This Row],[Spalte1]]+14,$AI$2)</f>
        <v>110.10001653226699</v>
      </c>
      <c r="AJ287" s="29">
        <f>INDEX(Tabelle11[#All],Tabelle10[[#This Row],[Spalte1]]+14,Ranking!$AJ$2)</f>
        <v>94.27173282599334</v>
      </c>
    </row>
    <row r="288" spans="32:36" x14ac:dyDescent="0.25">
      <c r="AF288" s="29">
        <f>IF(IFERROR(Tabelle12[[#This Row],[Spiel]],0)=0,AF287+1,Tabelle12[[#This Row],[Spiel]])</f>
        <v>286</v>
      </c>
      <c r="AG288" s="29">
        <f>INDEX(Tabelle11[#All],Tabelle10[[#This Row],[Spalte1]]+14,Ranking!$AG$2)</f>
        <v>90.775354036476685</v>
      </c>
      <c r="AH288" s="29">
        <f>INDEX(Tabelle11[#All],Tabelle10[[#This Row],[Spalte1]]+14,$AH$2)</f>
        <v>91.692683674146281</v>
      </c>
      <c r="AI288" s="29">
        <f>INDEX(Tabelle11[#All],Tabelle10[[#This Row],[Spalte1]]+14,$AI$2)</f>
        <v>110.10001653226699</v>
      </c>
      <c r="AJ288" s="29">
        <f>INDEX(Tabelle11[#All],Tabelle10[[#This Row],[Spalte1]]+14,Ranking!$AJ$2)</f>
        <v>94.136638157776773</v>
      </c>
    </row>
    <row r="289" spans="32:36" x14ac:dyDescent="0.25">
      <c r="AF289" s="29">
        <f>IF(IFERROR(Tabelle12[[#This Row],[Spiel]],0)=0,AF288+1,Tabelle12[[#This Row],[Spiel]])</f>
        <v>287</v>
      </c>
      <c r="AG289" s="29">
        <f>INDEX(Tabelle11[#All],Tabelle10[[#This Row],[Spalte1]]+14,Ranking!$AG$2)</f>
        <v>90.775354036476685</v>
      </c>
      <c r="AH289" s="29">
        <f>INDEX(Tabelle11[#All],Tabelle10[[#This Row],[Spalte1]]+14,$AH$2)</f>
        <v>91.692683674146281</v>
      </c>
      <c r="AI289" s="29">
        <f>INDEX(Tabelle11[#All],Tabelle10[[#This Row],[Spalte1]]+14,$AI$2)</f>
        <v>110.30661058735031</v>
      </c>
      <c r="AJ289" s="29">
        <f>INDEX(Tabelle11[#All],Tabelle10[[#This Row],[Spalte1]]+14,Ranking!$AJ$2)</f>
        <v>94.37826574641042</v>
      </c>
    </row>
    <row r="290" spans="32:36" x14ac:dyDescent="0.25">
      <c r="AF290" s="29">
        <f>IF(IFERROR(Tabelle12[[#This Row],[Spiel]],0)=0,AF289+1,Tabelle12[[#This Row],[Spiel]])</f>
        <v>288</v>
      </c>
      <c r="AG290" s="29">
        <f>INDEX(Tabelle11[#All],Tabelle10[[#This Row],[Spalte1]]+14,Ranking!$AG$2)</f>
        <v>90.775354036476685</v>
      </c>
      <c r="AH290" s="29">
        <f>INDEX(Tabelle11[#All],Tabelle10[[#This Row],[Spalte1]]+14,$AH$2)</f>
        <v>91.692683674146281</v>
      </c>
      <c r="AI290" s="29">
        <f>INDEX(Tabelle11[#All],Tabelle10[[#This Row],[Spalte1]]+14,$AI$2)</f>
        <v>112.02015744049837</v>
      </c>
      <c r="AJ290" s="29">
        <f>INDEX(Tabelle11[#All],Tabelle10[[#This Row],[Spalte1]]+14,Ranking!$AJ$2)</f>
        <v>96.381010170229956</v>
      </c>
    </row>
    <row r="291" spans="32:36" x14ac:dyDescent="0.25">
      <c r="AF291" s="29">
        <f>IF(IFERROR(Tabelle12[[#This Row],[Spiel]],0)=0,AF290+1,Tabelle12[[#This Row],[Spiel]])</f>
        <v>289</v>
      </c>
      <c r="AG291" s="29">
        <f>INDEX(Tabelle11[#All],Tabelle10[[#This Row],[Spalte1]]+14,Ranking!$AG$2)</f>
        <v>90.775354036476685</v>
      </c>
      <c r="AH291" s="29">
        <f>INDEX(Tabelle11[#All],Tabelle10[[#This Row],[Spalte1]]+14,$AH$2)</f>
        <v>91.692683674146281</v>
      </c>
      <c r="AI291" s="29">
        <f>INDEX(Tabelle11[#All],Tabelle10[[#This Row],[Spalte1]]+14,$AI$2)</f>
        <v>112.02015744049837</v>
      </c>
      <c r="AJ291" s="29">
        <f>INDEX(Tabelle11[#All],Tabelle10[[#This Row],[Spalte1]]+14,Ranking!$AJ$2)</f>
        <v>96.381010170229956</v>
      </c>
    </row>
    <row r="292" spans="32:36" x14ac:dyDescent="0.25">
      <c r="AF292" s="29">
        <f>IF(IFERROR(Tabelle12[[#This Row],[Spiel]],0)=0,AF291+1,Tabelle12[[#This Row],[Spiel]])</f>
        <v>290</v>
      </c>
      <c r="AG292" s="29">
        <f>INDEX(Tabelle11[#All],Tabelle10[[#This Row],[Spalte1]]+14,Ranking!$AG$2)</f>
        <v>90.775354036476685</v>
      </c>
      <c r="AH292" s="29">
        <f>INDEX(Tabelle11[#All],Tabelle10[[#This Row],[Spalte1]]+14,$AH$2)</f>
        <v>91.692683674146281</v>
      </c>
      <c r="AI292" s="29">
        <f>INDEX(Tabelle11[#All],Tabelle10[[#This Row],[Spalte1]]+14,$AI$2)</f>
        <v>112.02015744049837</v>
      </c>
      <c r="AJ292" s="29">
        <f>INDEX(Tabelle11[#All],Tabelle10[[#This Row],[Spalte1]]+14,Ranking!$AJ$2)</f>
        <v>96.381010170229956</v>
      </c>
    </row>
    <row r="293" spans="32:36" x14ac:dyDescent="0.25">
      <c r="AF293" s="29">
        <f>IF(IFERROR(Tabelle12[[#This Row],[Spiel]],0)=0,AF292+1,Tabelle12[[#This Row],[Spiel]])</f>
        <v>291</v>
      </c>
      <c r="AG293" s="29">
        <f>INDEX(Tabelle11[#All],Tabelle10[[#This Row],[Spalte1]]+14,Ranking!$AG$2)</f>
        <v>90.775354036476685</v>
      </c>
      <c r="AH293" s="29">
        <f>INDEX(Tabelle11[#All],Tabelle10[[#This Row],[Spalte1]]+14,$AH$2)</f>
        <v>92.171151193926022</v>
      </c>
      <c r="AI293" s="29">
        <f>INDEX(Tabelle11[#All],Tabelle10[[#This Row],[Spalte1]]+14,$AI$2)</f>
        <v>112.41180097985708</v>
      </c>
      <c r="AJ293" s="29">
        <f>INDEX(Tabelle11[#All],Tabelle10[[#This Row],[Spalte1]]+14,Ranking!$AJ$2)</f>
        <v>96.381010170229956</v>
      </c>
    </row>
    <row r="294" spans="32:36" x14ac:dyDescent="0.25">
      <c r="AF294" s="29">
        <f>IF(IFERROR(Tabelle12[[#This Row],[Spiel]],0)=0,AF293+1,Tabelle12[[#This Row],[Spiel]])</f>
        <v>292</v>
      </c>
      <c r="AG294" s="29">
        <f>INDEX(Tabelle11[#All],Tabelle10[[#This Row],[Spalte1]]+14,Ranking!$AG$2)</f>
        <v>90.775354036476685</v>
      </c>
      <c r="AH294" s="29">
        <f>INDEX(Tabelle11[#All],Tabelle10[[#This Row],[Spalte1]]+14,$AH$2)</f>
        <v>91.927888343318614</v>
      </c>
      <c r="AI294" s="29">
        <f>INDEX(Tabelle11[#All],Tabelle10[[#This Row],[Spalte1]]+14,$AI$2)</f>
        <v>112.11511796359814</v>
      </c>
      <c r="AJ294" s="29">
        <f>INDEX(Tabelle11[#All],Tabelle10[[#This Row],[Spalte1]]+14,Ranking!$AJ$2)</f>
        <v>96.381010170229956</v>
      </c>
    </row>
    <row r="295" spans="32:36" x14ac:dyDescent="0.25">
      <c r="AF295" s="29">
        <f>IF(IFERROR(Tabelle12[[#This Row],[Spiel]],0)=0,AF294+1,Tabelle12[[#This Row],[Spiel]])</f>
        <v>293</v>
      </c>
      <c r="AG295" s="29">
        <f>INDEX(Tabelle11[#All],Tabelle10[[#This Row],[Spalte1]]+14,Ranking!$AG$2)</f>
        <v>90.775354036476685</v>
      </c>
      <c r="AH295" s="29">
        <f>INDEX(Tabelle11[#All],Tabelle10[[#This Row],[Spalte1]]+14,$AH$2)</f>
        <v>91.927888343318614</v>
      </c>
      <c r="AI295" s="29">
        <f>INDEX(Tabelle11[#All],Tabelle10[[#This Row],[Spalte1]]+14,$AI$2)</f>
        <v>112.11511796359814</v>
      </c>
      <c r="AJ295" s="29">
        <f>INDEX(Tabelle11[#All],Tabelle10[[#This Row],[Spalte1]]+14,Ranking!$AJ$2)</f>
        <v>96.381010170229956</v>
      </c>
    </row>
    <row r="296" spans="32:36" x14ac:dyDescent="0.25">
      <c r="AF296" s="29">
        <f>IF(IFERROR(Tabelle12[[#This Row],[Spiel]],0)=0,AF295+1,Tabelle12[[#This Row],[Spiel]])</f>
        <v>294</v>
      </c>
      <c r="AG296" s="29">
        <f>INDEX(Tabelle11[#All],Tabelle10[[#This Row],[Spalte1]]+14,Ranking!$AG$2)</f>
        <v>90.775354036476685</v>
      </c>
      <c r="AH296" s="29">
        <f>INDEX(Tabelle11[#All],Tabelle10[[#This Row],[Spalte1]]+14,$AH$2)</f>
        <v>91.927888343318614</v>
      </c>
      <c r="AI296" s="29">
        <f>INDEX(Tabelle11[#All],Tabelle10[[#This Row],[Spalte1]]+14,$AI$2)</f>
        <v>112.11511796359814</v>
      </c>
      <c r="AJ296" s="29">
        <f>INDEX(Tabelle11[#All],Tabelle10[[#This Row],[Spalte1]]+14,Ranking!$AJ$2)</f>
        <v>96.381010170229956</v>
      </c>
    </row>
    <row r="297" spans="32:36" x14ac:dyDescent="0.25">
      <c r="AF297" s="29">
        <f>IF(IFERROR(Tabelle12[[#This Row],[Spiel]],0)=0,AF296+1,Tabelle12[[#This Row],[Spiel]])</f>
        <v>295</v>
      </c>
      <c r="AG297" s="29">
        <f>INDEX(Tabelle11[#All],Tabelle10[[#This Row],[Spalte1]]+14,Ranking!$AG$2)</f>
        <v>90.775354036476685</v>
      </c>
      <c r="AH297" s="29">
        <f>INDEX(Tabelle11[#All],Tabelle10[[#This Row],[Spalte1]]+14,$AH$2)</f>
        <v>91.927888343318614</v>
      </c>
      <c r="AI297" s="29">
        <f>INDEX(Tabelle11[#All],Tabelle10[[#This Row],[Spalte1]]+14,$AI$2)</f>
        <v>112.6337915456042</v>
      </c>
      <c r="AJ297" s="29">
        <f>INDEX(Tabelle11[#All],Tabelle10[[#This Row],[Spalte1]]+14,Ranking!$AJ$2)</f>
        <v>96.381010170229956</v>
      </c>
    </row>
    <row r="298" spans="32:36" x14ac:dyDescent="0.25">
      <c r="AF298" s="29">
        <f>IF(IFERROR(Tabelle12[[#This Row],[Spiel]],0)=0,AF297+1,Tabelle12[[#This Row],[Spiel]])</f>
        <v>296</v>
      </c>
      <c r="AG298" s="29">
        <f>INDEX(Tabelle11[#All],Tabelle10[[#This Row],[Spalte1]]+14,Ranking!$AG$2)</f>
        <v>90.775354036476685</v>
      </c>
      <c r="AH298" s="29">
        <f>INDEX(Tabelle11[#All],Tabelle10[[#This Row],[Spalte1]]+14,$AH$2)</f>
        <v>91.927888343318614</v>
      </c>
      <c r="AI298" s="29">
        <f>INDEX(Tabelle11[#All],Tabelle10[[#This Row],[Spalte1]]+14,$AI$2)</f>
        <v>114.35343702134077</v>
      </c>
      <c r="AJ298" s="29">
        <f>INDEX(Tabelle11[#All],Tabelle10[[#This Row],[Spalte1]]+14,Ranking!$AJ$2)</f>
        <v>96.381010170229956</v>
      </c>
    </row>
    <row r="299" spans="32:36" x14ac:dyDescent="0.25">
      <c r="AF299" s="29">
        <f>IF(IFERROR(Tabelle12[[#This Row],[Spiel]],0)=0,AF298+1,Tabelle12[[#This Row],[Spiel]])</f>
        <v>297</v>
      </c>
      <c r="AG299" s="29">
        <f>INDEX(Tabelle11[#All],Tabelle10[[#This Row],[Spalte1]]+14,Ranking!$AG$2)</f>
        <v>90.775354036476685</v>
      </c>
      <c r="AH299" s="29">
        <f>INDEX(Tabelle11[#All],Tabelle10[[#This Row],[Spalte1]]+14,$AH$2)</f>
        <v>91.011486299278701</v>
      </c>
      <c r="AI299" s="29">
        <f>INDEX(Tabelle11[#All],Tabelle10[[#This Row],[Spalte1]]+14,$AI$2)</f>
        <v>113.21348128736396</v>
      </c>
      <c r="AJ299" s="29">
        <f>INDEX(Tabelle11[#All],Tabelle10[[#This Row],[Spalte1]]+14,Ranking!$AJ$2)</f>
        <v>96.381010170229956</v>
      </c>
    </row>
    <row r="300" spans="32:36" x14ac:dyDescent="0.25">
      <c r="AF300" s="29">
        <f>IF(IFERROR(Tabelle12[[#This Row],[Spiel]],0)=0,AF299+1,Tabelle12[[#This Row],[Spiel]])</f>
        <v>298</v>
      </c>
      <c r="AG300" s="29">
        <f>INDEX(Tabelle11[#All],Tabelle10[[#This Row],[Spalte1]]+14,Ranking!$AG$2)</f>
        <v>90.775354036476685</v>
      </c>
      <c r="AH300" s="29">
        <f>INDEX(Tabelle11[#All],Tabelle10[[#This Row],[Spalte1]]+14,$AH$2)</f>
        <v>92.55771777690498</v>
      </c>
      <c r="AI300" s="29">
        <f>INDEX(Tabelle11[#All],Tabelle10[[#This Row],[Spalte1]]+14,$AI$2)</f>
        <v>114.45648541850893</v>
      </c>
      <c r="AJ300" s="29">
        <f>INDEX(Tabelle11[#All],Tabelle10[[#This Row],[Spalte1]]+14,Ranking!$AJ$2)</f>
        <v>96.381010170229956</v>
      </c>
    </row>
    <row r="301" spans="32:36" x14ac:dyDescent="0.25">
      <c r="AF301" s="29">
        <f>IF(IFERROR(Tabelle12[[#This Row],[Spiel]],0)=0,AF300+1,Tabelle12[[#This Row],[Spiel]])</f>
        <v>299</v>
      </c>
      <c r="AG301" s="29">
        <f>INDEX(Tabelle11[#All],Tabelle10[[#This Row],[Spalte1]]+14,Ranking!$AG$2)</f>
        <v>90.775354036476685</v>
      </c>
      <c r="AH301" s="29">
        <f>INDEX(Tabelle11[#All],Tabelle10[[#This Row],[Spalte1]]+14,$AH$2)</f>
        <v>92.55771777690498</v>
      </c>
      <c r="AI301" s="29">
        <f>INDEX(Tabelle11[#All],Tabelle10[[#This Row],[Spalte1]]+14,$AI$2)</f>
        <v>114.45648541850893</v>
      </c>
      <c r="AJ301" s="29">
        <f>INDEX(Tabelle11[#All],Tabelle10[[#This Row],[Spalte1]]+14,Ranking!$AJ$2)</f>
        <v>96.381010170229956</v>
      </c>
    </row>
    <row r="302" spans="32:36" x14ac:dyDescent="0.25">
      <c r="AF302" s="29">
        <f>IF(IFERROR(Tabelle12[[#This Row],[Spiel]],0)=0,AF301+1,Tabelle12[[#This Row],[Spiel]])</f>
        <v>300</v>
      </c>
      <c r="AG302" s="29">
        <f>INDEX(Tabelle11[#All],Tabelle10[[#This Row],[Spalte1]]+14,Ranking!$AG$2)</f>
        <v>90.775354036476685</v>
      </c>
      <c r="AH302" s="29">
        <f>INDEX(Tabelle11[#All],Tabelle10[[#This Row],[Spalte1]]+14,$AH$2)</f>
        <v>92.55771777690498</v>
      </c>
      <c r="AI302" s="29">
        <f>INDEX(Tabelle11[#All],Tabelle10[[#This Row],[Spalte1]]+14,$AI$2)</f>
        <v>114.45648541850893</v>
      </c>
      <c r="AJ302" s="29">
        <f>INDEX(Tabelle11[#All],Tabelle10[[#This Row],[Spalte1]]+14,Ranking!$AJ$2)</f>
        <v>96.381010170229956</v>
      </c>
    </row>
    <row r="303" spans="32:36" x14ac:dyDescent="0.25">
      <c r="AF303" s="29">
        <f>IF(IFERROR(Tabelle12[[#This Row],[Spiel]],0)=0,AF302+1,Tabelle12[[#This Row],[Spiel]])</f>
        <v>301</v>
      </c>
      <c r="AG303" s="29">
        <f>INDEX(Tabelle11[#All],Tabelle10[[#This Row],[Spalte1]]+14,Ranking!$AG$2)</f>
        <v>90.775354036476685</v>
      </c>
      <c r="AH303" s="29">
        <f>INDEX(Tabelle11[#All],Tabelle10[[#This Row],[Spalte1]]+14,$AH$2)</f>
        <v>92.55771777690498</v>
      </c>
      <c r="AI303" s="29">
        <f>INDEX(Tabelle11[#All],Tabelle10[[#This Row],[Spalte1]]+14,$AI$2)</f>
        <v>114.45648541850893</v>
      </c>
      <c r="AJ303" s="29">
        <f>INDEX(Tabelle11[#All],Tabelle10[[#This Row],[Spalte1]]+14,Ranking!$AJ$2)</f>
        <v>96.381010170229956</v>
      </c>
    </row>
    <row r="304" spans="32:36" x14ac:dyDescent="0.25">
      <c r="AF304" s="29">
        <f>IF(IFERROR(Tabelle12[[#This Row],[Spiel]],0)=0,AF303+1,Tabelle12[[#This Row],[Spiel]])</f>
        <v>302</v>
      </c>
      <c r="AG304" s="29">
        <f>INDEX(Tabelle11[#All],Tabelle10[[#This Row],[Spalte1]]+14,Ranking!$AG$2)</f>
        <v>90.775354036476685</v>
      </c>
      <c r="AH304" s="29">
        <f>INDEX(Tabelle11[#All],Tabelle10[[#This Row],[Spalte1]]+14,$AH$2)</f>
        <v>92.55771777690498</v>
      </c>
      <c r="AI304" s="29">
        <f>INDEX(Tabelle11[#All],Tabelle10[[#This Row],[Spalte1]]+14,$AI$2)</f>
        <v>114.45648541850893</v>
      </c>
      <c r="AJ304" s="29">
        <f>INDEX(Tabelle11[#All],Tabelle10[[#This Row],[Spalte1]]+14,Ranking!$AJ$2)</f>
        <v>96.381010170229956</v>
      </c>
    </row>
    <row r="305" spans="32:36" x14ac:dyDescent="0.25">
      <c r="AF305" s="29">
        <f>IF(IFERROR(Tabelle12[[#This Row],[Spiel]],0)=0,AF304+1,Tabelle12[[#This Row],[Spiel]])</f>
        <v>303</v>
      </c>
      <c r="AG305" s="29">
        <f>INDEX(Tabelle11[#All],Tabelle10[[#This Row],[Spalte1]]+14,Ranking!$AG$2)</f>
        <v>90.775354036476685</v>
      </c>
      <c r="AH305" s="29">
        <f>INDEX(Tabelle11[#All],Tabelle10[[#This Row],[Spalte1]]+14,$AH$2)</f>
        <v>97.468432875566762</v>
      </c>
      <c r="AI305" s="29">
        <f>INDEX(Tabelle11[#All],Tabelle10[[#This Row],[Spalte1]]+14,$AI$2)</f>
        <v>114.45648541850893</v>
      </c>
      <c r="AJ305" s="29">
        <f>INDEX(Tabelle11[#All],Tabelle10[[#This Row],[Spalte1]]+14,Ranking!$AJ$2)</f>
        <v>96.381010170229956</v>
      </c>
    </row>
    <row r="306" spans="32:36" x14ac:dyDescent="0.25">
      <c r="AF306" s="29">
        <f>IF(IFERROR(Tabelle12[[#This Row],[Spiel]],0)=0,AF305+1,Tabelle12[[#This Row],[Spiel]])</f>
        <v>304</v>
      </c>
      <c r="AG306" s="29">
        <f>INDEX(Tabelle11[#All],Tabelle10[[#This Row],[Spalte1]]+14,Ranking!$AG$2)</f>
        <v>90.775354036476685</v>
      </c>
      <c r="AH306" s="29">
        <f>INDEX(Tabelle11[#All],Tabelle10[[#This Row],[Spalte1]]+14,$AH$2)</f>
        <v>97.745984388541487</v>
      </c>
      <c r="AI306" s="29">
        <f>INDEX(Tabelle11[#All],Tabelle10[[#This Row],[Spalte1]]+14,$AI$2)</f>
        <v>114.45648541850893</v>
      </c>
      <c r="AJ306" s="29">
        <f>INDEX(Tabelle11[#All],Tabelle10[[#This Row],[Spalte1]]+14,Ranking!$AJ$2)</f>
        <v>96.381010170229956</v>
      </c>
    </row>
    <row r="307" spans="32:36" x14ac:dyDescent="0.25">
      <c r="AF307" s="29">
        <f>IF(IFERROR(Tabelle12[[#This Row],[Spiel]],0)=0,AF306+1,Tabelle12[[#This Row],[Spiel]])</f>
        <v>305</v>
      </c>
      <c r="AG307" s="29">
        <f>INDEX(Tabelle11[#All],Tabelle10[[#This Row],[Spalte1]]+14,Ranking!$AG$2)</f>
        <v>91.728716344844585</v>
      </c>
      <c r="AH307" s="29">
        <f>INDEX(Tabelle11[#All],Tabelle10[[#This Row],[Spalte1]]+14,$AH$2)</f>
        <v>97.745984388541487</v>
      </c>
      <c r="AI307" s="29">
        <f>INDEX(Tabelle11[#All],Tabelle10[[#This Row],[Spalte1]]+14,$AI$2)</f>
        <v>114.45648541850893</v>
      </c>
      <c r="AJ307" s="29">
        <f>INDEX(Tabelle11[#All],Tabelle10[[#This Row],[Spalte1]]+14,Ranking!$AJ$2)</f>
        <v>96.381010170229956</v>
      </c>
    </row>
    <row r="308" spans="32:36" x14ac:dyDescent="0.25">
      <c r="AF308" s="29">
        <f>IF(IFERROR(Tabelle12[[#This Row],[Spiel]],0)=0,AF307+1,Tabelle12[[#This Row],[Spiel]])</f>
        <v>306</v>
      </c>
      <c r="AG308" s="29">
        <f>INDEX(Tabelle11[#All],Tabelle10[[#This Row],[Spalte1]]+14,Ranking!$AG$2)</f>
        <v>90.647298591618593</v>
      </c>
      <c r="AH308" s="29">
        <f>INDEX(Tabelle11[#All],Tabelle10[[#This Row],[Spalte1]]+14,$AH$2)</f>
        <v>97.745984388541487</v>
      </c>
      <c r="AI308" s="29">
        <f>INDEX(Tabelle11[#All],Tabelle10[[#This Row],[Spalte1]]+14,$AI$2)</f>
        <v>114.45648541850893</v>
      </c>
      <c r="AJ308" s="29">
        <f>INDEX(Tabelle11[#All],Tabelle10[[#This Row],[Spalte1]]+14,Ranking!$AJ$2)</f>
        <v>96.381010170229956</v>
      </c>
    </row>
    <row r="309" spans="32:36" x14ac:dyDescent="0.25">
      <c r="AF309" s="29">
        <f>IF(IFERROR(Tabelle12[[#This Row],[Spiel]],0)=0,AF308+1,Tabelle12[[#This Row],[Spiel]])</f>
        <v>307</v>
      </c>
      <c r="AG309" s="29">
        <f>INDEX(Tabelle11[#All],Tabelle10[[#This Row],[Spalte1]]+14,Ranking!$AG$2)</f>
        <v>90.647298591618593</v>
      </c>
      <c r="AH309" s="29">
        <f>INDEX(Tabelle11[#All],Tabelle10[[#This Row],[Spalte1]]+14,$AH$2)</f>
        <v>97.745984388541487</v>
      </c>
      <c r="AI309" s="29">
        <f>INDEX(Tabelle11[#All],Tabelle10[[#This Row],[Spalte1]]+14,$AI$2)</f>
        <v>114.3754706073581</v>
      </c>
      <c r="AJ309" s="29">
        <f>INDEX(Tabelle11[#All],Tabelle10[[#This Row],[Spalte1]]+14,Ranking!$AJ$2)</f>
        <v>96.381010170229956</v>
      </c>
    </row>
    <row r="310" spans="32:36" x14ac:dyDescent="0.25">
      <c r="AF310" s="29">
        <f>IF(IFERROR(Tabelle12[[#This Row],[Spiel]],0)=0,AF309+1,Tabelle12[[#This Row],[Spiel]])</f>
        <v>308</v>
      </c>
      <c r="AG310" s="29">
        <f>INDEX(Tabelle11[#All],Tabelle10[[#This Row],[Spalte1]]+14,Ranking!$AG$2)</f>
        <v>90.647298591618593</v>
      </c>
      <c r="AH310" s="29">
        <f>INDEX(Tabelle11[#All],Tabelle10[[#This Row],[Spalte1]]+14,$AH$2)</f>
        <v>97.745984388541487</v>
      </c>
      <c r="AI310" s="29">
        <f>INDEX(Tabelle11[#All],Tabelle10[[#This Row],[Spalte1]]+14,$AI$2)</f>
        <v>114.03217122156524</v>
      </c>
      <c r="AJ310" s="29">
        <f>INDEX(Tabelle11[#All],Tabelle10[[#This Row],[Spalte1]]+14,Ranking!$AJ$2)</f>
        <v>96.381010170229956</v>
      </c>
    </row>
    <row r="311" spans="32:36" x14ac:dyDescent="0.25">
      <c r="AF311" s="29">
        <f>IF(IFERROR(Tabelle12[[#This Row],[Spiel]],0)=0,AF310+1,Tabelle12[[#This Row],[Spiel]])</f>
        <v>309</v>
      </c>
      <c r="AG311" s="29">
        <f>INDEX(Tabelle11[#All],Tabelle10[[#This Row],[Spalte1]]+14,Ranking!$AG$2)</f>
        <v>90.647298591618593</v>
      </c>
      <c r="AH311" s="29">
        <f>INDEX(Tabelle11[#All],Tabelle10[[#This Row],[Spalte1]]+14,$AH$2)</f>
        <v>97.745984388541487</v>
      </c>
      <c r="AI311" s="29">
        <f>INDEX(Tabelle11[#All],Tabelle10[[#This Row],[Spalte1]]+14,$AI$2)</f>
        <v>114.03217122156524</v>
      </c>
      <c r="AJ311" s="29">
        <f>INDEX(Tabelle11[#All],Tabelle10[[#This Row],[Spalte1]]+14,Ranking!$AJ$2)</f>
        <v>96.030728869336258</v>
      </c>
    </row>
    <row r="312" spans="32:36" x14ac:dyDescent="0.25">
      <c r="AF312" s="29">
        <f>IF(IFERROR(Tabelle12[[#This Row],[Spiel]],0)=0,AF311+1,Tabelle12[[#This Row],[Spiel]])</f>
        <v>310</v>
      </c>
      <c r="AG312" s="29">
        <f>INDEX(Tabelle11[#All],Tabelle10[[#This Row],[Spalte1]]+14,Ranking!$AG$2)</f>
        <v>90.647298591618593</v>
      </c>
      <c r="AH312" s="29">
        <f>INDEX(Tabelle11[#All],Tabelle10[[#This Row],[Spalte1]]+14,$AH$2)</f>
        <v>97.745984388541487</v>
      </c>
      <c r="AI312" s="29">
        <f>INDEX(Tabelle11[#All],Tabelle10[[#This Row],[Spalte1]]+14,$AI$2)</f>
        <v>114.03217122156524</v>
      </c>
      <c r="AJ312" s="29">
        <f>INDEX(Tabelle11[#All],Tabelle10[[#This Row],[Spalte1]]+14,Ranking!$AJ$2)</f>
        <v>94.37119861086498</v>
      </c>
    </row>
    <row r="313" spans="32:36" x14ac:dyDescent="0.25">
      <c r="AF313" s="29">
        <f>IF(IFERROR(Tabelle12[[#This Row],[Spiel]],0)=0,AF312+1,Tabelle12[[#This Row],[Spiel]])</f>
        <v>311</v>
      </c>
      <c r="AG313" s="29">
        <f>INDEX(Tabelle11[#All],Tabelle10[[#This Row],[Spalte1]]+14,Ranking!$AG$2)</f>
        <v>90.647298591618593</v>
      </c>
      <c r="AH313" s="29">
        <f>INDEX(Tabelle11[#All],Tabelle10[[#This Row],[Spalte1]]+14,$AH$2)</f>
        <v>97.745984388541487</v>
      </c>
      <c r="AI313" s="29">
        <f>INDEX(Tabelle11[#All],Tabelle10[[#This Row],[Spalte1]]+14,$AI$2)</f>
        <v>113.34522395475111</v>
      </c>
      <c r="AJ313" s="29">
        <f>INDEX(Tabelle11[#All],Tabelle10[[#This Row],[Spalte1]]+14,Ranking!$AJ$2)</f>
        <v>94.37119861086498</v>
      </c>
    </row>
    <row r="314" spans="32:36" x14ac:dyDescent="0.25">
      <c r="AF314" s="29">
        <f>IF(IFERROR(Tabelle12[[#This Row],[Spiel]],0)=0,AF313+1,Tabelle12[[#This Row],[Spiel]])</f>
        <v>312</v>
      </c>
      <c r="AG314" s="29">
        <f>INDEX(Tabelle11[#All],Tabelle10[[#This Row],[Spalte1]]+14,Ranking!$AG$2)</f>
        <v>90.647298591618593</v>
      </c>
      <c r="AH314" s="29">
        <f>INDEX(Tabelle11[#All],Tabelle10[[#This Row],[Spalte1]]+14,$AH$2)</f>
        <v>97.745984388541487</v>
      </c>
      <c r="AI314" s="29">
        <f>INDEX(Tabelle11[#All],Tabelle10[[#This Row],[Spalte1]]+14,$AI$2)</f>
        <v>113.11253589290945</v>
      </c>
      <c r="AJ314" s="29">
        <f>INDEX(Tabelle11[#All],Tabelle10[[#This Row],[Spalte1]]+14,Ranking!$AJ$2)</f>
        <v>94.37119861086498</v>
      </c>
    </row>
    <row r="315" spans="32:36" x14ac:dyDescent="0.25">
      <c r="AF315" s="29">
        <f>IF(IFERROR(Tabelle12[[#This Row],[Spiel]],0)=0,AF314+1,Tabelle12[[#This Row],[Spiel]])</f>
        <v>313</v>
      </c>
      <c r="AG315" s="29">
        <f>INDEX(Tabelle11[#All],Tabelle10[[#This Row],[Spalte1]]+14,Ranking!$AG$2)</f>
        <v>90.647298591618593</v>
      </c>
      <c r="AH315" s="29">
        <f>INDEX(Tabelle11[#All],Tabelle10[[#This Row],[Spalte1]]+14,$AH$2)</f>
        <v>96.352708533103993</v>
      </c>
      <c r="AI315" s="29">
        <f>INDEX(Tabelle11[#All],Tabelle10[[#This Row],[Spalte1]]+14,$AI$2)</f>
        <v>113.11253589290945</v>
      </c>
      <c r="AJ315" s="29">
        <f>INDEX(Tabelle11[#All],Tabelle10[[#This Row],[Spalte1]]+14,Ranking!$AJ$2)</f>
        <v>94.37119861086498</v>
      </c>
    </row>
    <row r="316" spans="32:36" x14ac:dyDescent="0.25">
      <c r="AF316" s="29">
        <f>IF(IFERROR(Tabelle12[[#This Row],[Spiel]],0)=0,AF315+1,Tabelle12[[#This Row],[Spiel]])</f>
        <v>314</v>
      </c>
      <c r="AG316" s="29">
        <f>INDEX(Tabelle11[#All],Tabelle10[[#This Row],[Spalte1]]+14,Ranking!$AG$2)</f>
        <v>90.647298591618593</v>
      </c>
      <c r="AH316" s="29">
        <f>INDEX(Tabelle11[#All],Tabelle10[[#This Row],[Spalte1]]+14,$AH$2)</f>
        <v>94.486346766878313</v>
      </c>
      <c r="AI316" s="29">
        <f>INDEX(Tabelle11[#All],Tabelle10[[#This Row],[Spalte1]]+14,$AI$2)</f>
        <v>113.11253589290945</v>
      </c>
      <c r="AJ316" s="29">
        <f>INDEX(Tabelle11[#All],Tabelle10[[#This Row],[Spalte1]]+14,Ranking!$AJ$2)</f>
        <v>94.37119861086498</v>
      </c>
    </row>
    <row r="317" spans="32:36" x14ac:dyDescent="0.25">
      <c r="AF317" s="29">
        <f>IF(IFERROR(Tabelle12[[#This Row],[Spiel]],0)=0,AF316+1,Tabelle12[[#This Row],[Spiel]])</f>
        <v>315</v>
      </c>
      <c r="AG317" s="29">
        <f>INDEX(Tabelle11[#All],Tabelle10[[#This Row],[Spalte1]]+14,Ranking!$AG$2)</f>
        <v>90.647298591618593</v>
      </c>
      <c r="AH317" s="29">
        <f>INDEX(Tabelle11[#All],Tabelle10[[#This Row],[Spalte1]]+14,$AH$2)</f>
        <v>94.486346766878313</v>
      </c>
      <c r="AI317" s="29">
        <f>INDEX(Tabelle11[#All],Tabelle10[[#This Row],[Spalte1]]+14,$AI$2)</f>
        <v>112.18900092199613</v>
      </c>
      <c r="AJ317" s="29">
        <f>INDEX(Tabelle11[#All],Tabelle10[[#This Row],[Spalte1]]+14,Ranking!$AJ$2)</f>
        <v>95.272776637036912</v>
      </c>
    </row>
    <row r="318" spans="32:36" x14ac:dyDescent="0.25">
      <c r="AF318" s="29">
        <f>IF(IFERROR(Tabelle12[[#This Row],[Spiel]],0)=0,AF317+1,Tabelle12[[#This Row],[Spiel]])</f>
        <v>316</v>
      </c>
      <c r="AG318" s="29">
        <f>INDEX(Tabelle11[#All],Tabelle10[[#This Row],[Spalte1]]+14,Ranking!$AG$2)</f>
        <v>90.647298591618593</v>
      </c>
      <c r="AH318" s="29">
        <f>INDEX(Tabelle11[#All],Tabelle10[[#This Row],[Spalte1]]+14,$AH$2)</f>
        <v>94.486346766878313</v>
      </c>
      <c r="AI318" s="29">
        <f>INDEX(Tabelle11[#All],Tabelle10[[#This Row],[Spalte1]]+14,$AI$2)</f>
        <v>112.72598869474743</v>
      </c>
      <c r="AJ318" s="29">
        <f>INDEX(Tabelle11[#All],Tabelle10[[#This Row],[Spalte1]]+14,Ranking!$AJ$2)</f>
        <v>94.721417865250757</v>
      </c>
    </row>
    <row r="319" spans="32:36" x14ac:dyDescent="0.25">
      <c r="AF319" s="29">
        <f>IF(IFERROR(Tabelle12[[#This Row],[Spiel]],0)=0,AF318+1,Tabelle12[[#This Row],[Spiel]])</f>
        <v>317</v>
      </c>
      <c r="AG319" s="29">
        <f>INDEX(Tabelle11[#All],Tabelle10[[#This Row],[Spalte1]]+14,Ranking!$AG$2)</f>
        <v>90.647298591618593</v>
      </c>
      <c r="AH319" s="29">
        <f>INDEX(Tabelle11[#All],Tabelle10[[#This Row],[Spalte1]]+14,$AH$2)</f>
        <v>96.834692989614737</v>
      </c>
      <c r="AI319" s="29">
        <f>INDEX(Tabelle11[#All],Tabelle10[[#This Row],[Spalte1]]+14,$AI$2)</f>
        <v>112.72598869474743</v>
      </c>
      <c r="AJ319" s="29">
        <f>INDEX(Tabelle11[#All],Tabelle10[[#This Row],[Spalte1]]+14,Ranking!$AJ$2)</f>
        <v>94.721417865250757</v>
      </c>
    </row>
    <row r="320" spans="32:36" x14ac:dyDescent="0.25">
      <c r="AF320" s="29">
        <f>IF(IFERROR(Tabelle12[[#This Row],[Spiel]],0)=0,AF319+1,Tabelle12[[#This Row],[Spiel]])</f>
        <v>318</v>
      </c>
      <c r="AG320" s="29">
        <f>INDEX(Tabelle11[#All],Tabelle10[[#This Row],[Spalte1]]+14,Ranking!$AG$2)</f>
        <v>90.647298591618593</v>
      </c>
      <c r="AH320" s="29">
        <f>INDEX(Tabelle11[#All],Tabelle10[[#This Row],[Spalte1]]+14,$AH$2)</f>
        <v>96.779160355837149</v>
      </c>
      <c r="AI320" s="29">
        <f>INDEX(Tabelle11[#All],Tabelle10[[#This Row],[Spalte1]]+14,$AI$2)</f>
        <v>112.72598869474743</v>
      </c>
      <c r="AJ320" s="29">
        <f>INDEX(Tabelle11[#All],Tabelle10[[#This Row],[Spalte1]]+14,Ranking!$AJ$2)</f>
        <v>94.721417865250757</v>
      </c>
    </row>
    <row r="321" spans="32:36" x14ac:dyDescent="0.25">
      <c r="AF321" s="29">
        <f>IF(IFERROR(Tabelle12[[#This Row],[Spiel]],0)=0,AF320+1,Tabelle12[[#This Row],[Spiel]])</f>
        <v>319</v>
      </c>
      <c r="AG321" s="29">
        <f>INDEX(Tabelle11[#All],Tabelle10[[#This Row],[Spalte1]]+14,Ranking!$AG$2)</f>
        <v>90.647298591618593</v>
      </c>
      <c r="AH321" s="29">
        <f>INDEX(Tabelle11[#All],Tabelle10[[#This Row],[Spalte1]]+14,$AH$2)</f>
        <v>97.198035298071332</v>
      </c>
      <c r="AI321" s="29">
        <f>INDEX(Tabelle11[#All],Tabelle10[[#This Row],[Spalte1]]+14,$AI$2)</f>
        <v>112.72598869474743</v>
      </c>
      <c r="AJ321" s="29">
        <f>INDEX(Tabelle11[#All],Tabelle10[[#This Row],[Spalte1]]+14,Ranking!$AJ$2)</f>
        <v>94.721417865250757</v>
      </c>
    </row>
    <row r="322" spans="32:36" x14ac:dyDescent="0.25">
      <c r="AF322" s="29">
        <f>IF(IFERROR(Tabelle12[[#This Row],[Spiel]],0)=0,AF321+1,Tabelle12[[#This Row],[Spiel]])</f>
        <v>320</v>
      </c>
      <c r="AG322" s="29">
        <f>INDEX(Tabelle11[#All],Tabelle10[[#This Row],[Spalte1]]+14,Ranking!$AG$2)</f>
        <v>90.647298591618593</v>
      </c>
      <c r="AH322" s="29">
        <f>INDEX(Tabelle11[#All],Tabelle10[[#This Row],[Spalte1]]+14,$AH$2)</f>
        <v>95.791306104510397</v>
      </c>
      <c r="AI322" s="29">
        <f>INDEX(Tabelle11[#All],Tabelle10[[#This Row],[Spalte1]]+14,$AI$2)</f>
        <v>112.72598869474743</v>
      </c>
      <c r="AJ322" s="29">
        <f>INDEX(Tabelle11[#All],Tabelle10[[#This Row],[Spalte1]]+14,Ranking!$AJ$2)</f>
        <v>94.721417865250757</v>
      </c>
    </row>
    <row r="323" spans="32:36" x14ac:dyDescent="0.25">
      <c r="AF323" s="29">
        <f>IF(IFERROR(Tabelle12[[#This Row],[Spiel]],0)=0,AF322+1,Tabelle12[[#This Row],[Spiel]])</f>
        <v>321</v>
      </c>
      <c r="AG323" s="29">
        <f>INDEX(Tabelle11[#All],Tabelle10[[#This Row],[Spalte1]]+14,Ranking!$AG$2)</f>
        <v>90.647298591618593</v>
      </c>
      <c r="AH323" s="29">
        <f>INDEX(Tabelle11[#All],Tabelle10[[#This Row],[Spalte1]]+14,$AH$2)</f>
        <v>96.447100064227527</v>
      </c>
      <c r="AI323" s="29">
        <f>INDEX(Tabelle11[#All],Tabelle10[[#This Row],[Spalte1]]+14,$AI$2)</f>
        <v>113.28326355801664</v>
      </c>
      <c r="AJ323" s="29">
        <f>INDEX(Tabelle11[#All],Tabelle10[[#This Row],[Spalte1]]+14,Ranking!$AJ$2)</f>
        <v>94.120056662927411</v>
      </c>
    </row>
    <row r="324" spans="32:36" x14ac:dyDescent="0.25">
      <c r="AF324" s="29">
        <f>IF(IFERROR(Tabelle12[[#This Row],[Spiel]],0)=0,AF323+1,Tabelle12[[#This Row],[Spiel]])</f>
        <v>322</v>
      </c>
      <c r="AG324" s="29">
        <f>INDEX(Tabelle11[#All],Tabelle10[[#This Row],[Spalte1]]+14,Ranking!$AG$2)</f>
        <v>90.647298591618593</v>
      </c>
      <c r="AH324" s="29">
        <f>INDEX(Tabelle11[#All],Tabelle10[[#This Row],[Spalte1]]+14,$AH$2)</f>
        <v>97.625731753569781</v>
      </c>
      <c r="AI324" s="29">
        <f>INDEX(Tabelle11[#All],Tabelle10[[#This Row],[Spalte1]]+14,$AI$2)</f>
        <v>114.28672695508452</v>
      </c>
      <c r="AJ324" s="29">
        <f>INDEX(Tabelle11[#All],Tabelle10[[#This Row],[Spalte1]]+14,Ranking!$AJ$2)</f>
        <v>93.038314803041018</v>
      </c>
    </row>
    <row r="325" spans="32:36" x14ac:dyDescent="0.25">
      <c r="AF325" s="29">
        <f>IF(IFERROR(Tabelle12[[#This Row],[Spiel]],0)=0,AF324+1,Tabelle12[[#This Row],[Spiel]])</f>
        <v>323</v>
      </c>
      <c r="AG325" s="29">
        <f>INDEX(Tabelle11[#All],Tabelle10[[#This Row],[Spalte1]]+14,Ranking!$AG$2)</f>
        <v>90.647298591618593</v>
      </c>
      <c r="AH325" s="29">
        <f>INDEX(Tabelle11[#All],Tabelle10[[#This Row],[Spalte1]]+14,$AH$2)</f>
        <v>97.625731753569781</v>
      </c>
      <c r="AI325" s="29">
        <f>INDEX(Tabelle11[#All],Tabelle10[[#This Row],[Spalte1]]+14,$AI$2)</f>
        <v>119.03274123511106</v>
      </c>
      <c r="AJ325" s="29">
        <f>INDEX(Tabelle11[#All],Tabelle10[[#This Row],[Spalte1]]+14,Ranking!$AJ$2)</f>
        <v>93.038314803041018</v>
      </c>
    </row>
    <row r="326" spans="32:36" x14ac:dyDescent="0.25">
      <c r="AF326" s="29">
        <f>IF(IFERROR(Tabelle12[[#This Row],[Spiel]],0)=0,AF325+1,Tabelle12[[#This Row],[Spiel]])</f>
        <v>324</v>
      </c>
      <c r="AG326" s="29">
        <f>INDEX(Tabelle11[#All],Tabelle10[[#This Row],[Spalte1]]+14,Ranking!$AG$2)</f>
        <v>90.647298591618593</v>
      </c>
      <c r="AH326" s="29">
        <f>INDEX(Tabelle11[#All],Tabelle10[[#This Row],[Spalte1]]+14,$AH$2)</f>
        <v>97.625731753569781</v>
      </c>
      <c r="AI326" s="29">
        <f>INDEX(Tabelle11[#All],Tabelle10[[#This Row],[Spalte1]]+14,$AI$2)</f>
        <v>117.7050663726607</v>
      </c>
      <c r="AJ326" s="29">
        <f>INDEX(Tabelle11[#All],Tabelle10[[#This Row],[Spalte1]]+14,Ranking!$AJ$2)</f>
        <v>93.038314803041018</v>
      </c>
    </row>
    <row r="327" spans="32:36" x14ac:dyDescent="0.25">
      <c r="AF327" s="29">
        <f>IF(IFERROR(Tabelle12[[#This Row],[Spiel]],0)=0,AF326+1,Tabelle12[[#This Row],[Spiel]])</f>
        <v>325</v>
      </c>
      <c r="AG327" s="29">
        <f>INDEX(Tabelle11[#All],Tabelle10[[#This Row],[Spalte1]]+14,Ranking!$AG$2)</f>
        <v>90.647298591618593</v>
      </c>
      <c r="AH327" s="29">
        <f>INDEX(Tabelle11[#All],Tabelle10[[#This Row],[Spalte1]]+14,$AH$2)</f>
        <v>95.693985395832897</v>
      </c>
      <c r="AI327" s="29">
        <f>INDEX(Tabelle11[#All],Tabelle10[[#This Row],[Spalte1]]+14,$AI$2)</f>
        <v>117.7050663726607</v>
      </c>
      <c r="AJ327" s="29">
        <f>INDEX(Tabelle11[#All],Tabelle10[[#This Row],[Spalte1]]+14,Ranking!$AJ$2)</f>
        <v>93.038314803041018</v>
      </c>
    </row>
    <row r="328" spans="32:36" x14ac:dyDescent="0.25">
      <c r="AF328" s="29">
        <f>IF(IFERROR(Tabelle12[[#This Row],[Spiel]],0)=0,AF327+1,Tabelle12[[#This Row],[Spiel]])</f>
        <v>326</v>
      </c>
      <c r="AG328" s="29">
        <f>INDEX(Tabelle11[#All],Tabelle10[[#This Row],[Spalte1]]+14,Ranking!$AG$2)</f>
        <v>90.647298591618593</v>
      </c>
      <c r="AH328" s="29">
        <f>INDEX(Tabelle11[#All],Tabelle10[[#This Row],[Spalte1]]+14,$AH$2)</f>
        <v>95.531389736706871</v>
      </c>
      <c r="AI328" s="29">
        <f>INDEX(Tabelle11[#All],Tabelle10[[#This Row],[Spalte1]]+14,$AI$2)</f>
        <v>117.7050663726607</v>
      </c>
      <c r="AJ328" s="29">
        <f>INDEX(Tabelle11[#All],Tabelle10[[#This Row],[Spalte1]]+14,Ranking!$AJ$2)</f>
        <v>93.038314803041018</v>
      </c>
    </row>
    <row r="329" spans="32:36" x14ac:dyDescent="0.25">
      <c r="AF329" s="29">
        <f>IF(IFERROR(Tabelle12[[#This Row],[Spiel]],0)=0,AF328+1,Tabelle12[[#This Row],[Spiel]])</f>
        <v>327</v>
      </c>
      <c r="AG329" s="29">
        <f>INDEX(Tabelle11[#All],Tabelle10[[#This Row],[Spalte1]]+14,Ranking!$AG$2)</f>
        <v>90.647298591618593</v>
      </c>
      <c r="AH329" s="29">
        <f>INDEX(Tabelle11[#All],Tabelle10[[#This Row],[Spalte1]]+14,$AH$2)</f>
        <v>95.531389736706871</v>
      </c>
      <c r="AI329" s="29">
        <f>INDEX(Tabelle11[#All],Tabelle10[[#This Row],[Spalte1]]+14,$AI$2)</f>
        <v>116.94012612009118</v>
      </c>
      <c r="AJ329" s="29">
        <f>INDEX(Tabelle11[#All],Tabelle10[[#This Row],[Spalte1]]+14,Ranking!$AJ$2)</f>
        <v>93.72996507121826</v>
      </c>
    </row>
    <row r="330" spans="32:36" x14ac:dyDescent="0.25">
      <c r="AF330" s="29">
        <f>IF(IFERROR(Tabelle12[[#This Row],[Spiel]],0)=0,AF329+1,Tabelle12[[#This Row],[Spiel]])</f>
        <v>328</v>
      </c>
      <c r="AG330" s="29">
        <f>INDEX(Tabelle11[#All],Tabelle10[[#This Row],[Spalte1]]+14,Ranking!$AG$2)</f>
        <v>90.647298591618593</v>
      </c>
      <c r="AH330" s="29">
        <f>INDEX(Tabelle11[#All],Tabelle10[[#This Row],[Spalte1]]+14,$AH$2)</f>
        <v>95.531389736706871</v>
      </c>
      <c r="AI330" s="29">
        <f>INDEX(Tabelle11[#All],Tabelle10[[#This Row],[Spalte1]]+14,$AI$2)</f>
        <v>119.6914574960765</v>
      </c>
      <c r="AJ330" s="29">
        <f>INDEX(Tabelle11[#All],Tabelle10[[#This Row],[Spalte1]]+14,Ranking!$AJ$2)</f>
        <v>90.627580042518218</v>
      </c>
    </row>
    <row r="331" spans="32:36" x14ac:dyDescent="0.25">
      <c r="AF331" s="29">
        <f>IF(IFERROR(Tabelle12[[#This Row],[Spiel]],0)=0,AF330+1,Tabelle12[[#This Row],[Spiel]])</f>
        <v>329</v>
      </c>
      <c r="AG331" s="29">
        <f>INDEX(Tabelle11[#All],Tabelle10[[#This Row],[Spalte1]]+14,Ranking!$AG$2)</f>
        <v>90.647298591618593</v>
      </c>
      <c r="AH331" s="29">
        <f>INDEX(Tabelle11[#All],Tabelle10[[#This Row],[Spalte1]]+14,$AH$2)</f>
        <v>97.040925443931869</v>
      </c>
      <c r="AI331" s="29">
        <f>INDEX(Tabelle11[#All],Tabelle10[[#This Row],[Spalte1]]+14,$AI$2)</f>
        <v>119.6914574960765</v>
      </c>
      <c r="AJ331" s="29">
        <f>INDEX(Tabelle11[#All],Tabelle10[[#This Row],[Spalte1]]+14,Ranking!$AJ$2)</f>
        <v>90.627580042518218</v>
      </c>
    </row>
    <row r="332" spans="32:36" x14ac:dyDescent="0.25">
      <c r="AF332" s="29">
        <f>IF(IFERROR(Tabelle12[[#This Row],[Spiel]],0)=0,AF331+1,Tabelle12[[#This Row],[Spiel]])</f>
        <v>330</v>
      </c>
      <c r="AG332" s="29">
        <f>INDEX(Tabelle11[#All],Tabelle10[[#This Row],[Spalte1]]+14,Ranking!$AG$2)</f>
        <v>90.647298591618593</v>
      </c>
      <c r="AH332" s="29">
        <f>INDEX(Tabelle11[#All],Tabelle10[[#This Row],[Spalte1]]+14,$AH$2)</f>
        <v>97.341740130357394</v>
      </c>
      <c r="AI332" s="29">
        <f>INDEX(Tabelle11[#All],Tabelle10[[#This Row],[Spalte1]]+14,$AI$2)</f>
        <v>119.6914574960765</v>
      </c>
      <c r="AJ332" s="29">
        <f>INDEX(Tabelle11[#All],Tabelle10[[#This Row],[Spalte1]]+14,Ranking!$AJ$2)</f>
        <v>90.627580042518218</v>
      </c>
    </row>
    <row r="333" spans="32:36" x14ac:dyDescent="0.25">
      <c r="AF333" s="29">
        <f>IF(IFERROR(Tabelle12[[#This Row],[Spiel]],0)=0,AF332+1,Tabelle12[[#This Row],[Spiel]])</f>
        <v>331</v>
      </c>
      <c r="AG333" s="29">
        <f>INDEX(Tabelle11[#All],Tabelle10[[#This Row],[Spalte1]]+14,Ranking!$AG$2)</f>
        <v>90.647298591618593</v>
      </c>
      <c r="AH333" s="29">
        <f>INDEX(Tabelle11[#All],Tabelle10[[#This Row],[Spalte1]]+14,$AH$2)</f>
        <v>97.980028186557419</v>
      </c>
      <c r="AI333" s="29">
        <f>INDEX(Tabelle11[#All],Tabelle10[[#This Row],[Spalte1]]+14,$AI$2)</f>
        <v>119.6914574960765</v>
      </c>
      <c r="AJ333" s="29">
        <f>INDEX(Tabelle11[#All],Tabelle10[[#This Row],[Spalte1]]+14,Ranking!$AJ$2)</f>
        <v>90.055028420309071</v>
      </c>
    </row>
    <row r="334" spans="32:36" x14ac:dyDescent="0.25">
      <c r="AF334" s="29">
        <f>IF(IFERROR(Tabelle12[[#This Row],[Spiel]],0)=0,AF333+1,Tabelle12[[#This Row],[Spiel]])</f>
        <v>332</v>
      </c>
      <c r="AG334" s="29">
        <f>INDEX(Tabelle11[#All],Tabelle10[[#This Row],[Spalte1]]+14,Ranking!$AG$2)</f>
        <v>90.647298591618593</v>
      </c>
      <c r="AH334" s="29">
        <f>INDEX(Tabelle11[#All],Tabelle10[[#This Row],[Spalte1]]+14,$AH$2)</f>
        <v>98.11052113161891</v>
      </c>
      <c r="AI334" s="29">
        <f>INDEX(Tabelle11[#All],Tabelle10[[#This Row],[Spalte1]]+14,$AI$2)</f>
        <v>119.6914574960765</v>
      </c>
      <c r="AJ334" s="29">
        <f>INDEX(Tabelle11[#All],Tabelle10[[#This Row],[Spalte1]]+14,Ranking!$AJ$2)</f>
        <v>89.937920750970918</v>
      </c>
    </row>
    <row r="335" spans="32:36" x14ac:dyDescent="0.25">
      <c r="AF335" s="29">
        <f>IF(IFERROR(Tabelle12[[#This Row],[Spiel]],0)=0,AF334+1,Tabelle12[[#This Row],[Spiel]])</f>
        <v>333</v>
      </c>
      <c r="AG335" s="29">
        <f>INDEX(Tabelle11[#All],Tabelle10[[#This Row],[Spalte1]]+14,Ranking!$AG$2)</f>
        <v>90.647298591618593</v>
      </c>
      <c r="AH335" s="29">
        <f>INDEX(Tabelle11[#All],Tabelle10[[#This Row],[Spalte1]]+14,$AH$2)</f>
        <v>98.11052113161891</v>
      </c>
      <c r="AI335" s="29">
        <f>INDEX(Tabelle11[#All],Tabelle10[[#This Row],[Spalte1]]+14,$AI$2)</f>
        <v>119.6914574960765</v>
      </c>
      <c r="AJ335" s="29">
        <f>INDEX(Tabelle11[#All],Tabelle10[[#This Row],[Spalte1]]+14,Ranking!$AJ$2)</f>
        <v>89.937920750970918</v>
      </c>
    </row>
    <row r="336" spans="32:36" x14ac:dyDescent="0.25">
      <c r="AF336" s="29">
        <f>IF(IFERROR(Tabelle12[[#This Row],[Spiel]],0)=0,AF335+1,Tabelle12[[#This Row],[Spiel]])</f>
        <v>334</v>
      </c>
      <c r="AG336" s="29">
        <f>INDEX(Tabelle11[#All],Tabelle10[[#This Row],[Spalte1]]+14,Ranking!$AG$2)</f>
        <v>90.647298591618593</v>
      </c>
      <c r="AH336" s="29">
        <f>INDEX(Tabelle11[#All],Tabelle10[[#This Row],[Spalte1]]+14,$AH$2)</f>
        <v>98.11052113161891</v>
      </c>
      <c r="AI336" s="29">
        <f>INDEX(Tabelle11[#All],Tabelle10[[#This Row],[Spalte1]]+14,$AI$2)</f>
        <v>119.6914574960765</v>
      </c>
      <c r="AJ336" s="29">
        <f>INDEX(Tabelle11[#All],Tabelle10[[#This Row],[Spalte1]]+14,Ranking!$AJ$2)</f>
        <v>89.937920750970918</v>
      </c>
    </row>
    <row r="337" spans="32:36" x14ac:dyDescent="0.25">
      <c r="AF337" s="29">
        <f>IF(IFERROR(Tabelle12[[#This Row],[Spiel]],0)=0,AF336+1,Tabelle12[[#This Row],[Spiel]])</f>
        <v>335</v>
      </c>
      <c r="AG337" s="29">
        <f>INDEX(Tabelle11[#All],Tabelle10[[#This Row],[Spalte1]]+14,Ranking!$AG$2)</f>
        <v>90.647298591618593</v>
      </c>
      <c r="AH337" s="29">
        <f>INDEX(Tabelle11[#All],Tabelle10[[#This Row],[Spalte1]]+14,$AH$2)</f>
        <v>98.11052113161891</v>
      </c>
      <c r="AI337" s="29">
        <f>INDEX(Tabelle11[#All],Tabelle10[[#This Row],[Spalte1]]+14,$AI$2)</f>
        <v>119.6914574960765</v>
      </c>
      <c r="AJ337" s="29">
        <f>INDEX(Tabelle11[#All],Tabelle10[[#This Row],[Spalte1]]+14,Ranking!$AJ$2)</f>
        <v>89.937920750970918</v>
      </c>
    </row>
    <row r="338" spans="32:36" x14ac:dyDescent="0.25">
      <c r="AF338" s="29">
        <f>IF(IFERROR(Tabelle12[[#This Row],[Spiel]],0)=0,AF337+1,Tabelle12[[#This Row],[Spiel]])</f>
        <v>336</v>
      </c>
      <c r="AG338" s="29">
        <f>INDEX(Tabelle11[#All],Tabelle10[[#This Row],[Spalte1]]+14,Ranking!$AG$2)</f>
        <v>90.647298591618593</v>
      </c>
      <c r="AH338" s="29">
        <f>INDEX(Tabelle11[#All],Tabelle10[[#This Row],[Spalte1]]+14,$AH$2)</f>
        <v>98.11052113161891</v>
      </c>
      <c r="AI338" s="29">
        <f>INDEX(Tabelle11[#All],Tabelle10[[#This Row],[Spalte1]]+14,$AI$2)</f>
        <v>119.6914574960765</v>
      </c>
      <c r="AJ338" s="29">
        <f>INDEX(Tabelle11[#All],Tabelle10[[#This Row],[Spalte1]]+14,Ranking!$AJ$2)</f>
        <v>89.937920750970918</v>
      </c>
    </row>
    <row r="339" spans="32:36" x14ac:dyDescent="0.25">
      <c r="AF339" s="29">
        <f>IF(IFERROR(Tabelle12[[#This Row],[Spiel]],0)=0,AF338+1,Tabelle12[[#This Row],[Spiel]])</f>
        <v>337</v>
      </c>
      <c r="AG339" s="29">
        <f>INDEX(Tabelle11[#All],Tabelle10[[#This Row],[Spalte1]]+14,Ranking!$AG$2)</f>
        <v>90.647298591618593</v>
      </c>
      <c r="AH339" s="29">
        <f>INDEX(Tabelle11[#All],Tabelle10[[#This Row],[Spalte1]]+14,$AH$2)</f>
        <v>98.11052113161891</v>
      </c>
      <c r="AI339" s="29">
        <f>INDEX(Tabelle11[#All],Tabelle10[[#This Row],[Spalte1]]+14,$AI$2)</f>
        <v>119.6914574960765</v>
      </c>
      <c r="AJ339" s="29">
        <f>INDEX(Tabelle11[#All],Tabelle10[[#This Row],[Spalte1]]+14,Ranking!$AJ$2)</f>
        <v>89.937920750970918</v>
      </c>
    </row>
    <row r="340" spans="32:36" x14ac:dyDescent="0.25">
      <c r="AF340" s="29">
        <f>IF(IFERROR(Tabelle12[[#This Row],[Spiel]],0)=0,AF339+1,Tabelle12[[#This Row],[Spiel]])</f>
        <v>338</v>
      </c>
      <c r="AG340" s="29">
        <f>INDEX(Tabelle11[#All],Tabelle10[[#This Row],[Spalte1]]+14,Ranking!$AG$2)</f>
        <v>90.647298591618593</v>
      </c>
      <c r="AH340" s="29">
        <f>INDEX(Tabelle11[#All],Tabelle10[[#This Row],[Spalte1]]+14,$AH$2)</f>
        <v>98.11052113161891</v>
      </c>
      <c r="AI340" s="29">
        <f>INDEX(Tabelle11[#All],Tabelle10[[#This Row],[Spalte1]]+14,$AI$2)</f>
        <v>118.65018518879403</v>
      </c>
      <c r="AJ340" s="29">
        <f>INDEX(Tabelle11[#All],Tabelle10[[#This Row],[Spalte1]]+14,Ranking!$AJ$2)</f>
        <v>90.956704506216639</v>
      </c>
    </row>
    <row r="341" spans="32:36" x14ac:dyDescent="0.25">
      <c r="AF341" s="29">
        <f>IF(IFERROR(Tabelle12[[#This Row],[Spiel]],0)=0,AF340+1,Tabelle12[[#This Row],[Spiel]])</f>
        <v>339</v>
      </c>
      <c r="AG341" s="29">
        <f>INDEX(Tabelle11[#All],Tabelle10[[#This Row],[Spalte1]]+14,Ranking!$AG$2)</f>
        <v>90.647298591618593</v>
      </c>
      <c r="AH341" s="29">
        <f>INDEX(Tabelle11[#All],Tabelle10[[#This Row],[Spalte1]]+14,$AH$2)</f>
        <v>98.11052113161891</v>
      </c>
      <c r="AI341" s="29">
        <f>INDEX(Tabelle11[#All],Tabelle10[[#This Row],[Spalte1]]+14,$AI$2)</f>
        <v>119.89187876247415</v>
      </c>
      <c r="AJ341" s="29">
        <f>INDEX(Tabelle11[#All],Tabelle10[[#This Row],[Spalte1]]+14,Ranking!$AJ$2)</f>
        <v>89.683216007337776</v>
      </c>
    </row>
    <row r="342" spans="32:36" x14ac:dyDescent="0.25">
      <c r="AF342" s="29">
        <f>IF(IFERROR(Tabelle12[[#This Row],[Spiel]],0)=0,AF341+1,Tabelle12[[#This Row],[Spiel]])</f>
        <v>340</v>
      </c>
      <c r="AG342" s="29">
        <f>INDEX(Tabelle11[#All],Tabelle10[[#This Row],[Spalte1]]+14,Ranking!$AG$2)</f>
        <v>90.647298591618593</v>
      </c>
      <c r="AH342" s="29">
        <f>INDEX(Tabelle11[#All],Tabelle10[[#This Row],[Spalte1]]+14,$AH$2)</f>
        <v>98.11052113161891</v>
      </c>
      <c r="AI342" s="29">
        <f>INDEX(Tabelle11[#All],Tabelle10[[#This Row],[Spalte1]]+14,$AI$2)</f>
        <v>119.89187876247415</v>
      </c>
      <c r="AJ342" s="29">
        <f>INDEX(Tabelle11[#All],Tabelle10[[#This Row],[Spalte1]]+14,Ranking!$AJ$2)</f>
        <v>89.683216007337776</v>
      </c>
    </row>
    <row r="343" spans="32:36" x14ac:dyDescent="0.25">
      <c r="AF343" s="29">
        <f>IF(IFERROR(Tabelle12[[#This Row],[Spiel]],0)=0,AF342+1,Tabelle12[[#This Row],[Spiel]])</f>
        <v>341</v>
      </c>
      <c r="AG343" s="29">
        <f>INDEX(Tabelle11[#All],Tabelle10[[#This Row],[Spalte1]]+14,Ranking!$AG$2)</f>
        <v>90.647298591618593</v>
      </c>
      <c r="AH343" s="29">
        <f>INDEX(Tabelle11[#All],Tabelle10[[#This Row],[Spalte1]]+14,$AH$2)</f>
        <v>98.11052113161891</v>
      </c>
      <c r="AI343" s="29">
        <f>INDEX(Tabelle11[#All],Tabelle10[[#This Row],[Spalte1]]+14,$AI$2)</f>
        <v>119.89187876247415</v>
      </c>
      <c r="AJ343" s="29">
        <f>INDEX(Tabelle11[#All],Tabelle10[[#This Row],[Spalte1]]+14,Ranking!$AJ$2)</f>
        <v>89.683216007337776</v>
      </c>
    </row>
    <row r="344" spans="32:36" x14ac:dyDescent="0.25">
      <c r="AF344" s="29">
        <f>IF(IFERROR(Tabelle12[[#This Row],[Spiel]],0)=0,AF343+1,Tabelle12[[#This Row],[Spiel]])</f>
        <v>342</v>
      </c>
      <c r="AG344" s="29">
        <f>INDEX(Tabelle11[#All],Tabelle10[[#This Row],[Spalte1]]+14,Ranking!$AG$2)</f>
        <v>90.647298591618593</v>
      </c>
      <c r="AH344" s="29">
        <f>INDEX(Tabelle11[#All],Tabelle10[[#This Row],[Spalte1]]+14,$AH$2)</f>
        <v>94.240638405185123</v>
      </c>
      <c r="AI344" s="29">
        <f>INDEX(Tabelle11[#All],Tabelle10[[#This Row],[Spalte1]]+14,$AI$2)</f>
        <v>119.89187876247415</v>
      </c>
      <c r="AJ344" s="29">
        <f>INDEX(Tabelle11[#All],Tabelle10[[#This Row],[Spalte1]]+14,Ranking!$AJ$2)</f>
        <v>89.683216007337776</v>
      </c>
    </row>
    <row r="345" spans="32:36" x14ac:dyDescent="0.25">
      <c r="AF345" s="29">
        <f>IF(IFERROR(Tabelle12[[#This Row],[Spiel]],0)=0,AF344+1,Tabelle12[[#This Row],[Spiel]])</f>
        <v>343</v>
      </c>
      <c r="AG345" s="29">
        <f>INDEX(Tabelle11[#All],Tabelle10[[#This Row],[Spalte1]]+14,Ranking!$AG$2)</f>
        <v>90.647298591618593</v>
      </c>
      <c r="AH345" s="29">
        <f>INDEX(Tabelle11[#All],Tabelle10[[#This Row],[Spalte1]]+14,$AH$2)</f>
        <v>90.035129896114796</v>
      </c>
      <c r="AI345" s="29">
        <f>INDEX(Tabelle11[#All],Tabelle10[[#This Row],[Spalte1]]+14,$AI$2)</f>
        <v>119.89187876247415</v>
      </c>
      <c r="AJ345" s="29">
        <f>INDEX(Tabelle11[#All],Tabelle10[[#This Row],[Spalte1]]+14,Ranking!$AJ$2)</f>
        <v>89.683216007337776</v>
      </c>
    </row>
    <row r="346" spans="32:36" x14ac:dyDescent="0.25">
      <c r="AF346" s="29">
        <f>IF(IFERROR(Tabelle12[[#This Row],[Spiel]],0)=0,AF345+1,Tabelle12[[#This Row],[Spiel]])</f>
        <v>344</v>
      </c>
      <c r="AG346" s="29">
        <f>INDEX(Tabelle11[#All],Tabelle10[[#This Row],[Spalte1]]+14,Ranking!$AG$2)</f>
        <v>90.647298591618593</v>
      </c>
      <c r="AH346" s="29">
        <f>INDEX(Tabelle11[#All],Tabelle10[[#This Row],[Spalte1]]+14,$AH$2)</f>
        <v>90.035129896114796</v>
      </c>
      <c r="AI346" s="29">
        <f>INDEX(Tabelle11[#All],Tabelle10[[#This Row],[Spalte1]]+14,$AI$2)</f>
        <v>119.89187876247415</v>
      </c>
      <c r="AJ346" s="29">
        <f>INDEX(Tabelle11[#All],Tabelle10[[#This Row],[Spalte1]]+14,Ranking!$AJ$2)</f>
        <v>89.683216007337776</v>
      </c>
    </row>
    <row r="347" spans="32:36" x14ac:dyDescent="0.25">
      <c r="AF347" s="29">
        <f>IF(IFERROR(Tabelle12[[#This Row],[Spiel]],0)=0,AF346+1,Tabelle12[[#This Row],[Spiel]])</f>
        <v>345</v>
      </c>
      <c r="AG347" s="29">
        <f>INDEX(Tabelle11[#All],Tabelle10[[#This Row],[Spalte1]]+14,Ranking!$AG$2)</f>
        <v>90.647298591618593</v>
      </c>
      <c r="AH347" s="29">
        <f>INDEX(Tabelle11[#All],Tabelle10[[#This Row],[Spalte1]]+14,$AH$2)</f>
        <v>90.035129896114796</v>
      </c>
      <c r="AI347" s="29">
        <f>INDEX(Tabelle11[#All],Tabelle10[[#This Row],[Spalte1]]+14,$AI$2)</f>
        <v>119.89187876247415</v>
      </c>
      <c r="AJ347" s="29">
        <f>INDEX(Tabelle11[#All],Tabelle10[[#This Row],[Spalte1]]+14,Ranking!$AJ$2)</f>
        <v>89.683216007337776</v>
      </c>
    </row>
    <row r="348" spans="32:36" x14ac:dyDescent="0.25">
      <c r="AF348" s="29">
        <f>IF(IFERROR(Tabelle12[[#This Row],[Spiel]],0)=0,AF347+1,Tabelle12[[#This Row],[Spiel]])</f>
        <v>346</v>
      </c>
      <c r="AG348" s="29">
        <f>INDEX(Tabelle11[#All],Tabelle10[[#This Row],[Spalte1]]+14,Ranking!$AG$2)</f>
        <v>90.647298591618593</v>
      </c>
      <c r="AH348" s="29">
        <f>INDEX(Tabelle11[#All],Tabelle10[[#This Row],[Spalte1]]+14,$AH$2)</f>
        <v>90.035129896114796</v>
      </c>
      <c r="AI348" s="29">
        <f>INDEX(Tabelle11[#All],Tabelle10[[#This Row],[Spalte1]]+14,$AI$2)</f>
        <v>119.89187876247415</v>
      </c>
      <c r="AJ348" s="29">
        <f>INDEX(Tabelle11[#All],Tabelle10[[#This Row],[Spalte1]]+14,Ranking!$AJ$2)</f>
        <v>90.636108327362095</v>
      </c>
    </row>
    <row r="349" spans="32:36" x14ac:dyDescent="0.25">
      <c r="AF349" s="29">
        <f>IF(IFERROR(Tabelle12[[#This Row],[Spiel]],0)=0,AF348+1,Tabelle12[[#This Row],[Spiel]])</f>
        <v>347</v>
      </c>
      <c r="AG349" s="29">
        <f>INDEX(Tabelle11[#All],Tabelle10[[#This Row],[Spalte1]]+14,Ranking!$AG$2)</f>
        <v>90.647298591618593</v>
      </c>
      <c r="AH349" s="29">
        <f>INDEX(Tabelle11[#All],Tabelle10[[#This Row],[Spalte1]]+14,$AH$2)</f>
        <v>90.035129896114796</v>
      </c>
      <c r="AI349" s="29">
        <f>INDEX(Tabelle11[#All],Tabelle10[[#This Row],[Spalte1]]+14,$AI$2)</f>
        <v>119.89187876247415</v>
      </c>
      <c r="AJ349" s="29">
        <f>INDEX(Tabelle11[#All],Tabelle10[[#This Row],[Spalte1]]+14,Ranking!$AJ$2)</f>
        <v>91.372110379125303</v>
      </c>
    </row>
    <row r="350" spans="32:36" x14ac:dyDescent="0.25">
      <c r="AF350" s="29">
        <f>IF(IFERROR(Tabelle12[[#This Row],[Spiel]],0)=0,AF349+1,Tabelle12[[#This Row],[Spiel]])</f>
        <v>348</v>
      </c>
      <c r="AG350" s="29">
        <f>INDEX(Tabelle11[#All],Tabelle10[[#This Row],[Spalte1]]+14,Ranking!$AG$2)</f>
        <v>90.647298591618593</v>
      </c>
      <c r="AH350" s="29">
        <f>INDEX(Tabelle11[#All],Tabelle10[[#This Row],[Spalte1]]+14,$AH$2)</f>
        <v>90.035129896114796</v>
      </c>
      <c r="AI350" s="29">
        <f>INDEX(Tabelle11[#All],Tabelle10[[#This Row],[Spalte1]]+14,$AI$2)</f>
        <v>121.42682018788986</v>
      </c>
      <c r="AJ350" s="29">
        <f>INDEX(Tabelle11[#All],Tabelle10[[#This Row],[Spalte1]]+14,Ranking!$AJ$2)</f>
        <v>91.372110379125303</v>
      </c>
    </row>
    <row r="351" spans="32:36" x14ac:dyDescent="0.25">
      <c r="AF351" s="29">
        <f>IF(IFERROR(Tabelle12[[#This Row],[Spiel]],0)=0,AF350+1,Tabelle12[[#This Row],[Spiel]])</f>
        <v>349</v>
      </c>
      <c r="AG351" s="29">
        <f>INDEX(Tabelle11[#All],Tabelle10[[#This Row],[Spalte1]]+14,Ranking!$AG$2)</f>
        <v>90.647298591618593</v>
      </c>
      <c r="AH351" s="29">
        <f>INDEX(Tabelle11[#All],Tabelle10[[#This Row],[Spalte1]]+14,$AH$2)</f>
        <v>90.035129896114796</v>
      </c>
      <c r="AI351" s="29">
        <f>INDEX(Tabelle11[#All],Tabelle10[[#This Row],[Spalte1]]+14,$AI$2)</f>
        <v>120.67948879897023</v>
      </c>
      <c r="AJ351" s="29">
        <f>INDEX(Tabelle11[#All],Tabelle10[[#This Row],[Spalte1]]+14,Ranking!$AJ$2)</f>
        <v>91.372110379125303</v>
      </c>
    </row>
    <row r="352" spans="32:36" x14ac:dyDescent="0.25">
      <c r="AF352" s="29">
        <f>IF(IFERROR(Tabelle12[[#This Row],[Spiel]],0)=0,AF351+1,Tabelle12[[#This Row],[Spiel]])</f>
        <v>350</v>
      </c>
      <c r="AG352" s="29">
        <f>INDEX(Tabelle11[#All],Tabelle10[[#This Row],[Spalte1]]+14,Ranking!$AG$2)</f>
        <v>90.647298591618593</v>
      </c>
      <c r="AH352" s="29">
        <f>INDEX(Tabelle11[#All],Tabelle10[[#This Row],[Spalte1]]+14,$AH$2)</f>
        <v>90.035129896114796</v>
      </c>
      <c r="AI352" s="29">
        <f>INDEX(Tabelle11[#All],Tabelle10[[#This Row],[Spalte1]]+14,$AI$2)</f>
        <v>120.21003720596664</v>
      </c>
      <c r="AJ352" s="29">
        <f>INDEX(Tabelle11[#All],Tabelle10[[#This Row],[Spalte1]]+14,Ranking!$AJ$2)</f>
        <v>91.016666523665876</v>
      </c>
    </row>
    <row r="353" spans="32:36" x14ac:dyDescent="0.25">
      <c r="AF353" s="29">
        <f>IF(IFERROR(Tabelle12[[#This Row],[Spiel]],0)=0,AF352+1,Tabelle12[[#This Row],[Spiel]])</f>
        <v>351</v>
      </c>
      <c r="AG353" s="29">
        <f>INDEX(Tabelle11[#All],Tabelle10[[#This Row],[Spalte1]]+14,Ranking!$AG$2)</f>
        <v>90.647298591618593</v>
      </c>
      <c r="AH353" s="29">
        <f>INDEX(Tabelle11[#All],Tabelle10[[#This Row],[Spalte1]]+14,$AH$2)</f>
        <v>90.035129896114796</v>
      </c>
      <c r="AI353" s="29">
        <f>INDEX(Tabelle11[#All],Tabelle10[[#This Row],[Spalte1]]+14,$AI$2)</f>
        <v>122.20924007576623</v>
      </c>
      <c r="AJ353" s="29">
        <f>INDEX(Tabelle11[#All],Tabelle10[[#This Row],[Spalte1]]+14,Ranking!$AJ$2)</f>
        <v>93.657108769464841</v>
      </c>
    </row>
    <row r="354" spans="32:36" x14ac:dyDescent="0.25">
      <c r="AF354" s="29">
        <f>IF(IFERROR(Tabelle12[[#This Row],[Spiel]],0)=0,AF353+1,Tabelle12[[#This Row],[Spiel]])</f>
        <v>352</v>
      </c>
      <c r="AG354" s="29">
        <f>INDEX(Tabelle11[#All],Tabelle10[[#This Row],[Spalte1]]+14,Ranking!$AG$2)</f>
        <v>90.647298591618593</v>
      </c>
      <c r="AH354" s="29">
        <f>INDEX(Tabelle11[#All],Tabelle10[[#This Row],[Spalte1]]+14,$AH$2)</f>
        <v>90.035129896114796</v>
      </c>
      <c r="AI354" s="29">
        <f>INDEX(Tabelle11[#All],Tabelle10[[#This Row],[Spalte1]]+14,$AI$2)</f>
        <v>119.95178291178561</v>
      </c>
      <c r="AJ354" s="29">
        <f>INDEX(Tabelle11[#All],Tabelle10[[#This Row],[Spalte1]]+14,Ranking!$AJ$2)</f>
        <v>93.657108769464841</v>
      </c>
    </row>
    <row r="355" spans="32:36" x14ac:dyDescent="0.25">
      <c r="AF355" s="29">
        <f>IF(IFERROR(Tabelle12[[#This Row],[Spiel]],0)=0,AF354+1,Tabelle12[[#This Row],[Spiel]])</f>
        <v>353</v>
      </c>
      <c r="AG355" s="29">
        <f>INDEX(Tabelle11[#All],Tabelle10[[#This Row],[Spalte1]]+14,Ranking!$AG$2)</f>
        <v>90.647298591618593</v>
      </c>
      <c r="AH355" s="29">
        <f>INDEX(Tabelle11[#All],Tabelle10[[#This Row],[Spalte1]]+14,$AH$2)</f>
        <v>90.035129896114796</v>
      </c>
      <c r="AI355" s="29">
        <f>INDEX(Tabelle11[#All],Tabelle10[[#This Row],[Spalte1]]+14,$AI$2)</f>
        <v>119.51170313733628</v>
      </c>
      <c r="AJ355" s="29">
        <f>INDEX(Tabelle11[#All],Tabelle10[[#This Row],[Spalte1]]+14,Ranking!$AJ$2)</f>
        <v>93.657108769464841</v>
      </c>
    </row>
    <row r="356" spans="32:36" x14ac:dyDescent="0.25">
      <c r="AF356" s="29">
        <f>IF(IFERROR(Tabelle12[[#This Row],[Spiel]],0)=0,AF355+1,Tabelle12[[#This Row],[Spiel]])</f>
        <v>354</v>
      </c>
      <c r="AG356" s="29">
        <f>INDEX(Tabelle11[#All],Tabelle10[[#This Row],[Spalte1]]+14,Ranking!$AG$2)</f>
        <v>90.647298591618593</v>
      </c>
      <c r="AH356" s="29">
        <f>INDEX(Tabelle11[#All],Tabelle10[[#This Row],[Spalte1]]+14,$AH$2)</f>
        <v>90.62169230981722</v>
      </c>
      <c r="AI356" s="29">
        <f>INDEX(Tabelle11[#All],Tabelle10[[#This Row],[Spalte1]]+14,$AI$2)</f>
        <v>119.51170313733628</v>
      </c>
      <c r="AJ356" s="29">
        <f>INDEX(Tabelle11[#All],Tabelle10[[#This Row],[Spalte1]]+14,Ranking!$AJ$2)</f>
        <v>93.657108769464841</v>
      </c>
    </row>
    <row r="357" spans="32:36" x14ac:dyDescent="0.25">
      <c r="AF357" s="29">
        <f>IF(IFERROR(Tabelle12[[#This Row],[Spiel]],0)=0,AF356+1,Tabelle12[[#This Row],[Spiel]])</f>
        <v>355</v>
      </c>
      <c r="AG357" s="29">
        <f>INDEX(Tabelle11[#All],Tabelle10[[#This Row],[Spalte1]]+14,Ranking!$AG$2)</f>
        <v>90.647298591618593</v>
      </c>
      <c r="AH357" s="29">
        <f>INDEX(Tabelle11[#All],Tabelle10[[#This Row],[Spalte1]]+14,$AH$2)</f>
        <v>89.888421316744811</v>
      </c>
      <c r="AI357" s="29">
        <f>INDEX(Tabelle11[#All],Tabelle10[[#This Row],[Spalte1]]+14,$AI$2)</f>
        <v>119.51170313733628</v>
      </c>
      <c r="AJ357" s="29">
        <f>INDEX(Tabelle11[#All],Tabelle10[[#This Row],[Spalte1]]+14,Ranking!$AJ$2)</f>
        <v>93.657108769464841</v>
      </c>
    </row>
    <row r="358" spans="32:36" x14ac:dyDescent="0.25">
      <c r="AF358" s="29">
        <f>IF(IFERROR(Tabelle12[[#This Row],[Spiel]],0)=0,AF357+1,Tabelle12[[#This Row],[Spiel]])</f>
        <v>356</v>
      </c>
      <c r="AG358" s="29">
        <f>INDEX(Tabelle11[#All],Tabelle10[[#This Row],[Spalte1]]+14,Ranking!$AG$2)</f>
        <v>90.647298591618593</v>
      </c>
      <c r="AH358" s="29">
        <f>INDEX(Tabelle11[#All],Tabelle10[[#This Row],[Spalte1]]+14,$AH$2)</f>
        <v>89.888421316744811</v>
      </c>
      <c r="AI358" s="29">
        <f>INDEX(Tabelle11[#All],Tabelle10[[#This Row],[Spalte1]]+14,$AI$2)</f>
        <v>119.51170313733628</v>
      </c>
      <c r="AJ358" s="29">
        <f>INDEX(Tabelle11[#All],Tabelle10[[#This Row],[Spalte1]]+14,Ranking!$AJ$2)</f>
        <v>93.657108769464841</v>
      </c>
    </row>
    <row r="359" spans="32:36" x14ac:dyDescent="0.25">
      <c r="AF359" s="29">
        <f>IF(IFERROR(Tabelle12[[#This Row],[Spiel]],0)=0,AF358+1,Tabelle12[[#This Row],[Spiel]])</f>
        <v>357</v>
      </c>
      <c r="AG359" s="29">
        <f>INDEX(Tabelle11[#All],Tabelle10[[#This Row],[Spalte1]]+14,Ranking!$AG$2)</f>
        <v>90.647298591618593</v>
      </c>
      <c r="AH359" s="29">
        <f>INDEX(Tabelle11[#All],Tabelle10[[#This Row],[Spalte1]]+14,$AH$2)</f>
        <v>89.888421316744811</v>
      </c>
      <c r="AI359" s="29">
        <f>INDEX(Tabelle11[#All],Tabelle10[[#This Row],[Spalte1]]+14,$AI$2)</f>
        <v>119.51170313733628</v>
      </c>
      <c r="AJ359" s="29">
        <f>INDEX(Tabelle11[#All],Tabelle10[[#This Row],[Spalte1]]+14,Ranking!$AJ$2)</f>
        <v>93.657108769464841</v>
      </c>
    </row>
    <row r="360" spans="32:36" x14ac:dyDescent="0.25">
      <c r="AF360" s="29">
        <f>IF(IFERROR(Tabelle12[[#This Row],[Spiel]],0)=0,AF359+1,Tabelle12[[#This Row],[Spiel]])</f>
        <v>358</v>
      </c>
      <c r="AG360" s="29">
        <f>INDEX(Tabelle11[#All],Tabelle10[[#This Row],[Spalte1]]+14,Ranking!$AG$2)</f>
        <v>90.647298591618593</v>
      </c>
      <c r="AH360" s="29">
        <f>INDEX(Tabelle11[#All],Tabelle10[[#This Row],[Spalte1]]+14,$AH$2)</f>
        <v>89.888421316744811</v>
      </c>
      <c r="AI360" s="29">
        <f>INDEX(Tabelle11[#All],Tabelle10[[#This Row],[Spalte1]]+14,$AI$2)</f>
        <v>119.51170313733628</v>
      </c>
      <c r="AJ360" s="29">
        <f>INDEX(Tabelle11[#All],Tabelle10[[#This Row],[Spalte1]]+14,Ranking!$AJ$2)</f>
        <v>93.657108769464841</v>
      </c>
    </row>
    <row r="361" spans="32:36" x14ac:dyDescent="0.25">
      <c r="AF361" s="29">
        <f>IF(IFERROR(Tabelle12[[#This Row],[Spiel]],0)=0,AF360+1,Tabelle12[[#This Row],[Spiel]])</f>
        <v>359</v>
      </c>
      <c r="AG361" s="29">
        <f>INDEX(Tabelle11[#All],Tabelle10[[#This Row],[Spalte1]]+14,Ranking!$AG$2)</f>
        <v>90.647298591618593</v>
      </c>
      <c r="AH361" s="29">
        <f>INDEX(Tabelle11[#All],Tabelle10[[#This Row],[Spalte1]]+14,$AH$2)</f>
        <v>89.888421316744811</v>
      </c>
      <c r="AI361" s="29">
        <f>INDEX(Tabelle11[#All],Tabelle10[[#This Row],[Spalte1]]+14,$AI$2)</f>
        <v>119.51170313733628</v>
      </c>
      <c r="AJ361" s="29">
        <f>INDEX(Tabelle11[#All],Tabelle10[[#This Row],[Spalte1]]+14,Ranking!$AJ$2)</f>
        <v>93.657108769464841</v>
      </c>
    </row>
    <row r="362" spans="32:36" x14ac:dyDescent="0.25">
      <c r="AF362" s="29">
        <f>IF(IFERROR(Tabelle12[[#This Row],[Spiel]],0)=0,AF361+1,Tabelle12[[#This Row],[Spiel]])</f>
        <v>360</v>
      </c>
      <c r="AG362" s="29">
        <f>INDEX(Tabelle11[#All],Tabelle10[[#This Row],[Spalte1]]+14,Ranking!$AG$2)</f>
        <v>90.647298591618593</v>
      </c>
      <c r="AH362" s="29">
        <f>INDEX(Tabelle11[#All],Tabelle10[[#This Row],[Spalte1]]+14,$AH$2)</f>
        <v>89.888421316744811</v>
      </c>
      <c r="AI362" s="29">
        <f>INDEX(Tabelle11[#All],Tabelle10[[#This Row],[Spalte1]]+14,$AI$2)</f>
        <v>119.51170313733628</v>
      </c>
      <c r="AJ362" s="29">
        <f>INDEX(Tabelle11[#All],Tabelle10[[#This Row],[Spalte1]]+14,Ranking!$AJ$2)</f>
        <v>93.657108769464841</v>
      </c>
    </row>
    <row r="363" spans="32:36" x14ac:dyDescent="0.25">
      <c r="AF363" s="29">
        <f>IF(IFERROR(Tabelle12[[#This Row],[Spiel]],0)=0,AF362+1,Tabelle12[[#This Row],[Spiel]])</f>
        <v>361</v>
      </c>
      <c r="AG363" s="29">
        <f>INDEX(Tabelle11[#All],Tabelle10[[#This Row],[Spalte1]]+14,Ranking!$AG$2)</f>
        <v>90.647298591618593</v>
      </c>
      <c r="AH363" s="29">
        <f>INDEX(Tabelle11[#All],Tabelle10[[#This Row],[Spalte1]]+14,$AH$2)</f>
        <v>89.888421316744811</v>
      </c>
      <c r="AI363" s="29">
        <f>INDEX(Tabelle11[#All],Tabelle10[[#This Row],[Spalte1]]+14,$AI$2)</f>
        <v>119.51170313733628</v>
      </c>
      <c r="AJ363" s="29">
        <f>INDEX(Tabelle11[#All],Tabelle10[[#This Row],[Spalte1]]+14,Ranking!$AJ$2)</f>
        <v>93.657108769464841</v>
      </c>
    </row>
    <row r="364" spans="32:36" x14ac:dyDescent="0.25">
      <c r="AF364" s="29">
        <f>IF(IFERROR(Tabelle12[[#This Row],[Spiel]],0)=0,AF363+1,Tabelle12[[#This Row],[Spiel]])</f>
        <v>362</v>
      </c>
      <c r="AG364" s="29">
        <f>INDEX(Tabelle11[#All],Tabelle10[[#This Row],[Spalte1]]+14,Ranking!$AG$2)</f>
        <v>90.647298591618593</v>
      </c>
      <c r="AH364" s="29">
        <f>INDEX(Tabelle11[#All],Tabelle10[[#This Row],[Spalte1]]+14,$AH$2)</f>
        <v>90.471435624447579</v>
      </c>
      <c r="AI364" s="29">
        <f>INDEX(Tabelle11[#All],Tabelle10[[#This Row],[Spalte1]]+14,$AI$2)</f>
        <v>119.51170313733628</v>
      </c>
      <c r="AJ364" s="29">
        <f>INDEX(Tabelle11[#All],Tabelle10[[#This Row],[Spalte1]]+14,Ranking!$AJ$2)</f>
        <v>93.657108769464841</v>
      </c>
    </row>
    <row r="365" spans="32:36" x14ac:dyDescent="0.25">
      <c r="AF365" s="29">
        <f>IF(IFERROR(Tabelle12[[#This Row],[Spiel]],0)=0,AF364+1,Tabelle12[[#This Row],[Spiel]])</f>
        <v>363</v>
      </c>
      <c r="AG365" s="29">
        <f>INDEX(Tabelle11[#All],Tabelle10[[#This Row],[Spalte1]]+14,Ranking!$AG$2)</f>
        <v>90.647298591618593</v>
      </c>
      <c r="AH365" s="29">
        <f>INDEX(Tabelle11[#All],Tabelle10[[#This Row],[Spalte1]]+14,$AH$2)</f>
        <v>91.776891186653899</v>
      </c>
      <c r="AI365" s="29">
        <f>INDEX(Tabelle11[#All],Tabelle10[[#This Row],[Spalte1]]+14,$AI$2)</f>
        <v>119.51170313733628</v>
      </c>
      <c r="AJ365" s="29">
        <f>INDEX(Tabelle11[#All],Tabelle10[[#This Row],[Spalte1]]+14,Ranking!$AJ$2)</f>
        <v>93.657108769464841</v>
      </c>
    </row>
    <row r="366" spans="32:36" x14ac:dyDescent="0.25">
      <c r="AF366" s="29">
        <f>IF(IFERROR(Tabelle12[[#This Row],[Spiel]],0)=0,AF365+1,Tabelle12[[#This Row],[Spiel]])</f>
        <v>364</v>
      </c>
      <c r="AG366" s="29">
        <f>INDEX(Tabelle11[#All],Tabelle10[[#This Row],[Spalte1]]+14,Ranking!$AG$2)</f>
        <v>90.647298591618593</v>
      </c>
      <c r="AH366" s="29">
        <f>INDEX(Tabelle11[#All],Tabelle10[[#This Row],[Spalte1]]+14,$AH$2)</f>
        <v>91.776891186653899</v>
      </c>
      <c r="AI366" s="29">
        <f>INDEX(Tabelle11[#All],Tabelle10[[#This Row],[Spalte1]]+14,$AI$2)</f>
        <v>119.51170313733628</v>
      </c>
      <c r="AJ366" s="29">
        <f>INDEX(Tabelle11[#All],Tabelle10[[#This Row],[Spalte1]]+14,Ranking!$AJ$2)</f>
        <v>93.657108769464841</v>
      </c>
    </row>
    <row r="367" spans="32:36" x14ac:dyDescent="0.25">
      <c r="AF367" s="29">
        <f>IF(IFERROR(Tabelle12[[#This Row],[Spiel]],0)=0,AF366+1,Tabelle12[[#This Row],[Spiel]])</f>
        <v>365</v>
      </c>
      <c r="AG367" s="29">
        <f>INDEX(Tabelle11[#All],Tabelle10[[#This Row],[Spalte1]]+14,Ranking!$AG$2)</f>
        <v>90.647298591618593</v>
      </c>
      <c r="AH367" s="29">
        <f>INDEX(Tabelle11[#All],Tabelle10[[#This Row],[Spalte1]]+14,$AH$2)</f>
        <v>91.776891186653899</v>
      </c>
      <c r="AI367" s="29">
        <f>INDEX(Tabelle11[#All],Tabelle10[[#This Row],[Spalte1]]+14,$AI$2)</f>
        <v>119.51170313733628</v>
      </c>
      <c r="AJ367" s="29">
        <f>INDEX(Tabelle11[#All],Tabelle10[[#This Row],[Spalte1]]+14,Ranking!$AJ$2)</f>
        <v>93.657108769464841</v>
      </c>
    </row>
    <row r="368" spans="32:36" x14ac:dyDescent="0.25">
      <c r="AF368" s="29">
        <f>IF(IFERROR(Tabelle12[[#This Row],[Spiel]],0)=0,AF367+1,Tabelle12[[#This Row],[Spiel]])</f>
        <v>366</v>
      </c>
      <c r="AG368" s="29">
        <f>INDEX(Tabelle11[#All],Tabelle10[[#This Row],[Spalte1]]+14,Ranking!$AG$2)</f>
        <v>90.647298591618593</v>
      </c>
      <c r="AH368" s="29">
        <f>INDEX(Tabelle11[#All],Tabelle10[[#This Row],[Spalte1]]+14,$AH$2)</f>
        <v>91.776891186653899</v>
      </c>
      <c r="AI368" s="29">
        <f>INDEX(Tabelle11[#All],Tabelle10[[#This Row],[Spalte1]]+14,$AI$2)</f>
        <v>119.51170313733628</v>
      </c>
      <c r="AJ368" s="29">
        <f>INDEX(Tabelle11[#All],Tabelle10[[#This Row],[Spalte1]]+14,Ranking!$AJ$2)</f>
        <v>93.657108769464841</v>
      </c>
    </row>
    <row r="369" spans="32:36" x14ac:dyDescent="0.25">
      <c r="AF369" s="29">
        <f>IF(IFERROR(Tabelle12[[#This Row],[Spiel]],0)=0,AF368+1,Tabelle12[[#This Row],[Spiel]])</f>
        <v>367</v>
      </c>
      <c r="AG369" s="29">
        <f>INDEX(Tabelle11[#All],Tabelle10[[#This Row],[Spalte1]]+14,Ranking!$AG$2)</f>
        <v>90.647298591618593</v>
      </c>
      <c r="AH369" s="29">
        <f>INDEX(Tabelle11[#All],Tabelle10[[#This Row],[Spalte1]]+14,$AH$2)</f>
        <v>91.776891186653899</v>
      </c>
      <c r="AI369" s="29">
        <f>INDEX(Tabelle11[#All],Tabelle10[[#This Row],[Spalte1]]+14,$AI$2)</f>
        <v>119.51170313733628</v>
      </c>
      <c r="AJ369" s="29">
        <f>INDEX(Tabelle11[#All],Tabelle10[[#This Row],[Spalte1]]+14,Ranking!$AJ$2)</f>
        <v>93.657108769464841</v>
      </c>
    </row>
    <row r="370" spans="32:36" x14ac:dyDescent="0.25">
      <c r="AF370" s="29">
        <f>IF(IFERROR(Tabelle12[[#This Row],[Spiel]],0)=0,AF369+1,Tabelle12[[#This Row],[Spiel]])</f>
        <v>368</v>
      </c>
      <c r="AG370" s="29">
        <f>INDEX(Tabelle11[#All],Tabelle10[[#This Row],[Spalte1]]+14,Ranking!$AG$2)</f>
        <v>90.647298591618593</v>
      </c>
      <c r="AH370" s="29">
        <f>INDEX(Tabelle11[#All],Tabelle10[[#This Row],[Spalte1]]+14,$AH$2)</f>
        <v>91.776891186653899</v>
      </c>
      <c r="AI370" s="29">
        <f>INDEX(Tabelle11[#All],Tabelle10[[#This Row],[Spalte1]]+14,$AI$2)</f>
        <v>119.51170313733628</v>
      </c>
      <c r="AJ370" s="29">
        <f>INDEX(Tabelle11[#All],Tabelle10[[#This Row],[Spalte1]]+14,Ranking!$AJ$2)</f>
        <v>93.657108769464841</v>
      </c>
    </row>
    <row r="371" spans="32:36" x14ac:dyDescent="0.25">
      <c r="AF371" s="29">
        <f>IF(IFERROR(Tabelle12[[#This Row],[Spiel]],0)=0,AF370+1,Tabelle12[[#This Row],[Spiel]])</f>
        <v>369</v>
      </c>
      <c r="AG371" s="29">
        <f>INDEX(Tabelle11[#All],Tabelle10[[#This Row],[Spalte1]]+14,Ranking!$AG$2)</f>
        <v>90.647298591618593</v>
      </c>
      <c r="AH371" s="29">
        <f>INDEX(Tabelle11[#All],Tabelle10[[#This Row],[Spalte1]]+14,$AH$2)</f>
        <v>91.776891186653899</v>
      </c>
      <c r="AI371" s="29">
        <f>INDEX(Tabelle11[#All],Tabelle10[[#This Row],[Spalte1]]+14,$AI$2)</f>
        <v>119.51170313733628</v>
      </c>
      <c r="AJ371" s="29">
        <f>INDEX(Tabelle11[#All],Tabelle10[[#This Row],[Spalte1]]+14,Ranking!$AJ$2)</f>
        <v>93.657108769464841</v>
      </c>
    </row>
    <row r="372" spans="32:36" x14ac:dyDescent="0.25">
      <c r="AF372" s="29">
        <f>IF(IFERROR(Tabelle12[[#This Row],[Spiel]],0)=0,AF371+1,Tabelle12[[#This Row],[Spiel]])</f>
        <v>370</v>
      </c>
      <c r="AG372" s="29">
        <f>INDEX(Tabelle11[#All],Tabelle10[[#This Row],[Spalte1]]+14,Ranking!$AG$2)</f>
        <v>90.647298591618593</v>
      </c>
      <c r="AH372" s="29">
        <f>INDEX(Tabelle11[#All],Tabelle10[[#This Row],[Spalte1]]+14,$AH$2)</f>
        <v>91.776891186653899</v>
      </c>
      <c r="AI372" s="29">
        <f>INDEX(Tabelle11[#All],Tabelle10[[#This Row],[Spalte1]]+14,$AI$2)</f>
        <v>119.51170313733628</v>
      </c>
      <c r="AJ372" s="29">
        <f>INDEX(Tabelle11[#All],Tabelle10[[#This Row],[Spalte1]]+14,Ranking!$AJ$2)</f>
        <v>92.099865406162351</v>
      </c>
    </row>
    <row r="373" spans="32:36" x14ac:dyDescent="0.25">
      <c r="AF373" s="29">
        <f>IF(IFERROR(Tabelle12[[#This Row],[Spiel]],0)=0,AF372+1,Tabelle12[[#This Row],[Spiel]])</f>
        <v>371</v>
      </c>
      <c r="AG373" s="29">
        <f>INDEX(Tabelle11[#All],Tabelle10[[#This Row],[Spalte1]]+14,Ranking!$AG$2)</f>
        <v>90.647298591618593</v>
      </c>
      <c r="AH373" s="29">
        <f>INDEX(Tabelle11[#All],Tabelle10[[#This Row],[Spalte1]]+14,$AH$2)</f>
        <v>91.776891186653899</v>
      </c>
      <c r="AI373" s="29">
        <f>INDEX(Tabelle11[#All],Tabelle10[[#This Row],[Spalte1]]+14,$AI$2)</f>
        <v>119.51170313733628</v>
      </c>
      <c r="AJ373" s="29">
        <f>INDEX(Tabelle11[#All],Tabelle10[[#This Row],[Spalte1]]+14,Ranking!$AJ$2)</f>
        <v>90.872841510233741</v>
      </c>
    </row>
    <row r="374" spans="32:36" x14ac:dyDescent="0.25">
      <c r="AF374" s="29">
        <f>IF(IFERROR(Tabelle12[[#This Row],[Spiel]],0)=0,AF373+1,Tabelle12[[#This Row],[Spiel]])</f>
        <v>372</v>
      </c>
      <c r="AG374" s="29">
        <f>INDEX(Tabelle11[#All],Tabelle10[[#This Row],[Spalte1]]+14,Ranking!$AG$2)</f>
        <v>90.647298591618593</v>
      </c>
      <c r="AH374" s="29">
        <f>INDEX(Tabelle11[#All],Tabelle10[[#This Row],[Spalte1]]+14,$AH$2)</f>
        <v>92.030758767969417</v>
      </c>
      <c r="AI374" s="29">
        <f>INDEX(Tabelle11[#All],Tabelle10[[#This Row],[Spalte1]]+14,$AI$2)</f>
        <v>119.51170313733628</v>
      </c>
      <c r="AJ374" s="29">
        <f>INDEX(Tabelle11[#All],Tabelle10[[#This Row],[Spalte1]]+14,Ranking!$AJ$2)</f>
        <v>90.654057897542273</v>
      </c>
    </row>
    <row r="375" spans="32:36" x14ac:dyDescent="0.25">
      <c r="AF375" s="29">
        <f>IF(IFERROR(Tabelle12[[#This Row],[Spiel]],0)=0,AF374+1,Tabelle12[[#This Row],[Spiel]])</f>
        <v>373</v>
      </c>
      <c r="AG375" s="29">
        <f>INDEX(Tabelle11[#All],Tabelle10[[#This Row],[Spalte1]]+14,Ranking!$AG$2)</f>
        <v>90.647298591618593</v>
      </c>
      <c r="AH375" s="29">
        <f>INDEX(Tabelle11[#All],Tabelle10[[#This Row],[Spalte1]]+14,$AH$2)</f>
        <v>91.777630284561994</v>
      </c>
      <c r="AI375" s="29">
        <f>INDEX(Tabelle11[#All],Tabelle10[[#This Row],[Spalte1]]+14,$AI$2)</f>
        <v>119.51170313733628</v>
      </c>
      <c r="AJ375" s="29">
        <f>INDEX(Tabelle11[#All],Tabelle10[[#This Row],[Spalte1]]+14,Ranking!$AJ$2)</f>
        <v>90.94910125907063</v>
      </c>
    </row>
    <row r="376" spans="32:36" x14ac:dyDescent="0.25">
      <c r="AF376" s="29">
        <f>IF(IFERROR(Tabelle12[[#This Row],[Spiel]],0)=0,AF375+1,Tabelle12[[#This Row],[Spiel]])</f>
        <v>374</v>
      </c>
      <c r="AG376" s="29">
        <f>INDEX(Tabelle11[#All],Tabelle10[[#This Row],[Spalte1]]+14,Ranking!$AG$2)</f>
        <v>90.647298591618593</v>
      </c>
      <c r="AH376" s="29">
        <f>INDEX(Tabelle11[#All],Tabelle10[[#This Row],[Spalte1]]+14,$AH$2)</f>
        <v>91.777630284561994</v>
      </c>
      <c r="AI376" s="29">
        <f>INDEX(Tabelle11[#All],Tabelle10[[#This Row],[Spalte1]]+14,$AI$2)</f>
        <v>119.51170313733628</v>
      </c>
      <c r="AJ376" s="29">
        <f>INDEX(Tabelle11[#All],Tabelle10[[#This Row],[Spalte1]]+14,Ranking!$AJ$2)</f>
        <v>90.978075177732336</v>
      </c>
    </row>
    <row r="377" spans="32:36" x14ac:dyDescent="0.25">
      <c r="AF377" s="29">
        <f>IF(IFERROR(Tabelle12[[#This Row],[Spiel]],0)=0,AF376+1,Tabelle12[[#This Row],[Spiel]])</f>
        <v>375</v>
      </c>
      <c r="AG377" s="29">
        <f>INDEX(Tabelle11[#All],Tabelle10[[#This Row],[Spalte1]]+14,Ranking!$AG$2)</f>
        <v>90.647298591618593</v>
      </c>
      <c r="AH377" s="29">
        <f>INDEX(Tabelle11[#All],Tabelle10[[#This Row],[Spalte1]]+14,$AH$2)</f>
        <v>91.777630284561994</v>
      </c>
      <c r="AI377" s="29">
        <f>INDEX(Tabelle11[#All],Tabelle10[[#This Row],[Spalte1]]+14,$AI$2)</f>
        <v>119.51170313733628</v>
      </c>
      <c r="AJ377" s="29">
        <f>INDEX(Tabelle11[#All],Tabelle10[[#This Row],[Spalte1]]+14,Ranking!$AJ$2)</f>
        <v>93.061921023575309</v>
      </c>
    </row>
    <row r="378" spans="32:36" x14ac:dyDescent="0.25">
      <c r="AF378" s="29">
        <f>IF(IFERROR(Tabelle12[[#This Row],[Spiel]],0)=0,AF377+1,Tabelle12[[#This Row],[Spiel]])</f>
        <v>376</v>
      </c>
      <c r="AG378" s="29">
        <f>INDEX(Tabelle11[#All],Tabelle10[[#This Row],[Spalte1]]+14,Ranking!$AG$2)</f>
        <v>94.578811535954415</v>
      </c>
      <c r="AH378" s="29">
        <f>INDEX(Tabelle11[#All],Tabelle10[[#This Row],[Spalte1]]+14,$AH$2)</f>
        <v>88.057031773727644</v>
      </c>
      <c r="AI378" s="29">
        <f>INDEX(Tabelle11[#All],Tabelle10[[#This Row],[Spalte1]]+14,$AI$2)</f>
        <v>119.51170313733628</v>
      </c>
      <c r="AJ378" s="29">
        <f>INDEX(Tabelle11[#All],Tabelle10[[#This Row],[Spalte1]]+14,Ranking!$AJ$2)</f>
        <v>93.061921023575309</v>
      </c>
    </row>
    <row r="379" spans="32:36" x14ac:dyDescent="0.25">
      <c r="AF379" s="29">
        <f>IF(IFERROR(Tabelle12[[#This Row],[Spiel]],0)=0,AF378+1,Tabelle12[[#This Row],[Spiel]])</f>
        <v>377</v>
      </c>
      <c r="AG379" s="29">
        <f>INDEX(Tabelle11[#All],Tabelle10[[#This Row],[Spalte1]]+14,Ranking!$AG$2)</f>
        <v>96.741614334843746</v>
      </c>
      <c r="AH379" s="29">
        <f>INDEX(Tabelle11[#All],Tabelle10[[#This Row],[Spalte1]]+14,$AH$2)</f>
        <v>85.996526776220264</v>
      </c>
      <c r="AI379" s="29">
        <f>INDEX(Tabelle11[#All],Tabelle10[[#This Row],[Spalte1]]+14,$AI$2)</f>
        <v>119.51170313733628</v>
      </c>
      <c r="AJ379" s="29">
        <f>INDEX(Tabelle11[#All],Tabelle10[[#This Row],[Spalte1]]+14,Ranking!$AJ$2)</f>
        <v>93.061921023575309</v>
      </c>
    </row>
    <row r="380" spans="32:36" x14ac:dyDescent="0.25">
      <c r="AF380" s="29">
        <f>IF(IFERROR(Tabelle12[[#This Row],[Spiel]],0)=0,AF379+1,Tabelle12[[#This Row],[Spiel]])</f>
        <v>378</v>
      </c>
      <c r="AG380" s="29">
        <f>INDEX(Tabelle11[#All],Tabelle10[[#This Row],[Spalte1]]+14,Ranking!$AG$2)</f>
        <v>93.782855155388518</v>
      </c>
      <c r="AH380" s="29">
        <f>INDEX(Tabelle11[#All],Tabelle10[[#This Row],[Spalte1]]+14,$AH$2)</f>
        <v>89.688736078720709</v>
      </c>
      <c r="AI380" s="29">
        <f>INDEX(Tabelle11[#All],Tabelle10[[#This Row],[Spalte1]]+14,$AI$2)</f>
        <v>119.51170313733628</v>
      </c>
      <c r="AJ380" s="29">
        <f>INDEX(Tabelle11[#All],Tabelle10[[#This Row],[Spalte1]]+14,Ranking!$AJ$2)</f>
        <v>93.061921023575309</v>
      </c>
    </row>
    <row r="381" spans="32:36" x14ac:dyDescent="0.25">
      <c r="AF381" s="29">
        <f>IF(IFERROR(Tabelle12[[#This Row],[Spiel]],0)=0,AF380+1,Tabelle12[[#This Row],[Spiel]])</f>
        <v>379</v>
      </c>
      <c r="AG381" s="29">
        <f>INDEX(Tabelle11[#All],Tabelle10[[#This Row],[Spalte1]]+14,Ranking!$AG$2)</f>
        <v>91.499563034783122</v>
      </c>
      <c r="AH381" s="29">
        <f>INDEX(Tabelle11[#All],Tabelle10[[#This Row],[Spalte1]]+14,$AH$2)</f>
        <v>92.514595770788461</v>
      </c>
      <c r="AI381" s="29">
        <f>INDEX(Tabelle11[#All],Tabelle10[[#This Row],[Spalte1]]+14,$AI$2)</f>
        <v>119.51170313733628</v>
      </c>
      <c r="AJ381" s="29">
        <f>INDEX(Tabelle11[#All],Tabelle10[[#This Row],[Spalte1]]+14,Ranking!$AJ$2)</f>
        <v>93.061921023575309</v>
      </c>
    </row>
    <row r="382" spans="32:36" x14ac:dyDescent="0.25">
      <c r="AF382" s="29">
        <f>IF(IFERROR(Tabelle12[[#This Row],[Spiel]],0)=0,AF381+1,Tabelle12[[#This Row],[Spiel]])</f>
        <v>380</v>
      </c>
      <c r="AG382" s="29">
        <f>INDEX(Tabelle11[#All],Tabelle10[[#This Row],[Spalte1]]+14,Ranking!$AG$2)</f>
        <v>91.499563034783122</v>
      </c>
      <c r="AH382" s="29">
        <f>INDEX(Tabelle11[#All],Tabelle10[[#This Row],[Spalte1]]+14,$AH$2)</f>
        <v>92.514595770788461</v>
      </c>
      <c r="AI382" s="29">
        <f>INDEX(Tabelle11[#All],Tabelle10[[#This Row],[Spalte1]]+14,$AI$2)</f>
        <v>119.51170313733628</v>
      </c>
      <c r="AJ382" s="29">
        <f>INDEX(Tabelle11[#All],Tabelle10[[#This Row],[Spalte1]]+14,Ranking!$AJ$2)</f>
        <v>93.061921023575309</v>
      </c>
    </row>
    <row r="383" spans="32:36" x14ac:dyDescent="0.25">
      <c r="AF383" s="29">
        <f>IF(IFERROR(Tabelle12[[#This Row],[Spiel]],0)=0,AF382+1,Tabelle12[[#This Row],[Spiel]])</f>
        <v>381</v>
      </c>
      <c r="AG383" s="29">
        <f>INDEX(Tabelle11[#All],Tabelle10[[#This Row],[Spalte1]]+14,Ranking!$AG$2)</f>
        <v>91.499563034783122</v>
      </c>
      <c r="AH383" s="29">
        <f>INDEX(Tabelle11[#All],Tabelle10[[#This Row],[Spalte1]]+14,$AH$2)</f>
        <v>92.514595770788461</v>
      </c>
      <c r="AI383" s="29">
        <f>INDEX(Tabelle11[#All],Tabelle10[[#This Row],[Spalte1]]+14,$AI$2)</f>
        <v>119.51170313733628</v>
      </c>
      <c r="AJ383" s="29">
        <f>INDEX(Tabelle11[#All],Tabelle10[[#This Row],[Spalte1]]+14,Ranking!$AJ$2)</f>
        <v>93.061921023575309</v>
      </c>
    </row>
    <row r="384" spans="32:36" x14ac:dyDescent="0.25">
      <c r="AF384" s="29">
        <f>IF(IFERROR(Tabelle12[[#This Row],[Spiel]],0)=0,AF383+1,Tabelle12[[#This Row],[Spiel]])</f>
        <v>382</v>
      </c>
      <c r="AG384" s="29">
        <f>INDEX(Tabelle11[#All],Tabelle10[[#This Row],[Spalte1]]+14,Ranking!$AG$2)</f>
        <v>91.499563034783122</v>
      </c>
      <c r="AH384" s="29">
        <f>INDEX(Tabelle11[#All],Tabelle10[[#This Row],[Spalte1]]+14,$AH$2)</f>
        <v>92.00554179721621</v>
      </c>
      <c r="AI384" s="29">
        <f>INDEX(Tabelle11[#All],Tabelle10[[#This Row],[Spalte1]]+14,$AI$2)</f>
        <v>119.51170313733628</v>
      </c>
      <c r="AJ384" s="29">
        <f>INDEX(Tabelle11[#All],Tabelle10[[#This Row],[Spalte1]]+14,Ranking!$AJ$2)</f>
        <v>93.638238826059791</v>
      </c>
    </row>
    <row r="385" spans="32:36" x14ac:dyDescent="0.25">
      <c r="AF385" s="29">
        <f>IF(IFERROR(Tabelle12[[#This Row],[Spiel]],0)=0,AF384+1,Tabelle12[[#This Row],[Spiel]])</f>
        <v>383</v>
      </c>
      <c r="AG385" s="29">
        <f>INDEX(Tabelle11[#All],Tabelle10[[#This Row],[Spalte1]]+14,Ranking!$AG$2)</f>
        <v>91.499563034783122</v>
      </c>
      <c r="AH385" s="29">
        <f>INDEX(Tabelle11[#All],Tabelle10[[#This Row],[Spalte1]]+14,$AH$2)</f>
        <v>92.850380704744865</v>
      </c>
      <c r="AI385" s="29">
        <f>INDEX(Tabelle11[#All],Tabelle10[[#This Row],[Spalte1]]+14,$AI$2)</f>
        <v>119.51170313733628</v>
      </c>
      <c r="AJ385" s="29">
        <f>INDEX(Tabelle11[#All],Tabelle10[[#This Row],[Spalte1]]+14,Ranking!$AJ$2)</f>
        <v>92.892445928251206</v>
      </c>
    </row>
    <row r="386" spans="32:36" x14ac:dyDescent="0.25">
      <c r="AF386" s="29">
        <f>IF(IFERROR(Tabelle12[[#This Row],[Spiel]],0)=0,AF385+1,Tabelle12[[#This Row],[Spiel]])</f>
        <v>384</v>
      </c>
      <c r="AG386" s="29">
        <f>INDEX(Tabelle11[#All],Tabelle10[[#This Row],[Spalte1]]+14,Ranking!$AG$2)</f>
        <v>91.499563034783122</v>
      </c>
      <c r="AH386" s="29">
        <f>INDEX(Tabelle11[#All],Tabelle10[[#This Row],[Spalte1]]+14,$AH$2)</f>
        <v>92.850380704744865</v>
      </c>
      <c r="AI386" s="29">
        <f>INDEX(Tabelle11[#All],Tabelle10[[#This Row],[Spalte1]]+14,$AI$2)</f>
        <v>119.51170313733628</v>
      </c>
      <c r="AJ386" s="29">
        <f>INDEX(Tabelle11[#All],Tabelle10[[#This Row],[Spalte1]]+14,Ranking!$AJ$2)</f>
        <v>92.892445928251206</v>
      </c>
    </row>
    <row r="387" spans="32:36" x14ac:dyDescent="0.25">
      <c r="AF387" s="29">
        <f>IF(IFERROR(Tabelle12[[#This Row],[Spiel]],0)=0,AF386+1,Tabelle12[[#This Row],[Spiel]])</f>
        <v>385</v>
      </c>
      <c r="AG387" s="29">
        <f>INDEX(Tabelle11[#All],Tabelle10[[#This Row],[Spalte1]]+14,Ranking!$AG$2)</f>
        <v>91.499563034783122</v>
      </c>
      <c r="AH387" s="29">
        <f>INDEX(Tabelle11[#All],Tabelle10[[#This Row],[Spalte1]]+14,$AH$2)</f>
        <v>92.850380704744865</v>
      </c>
      <c r="AI387" s="29">
        <f>INDEX(Tabelle11[#All],Tabelle10[[#This Row],[Spalte1]]+14,$AI$2)</f>
        <v>119.51170313733628</v>
      </c>
      <c r="AJ387" s="29">
        <f>INDEX(Tabelle11[#All],Tabelle10[[#This Row],[Spalte1]]+14,Ranking!$AJ$2)</f>
        <v>92.892445928251206</v>
      </c>
    </row>
    <row r="388" spans="32:36" x14ac:dyDescent="0.25">
      <c r="AF388" s="29">
        <f>IF(IFERROR(Tabelle12[[#This Row],[Spiel]],0)=0,AF387+1,Tabelle12[[#This Row],[Spiel]])</f>
        <v>386</v>
      </c>
      <c r="AG388" s="29">
        <f>INDEX(Tabelle11[#All],Tabelle10[[#This Row],[Spalte1]]+14,Ranking!$AG$2)</f>
        <v>91.499563034783122</v>
      </c>
      <c r="AH388" s="29">
        <f>INDEX(Tabelle11[#All],Tabelle10[[#This Row],[Spalte1]]+14,$AH$2)</f>
        <v>92.850380704744865</v>
      </c>
      <c r="AI388" s="29">
        <f>INDEX(Tabelle11[#All],Tabelle10[[#This Row],[Spalte1]]+14,$AI$2)</f>
        <v>119.51170313733628</v>
      </c>
      <c r="AJ388" s="29">
        <f>INDEX(Tabelle11[#All],Tabelle10[[#This Row],[Spalte1]]+14,Ranking!$AJ$2)</f>
        <v>92.892445928251206</v>
      </c>
    </row>
    <row r="389" spans="32:36" x14ac:dyDescent="0.25">
      <c r="AF389" s="29">
        <f>IF(IFERROR(Tabelle12[[#This Row],[Spiel]],0)=0,AF388+1,Tabelle12[[#This Row],[Spiel]])</f>
        <v>387</v>
      </c>
      <c r="AG389" s="29">
        <f>INDEX(Tabelle11[#All],Tabelle10[[#This Row],[Spalte1]]+14,Ranking!$AG$2)</f>
        <v>91.499563034783122</v>
      </c>
      <c r="AH389" s="29">
        <f>INDEX(Tabelle11[#All],Tabelle10[[#This Row],[Spalte1]]+14,$AH$2)</f>
        <v>92.850380704744865</v>
      </c>
      <c r="AI389" s="29">
        <f>INDEX(Tabelle11[#All],Tabelle10[[#This Row],[Spalte1]]+14,$AI$2)</f>
        <v>119.51170313733628</v>
      </c>
      <c r="AJ389" s="29">
        <f>INDEX(Tabelle11[#All],Tabelle10[[#This Row],[Spalte1]]+14,Ranking!$AJ$2)</f>
        <v>92.892445928251206</v>
      </c>
    </row>
    <row r="390" spans="32:36" x14ac:dyDescent="0.25">
      <c r="AF390" s="29">
        <f>IF(IFERROR(Tabelle12[[#This Row],[Spiel]],0)=0,AF389+1,Tabelle12[[#This Row],[Spiel]])</f>
        <v>388</v>
      </c>
      <c r="AG390" s="29">
        <f>INDEX(Tabelle11[#All],Tabelle10[[#This Row],[Spalte1]]+14,Ranking!$AG$2)</f>
        <v>91.499563034783122</v>
      </c>
      <c r="AH390" s="29">
        <f>INDEX(Tabelle11[#All],Tabelle10[[#This Row],[Spalte1]]+14,$AH$2)</f>
        <v>92.850380704744865</v>
      </c>
      <c r="AI390" s="29">
        <f>INDEX(Tabelle11[#All],Tabelle10[[#This Row],[Spalte1]]+14,$AI$2)</f>
        <v>119.51170313733628</v>
      </c>
      <c r="AJ390" s="29">
        <f>INDEX(Tabelle11[#All],Tabelle10[[#This Row],[Spalte1]]+14,Ranking!$AJ$2)</f>
        <v>92.892584001544677</v>
      </c>
    </row>
    <row r="391" spans="32:36" x14ac:dyDescent="0.25">
      <c r="AF391" s="29">
        <f>IF(IFERROR(Tabelle12[[#This Row],[Spiel]],0)=0,AF390+1,Tabelle12[[#This Row],[Spiel]])</f>
        <v>389</v>
      </c>
      <c r="AG391" s="29">
        <f>INDEX(Tabelle11[#All],Tabelle10[[#This Row],[Spalte1]]+14,Ranking!$AG$2)</f>
        <v>91.499563034783122</v>
      </c>
      <c r="AH391" s="29">
        <f>INDEX(Tabelle11[#All],Tabelle10[[#This Row],[Spalte1]]+14,$AH$2)</f>
        <v>92.850380704744865</v>
      </c>
      <c r="AI391" s="29">
        <f>INDEX(Tabelle11[#All],Tabelle10[[#This Row],[Spalte1]]+14,$AI$2)</f>
        <v>119.51170313733628</v>
      </c>
      <c r="AJ391" s="29">
        <f>INDEX(Tabelle11[#All],Tabelle10[[#This Row],[Spalte1]]+14,Ranking!$AJ$2)</f>
        <v>93.819714568772383</v>
      </c>
    </row>
    <row r="392" spans="32:36" x14ac:dyDescent="0.25">
      <c r="AF392" s="29">
        <f>IF(IFERROR(Tabelle12[[#This Row],[Spiel]],0)=0,AF391+1,Tabelle12[[#This Row],[Spiel]])</f>
        <v>390</v>
      </c>
      <c r="AG392" s="29">
        <f>INDEX(Tabelle11[#All],Tabelle10[[#This Row],[Spalte1]]+14,Ranking!$AG$2)</f>
        <v>91.499563034783122</v>
      </c>
      <c r="AH392" s="29">
        <f>INDEX(Tabelle11[#All],Tabelle10[[#This Row],[Spalte1]]+14,$AH$2)</f>
        <v>92.850380704744865</v>
      </c>
      <c r="AI392" s="29">
        <f>INDEX(Tabelle11[#All],Tabelle10[[#This Row],[Spalte1]]+14,$AI$2)</f>
        <v>119.51170313733628</v>
      </c>
      <c r="AJ392" s="29">
        <f>INDEX(Tabelle11[#All],Tabelle10[[#This Row],[Spalte1]]+14,Ranking!$AJ$2)</f>
        <v>93.819714568772383</v>
      </c>
    </row>
    <row r="393" spans="32:36" x14ac:dyDescent="0.25">
      <c r="AF393" s="29">
        <f>IF(IFERROR(Tabelle12[[#This Row],[Spiel]],0)=0,AF392+1,Tabelle12[[#This Row],[Spiel]])</f>
        <v>391</v>
      </c>
      <c r="AG393" s="29">
        <f>INDEX(Tabelle11[#All],Tabelle10[[#This Row],[Spalte1]]+14,Ranking!$AG$2)</f>
        <v>91.499563034783122</v>
      </c>
      <c r="AH393" s="29">
        <f>INDEX(Tabelle11[#All],Tabelle10[[#This Row],[Spalte1]]+14,$AH$2)</f>
        <v>92.850380704744865</v>
      </c>
      <c r="AI393" s="29">
        <f>INDEX(Tabelle11[#All],Tabelle10[[#This Row],[Spalte1]]+14,$AI$2)</f>
        <v>119.51170313733628</v>
      </c>
      <c r="AJ393" s="29">
        <f>INDEX(Tabelle11[#All],Tabelle10[[#This Row],[Spalte1]]+14,Ranking!$AJ$2)</f>
        <v>93.819714568772383</v>
      </c>
    </row>
    <row r="394" spans="32:36" x14ac:dyDescent="0.25">
      <c r="AF394" s="29">
        <f>IF(IFERROR(Tabelle12[[#This Row],[Spiel]],0)=0,AF393+1,Tabelle12[[#This Row],[Spiel]])</f>
        <v>392</v>
      </c>
      <c r="AG394" s="29">
        <f>INDEX(Tabelle11[#All],Tabelle10[[#This Row],[Spalte1]]+14,Ranking!$AG$2)</f>
        <v>91.499563034783122</v>
      </c>
      <c r="AH394" s="29">
        <f>INDEX(Tabelle11[#All],Tabelle10[[#This Row],[Spalte1]]+14,$AH$2)</f>
        <v>92.850380704744865</v>
      </c>
      <c r="AI394" s="29">
        <f>INDEX(Tabelle11[#All],Tabelle10[[#This Row],[Spalte1]]+14,$AI$2)</f>
        <v>119.51170313733628</v>
      </c>
      <c r="AJ394" s="29">
        <f>INDEX(Tabelle11[#All],Tabelle10[[#This Row],[Spalte1]]+14,Ranking!$AJ$2)</f>
        <v>93.819714568772383</v>
      </c>
    </row>
    <row r="395" spans="32:36" x14ac:dyDescent="0.25">
      <c r="AF395" s="29">
        <f>IF(IFERROR(Tabelle12[[#This Row],[Spiel]],0)=0,AF394+1,Tabelle12[[#This Row],[Spiel]])</f>
        <v>393</v>
      </c>
      <c r="AG395" s="29">
        <f>INDEX(Tabelle11[#All],Tabelle10[[#This Row],[Spalte1]]+14,Ranking!$AG$2)</f>
        <v>91.499563034783122</v>
      </c>
      <c r="AH395" s="29">
        <f>INDEX(Tabelle11[#All],Tabelle10[[#This Row],[Spalte1]]+14,$AH$2)</f>
        <v>92.850380704744865</v>
      </c>
      <c r="AI395" s="29">
        <f>INDEX(Tabelle11[#All],Tabelle10[[#This Row],[Spalte1]]+14,$AI$2)</f>
        <v>119.51170313733628</v>
      </c>
      <c r="AJ395" s="29">
        <f>INDEX(Tabelle11[#All],Tabelle10[[#This Row],[Spalte1]]+14,Ranking!$AJ$2)</f>
        <v>93.819714568772383</v>
      </c>
    </row>
    <row r="396" spans="32:36" x14ac:dyDescent="0.25">
      <c r="AF396" s="29">
        <f>IF(IFERROR(Tabelle12[[#This Row],[Spiel]],0)=0,AF395+1,Tabelle12[[#This Row],[Spiel]])</f>
        <v>394</v>
      </c>
      <c r="AG396" s="29">
        <f>INDEX(Tabelle11[#All],Tabelle10[[#This Row],[Spalte1]]+14,Ranking!$AG$2)</f>
        <v>91.499563034783122</v>
      </c>
      <c r="AH396" s="29">
        <f>INDEX(Tabelle11[#All],Tabelle10[[#This Row],[Spalte1]]+14,$AH$2)</f>
        <v>95.49763020242662</v>
      </c>
      <c r="AI396" s="29">
        <f>INDEX(Tabelle11[#All],Tabelle10[[#This Row],[Spalte1]]+14,$AI$2)</f>
        <v>119.51170313733628</v>
      </c>
      <c r="AJ396" s="29">
        <f>INDEX(Tabelle11[#All],Tabelle10[[#This Row],[Spalte1]]+14,Ranking!$AJ$2)</f>
        <v>91.096570936188471</v>
      </c>
    </row>
    <row r="397" spans="32:36" x14ac:dyDescent="0.25">
      <c r="AF397" s="29">
        <f>IF(IFERROR(Tabelle12[[#This Row],[Spiel]],0)=0,AF396+1,Tabelle12[[#This Row],[Spiel]])</f>
        <v>395</v>
      </c>
      <c r="AG397" s="29">
        <f>INDEX(Tabelle11[#All],Tabelle10[[#This Row],[Spalte1]]+14,Ranking!$AG$2)</f>
        <v>91.499563034783122</v>
      </c>
      <c r="AH397" s="29">
        <f>INDEX(Tabelle11[#All],Tabelle10[[#This Row],[Spalte1]]+14,$AH$2)</f>
        <v>95.347026242688671</v>
      </c>
      <c r="AI397" s="29">
        <f>INDEX(Tabelle11[#All],Tabelle10[[#This Row],[Spalte1]]+14,$AI$2)</f>
        <v>119.51170313733628</v>
      </c>
      <c r="AJ397" s="29">
        <f>INDEX(Tabelle11[#All],Tabelle10[[#This Row],[Spalte1]]+14,Ranking!$AJ$2)</f>
        <v>91.241792238998869</v>
      </c>
    </row>
    <row r="398" spans="32:36" x14ac:dyDescent="0.25">
      <c r="AF398" s="29">
        <f>IF(IFERROR(Tabelle12[[#This Row],[Spiel]],0)=0,AF397+1,Tabelle12[[#This Row],[Spiel]])</f>
        <v>396</v>
      </c>
      <c r="AG398" s="29">
        <f>INDEX(Tabelle11[#All],Tabelle10[[#This Row],[Spalte1]]+14,Ranking!$AG$2)</f>
        <v>91.499563034783122</v>
      </c>
      <c r="AH398" s="29">
        <f>INDEX(Tabelle11[#All],Tabelle10[[#This Row],[Spalte1]]+14,$AH$2)</f>
        <v>95.347026242688671</v>
      </c>
      <c r="AI398" s="29">
        <f>INDEX(Tabelle11[#All],Tabelle10[[#This Row],[Spalte1]]+14,$AI$2)</f>
        <v>119.51170313733628</v>
      </c>
      <c r="AJ398" s="29">
        <f>INDEX(Tabelle11[#All],Tabelle10[[#This Row],[Spalte1]]+14,Ranking!$AJ$2)</f>
        <v>91.241792238998869</v>
      </c>
    </row>
    <row r="399" spans="32:36" x14ac:dyDescent="0.25">
      <c r="AF399" s="29">
        <f>IF(IFERROR(Tabelle12[[#This Row],[Spiel]],0)=0,AF398+1,Tabelle12[[#This Row],[Spiel]])</f>
        <v>397</v>
      </c>
      <c r="AG399" s="29">
        <f>INDEX(Tabelle11[#All],Tabelle10[[#This Row],[Spalte1]]+14,Ranking!$AG$2)</f>
        <v>91.499563034783122</v>
      </c>
      <c r="AH399" s="29">
        <f>INDEX(Tabelle11[#All],Tabelle10[[#This Row],[Spalte1]]+14,$AH$2)</f>
        <v>95.347026242688671</v>
      </c>
      <c r="AI399" s="29">
        <f>INDEX(Tabelle11[#All],Tabelle10[[#This Row],[Spalte1]]+14,$AI$2)</f>
        <v>119.51170313733628</v>
      </c>
      <c r="AJ399" s="29">
        <f>INDEX(Tabelle11[#All],Tabelle10[[#This Row],[Spalte1]]+14,Ranking!$AJ$2)</f>
        <v>91.241792238998869</v>
      </c>
    </row>
    <row r="400" spans="32:36" x14ac:dyDescent="0.25">
      <c r="AF400" s="29">
        <f>IF(IFERROR(Tabelle12[[#This Row],[Spiel]],0)=0,AF399+1,Tabelle12[[#This Row],[Spiel]])</f>
        <v>398</v>
      </c>
      <c r="AG400" s="29">
        <f>INDEX(Tabelle11[#All],Tabelle10[[#This Row],[Spalte1]]+14,Ranking!$AG$2)</f>
        <v>91.499563034783122</v>
      </c>
      <c r="AH400" s="29">
        <f>INDEX(Tabelle11[#All],Tabelle10[[#This Row],[Spalte1]]+14,$AH$2)</f>
        <v>95.347026242688671</v>
      </c>
      <c r="AI400" s="29">
        <f>INDEX(Tabelle11[#All],Tabelle10[[#This Row],[Spalte1]]+14,$AI$2)</f>
        <v>119.51170313733628</v>
      </c>
      <c r="AJ400" s="29">
        <f>INDEX(Tabelle11[#All],Tabelle10[[#This Row],[Spalte1]]+14,Ranking!$AJ$2)</f>
        <v>91.801787556499235</v>
      </c>
    </row>
    <row r="401" spans="32:36" x14ac:dyDescent="0.25">
      <c r="AF401" s="29">
        <f>IF(IFERROR(Tabelle12[[#This Row],[Spiel]],0)=0,AF400+1,Tabelle12[[#This Row],[Spiel]])</f>
        <v>399</v>
      </c>
      <c r="AG401" s="29">
        <f>INDEX(Tabelle11[#All],Tabelle10[[#This Row],[Spalte1]]+14,Ranking!$AG$2)</f>
        <v>91.499563034783122</v>
      </c>
      <c r="AH401" s="29">
        <f>INDEX(Tabelle11[#All],Tabelle10[[#This Row],[Spalte1]]+14,$AH$2)</f>
        <v>95.347026242688671</v>
      </c>
      <c r="AI401" s="29">
        <f>INDEX(Tabelle11[#All],Tabelle10[[#This Row],[Spalte1]]+14,$AI$2)</f>
        <v>119.51170313733628</v>
      </c>
      <c r="AJ401" s="29">
        <f>INDEX(Tabelle11[#All],Tabelle10[[#This Row],[Spalte1]]+14,Ranking!$AJ$2)</f>
        <v>91.429490320893578</v>
      </c>
    </row>
    <row r="402" spans="32:36" x14ac:dyDescent="0.25">
      <c r="AF402" s="29">
        <f>IF(IFERROR(Tabelle12[[#This Row],[Spiel]],0)=0,AF401+1,Tabelle12[[#This Row],[Spiel]])</f>
        <v>400</v>
      </c>
      <c r="AG402" s="29">
        <f>INDEX(Tabelle11[#All],Tabelle10[[#This Row],[Spalte1]]+14,Ranking!$AG$2)</f>
        <v>91.499563034783122</v>
      </c>
      <c r="AH402" s="29">
        <f>INDEX(Tabelle11[#All],Tabelle10[[#This Row],[Spalte1]]+14,$AH$2)</f>
        <v>95.347026242688671</v>
      </c>
      <c r="AI402" s="29">
        <f>INDEX(Tabelle11[#All],Tabelle10[[#This Row],[Spalte1]]+14,$AI$2)</f>
        <v>119.51170313733628</v>
      </c>
      <c r="AJ402" s="29">
        <f>INDEX(Tabelle11[#All],Tabelle10[[#This Row],[Spalte1]]+14,Ranking!$AJ$2)</f>
        <v>91.429490320893578</v>
      </c>
    </row>
    <row r="403" spans="32:36" x14ac:dyDescent="0.25">
      <c r="AF403" s="29">
        <f>IF(IFERROR(Tabelle12[[#This Row],[Spiel]],0)=0,AF402+1,Tabelle12[[#This Row],[Spiel]])</f>
        <v>401</v>
      </c>
      <c r="AG403" s="29">
        <f>INDEX(Tabelle11[#All],Tabelle10[[#This Row],[Spalte1]]+14,Ranking!$AG$2)</f>
        <v>91.499563034783122</v>
      </c>
      <c r="AH403" s="29">
        <f>INDEX(Tabelle11[#All],Tabelle10[[#This Row],[Spalte1]]+14,$AH$2)</f>
        <v>95.347026242688671</v>
      </c>
      <c r="AI403" s="29">
        <f>INDEX(Tabelle11[#All],Tabelle10[[#This Row],[Spalte1]]+14,$AI$2)</f>
        <v>119.51170313733628</v>
      </c>
      <c r="AJ403" s="29">
        <f>INDEX(Tabelle11[#All],Tabelle10[[#This Row],[Spalte1]]+14,Ranking!$AJ$2)</f>
        <v>91.429490320893578</v>
      </c>
    </row>
    <row r="404" spans="32:36" x14ac:dyDescent="0.25">
      <c r="AF404" s="29">
        <f>IF(IFERROR(Tabelle12[[#This Row],[Spiel]],0)=0,AF403+1,Tabelle12[[#This Row],[Spiel]])</f>
        <v>402</v>
      </c>
      <c r="AG404" s="29">
        <f>INDEX(Tabelle11[#All],Tabelle10[[#This Row],[Spalte1]]+14,Ranking!$AG$2)</f>
        <v>91.499563034783122</v>
      </c>
      <c r="AH404" s="29">
        <f>INDEX(Tabelle11[#All],Tabelle10[[#This Row],[Spalte1]]+14,$AH$2)</f>
        <v>95.347026242688671</v>
      </c>
      <c r="AI404" s="29">
        <f>INDEX(Tabelle11[#All],Tabelle10[[#This Row],[Spalte1]]+14,$AI$2)</f>
        <v>119.51170313733628</v>
      </c>
      <c r="AJ404" s="29">
        <f>INDEX(Tabelle11[#All],Tabelle10[[#This Row],[Spalte1]]+14,Ranking!$AJ$2)</f>
        <v>91.429490320893578</v>
      </c>
    </row>
    <row r="405" spans="32:36" x14ac:dyDescent="0.25">
      <c r="AF405" s="29">
        <f>IF(IFERROR(Tabelle12[[#This Row],[Spiel]],0)=0,AF404+1,Tabelle12[[#This Row],[Spiel]])</f>
        <v>403</v>
      </c>
      <c r="AG405" s="29">
        <f>INDEX(Tabelle11[#All],Tabelle10[[#This Row],[Spalte1]]+14,Ranking!$AG$2)</f>
        <v>91.499563034783122</v>
      </c>
      <c r="AH405" s="29">
        <f>INDEX(Tabelle11[#All],Tabelle10[[#This Row],[Spalte1]]+14,$AH$2)</f>
        <v>95.347026242688671</v>
      </c>
      <c r="AI405" s="29">
        <f>INDEX(Tabelle11[#All],Tabelle10[[#This Row],[Spalte1]]+14,$AI$2)</f>
        <v>119.51170313733628</v>
      </c>
      <c r="AJ405" s="29">
        <f>INDEX(Tabelle11[#All],Tabelle10[[#This Row],[Spalte1]]+14,Ranking!$AJ$2)</f>
        <v>91.429490320893578</v>
      </c>
    </row>
    <row r="406" spans="32:36" x14ac:dyDescent="0.25">
      <c r="AF406" s="29">
        <f>IF(IFERROR(Tabelle12[[#This Row],[Spiel]],0)=0,AF405+1,Tabelle12[[#This Row],[Spiel]])</f>
        <v>404</v>
      </c>
      <c r="AG406" s="29">
        <f>INDEX(Tabelle11[#All],Tabelle10[[#This Row],[Spalte1]]+14,Ranking!$AG$2)</f>
        <v>91.499563034783122</v>
      </c>
      <c r="AH406" s="29">
        <f>INDEX(Tabelle11[#All],Tabelle10[[#This Row],[Spalte1]]+14,$AH$2)</f>
        <v>98.51592702809991</v>
      </c>
      <c r="AI406" s="29">
        <f>INDEX(Tabelle11[#All],Tabelle10[[#This Row],[Spalte1]]+14,$AI$2)</f>
        <v>119.51170313733628</v>
      </c>
      <c r="AJ406" s="29">
        <f>INDEX(Tabelle11[#All],Tabelle10[[#This Row],[Spalte1]]+14,Ranking!$AJ$2)</f>
        <v>91.429490320893578</v>
      </c>
    </row>
    <row r="407" spans="32:36" x14ac:dyDescent="0.25">
      <c r="AF407" s="29">
        <f>IF(IFERROR(Tabelle12[[#This Row],[Spiel]],0)=0,AF406+1,Tabelle12[[#This Row],[Spiel]])</f>
        <v>405</v>
      </c>
      <c r="AG407" s="29">
        <f>INDEX(Tabelle11[#All],Tabelle10[[#This Row],[Spalte1]]+14,Ranking!$AG$2)</f>
        <v>91.499563034783122</v>
      </c>
      <c r="AH407" s="29">
        <f>INDEX(Tabelle11[#All],Tabelle10[[#This Row],[Spalte1]]+14,$AH$2)</f>
        <v>98.677203540848069</v>
      </c>
      <c r="AI407" s="29">
        <f>INDEX(Tabelle11[#All],Tabelle10[[#This Row],[Spalte1]]+14,$AI$2)</f>
        <v>119.51170313733628</v>
      </c>
      <c r="AJ407" s="29">
        <f>INDEX(Tabelle11[#All],Tabelle10[[#This Row],[Spalte1]]+14,Ranking!$AJ$2)</f>
        <v>91.429490320893578</v>
      </c>
    </row>
    <row r="408" spans="32:36" x14ac:dyDescent="0.25">
      <c r="AF408" s="29">
        <f>IF(IFERROR(Tabelle12[[#This Row],[Spiel]],0)=0,AF407+1,Tabelle12[[#This Row],[Spiel]])</f>
        <v>406</v>
      </c>
      <c r="AG408" s="29">
        <f>INDEX(Tabelle11[#All],Tabelle10[[#This Row],[Spalte1]]+14,Ranking!$AG$2)</f>
        <v>91.499563034783122</v>
      </c>
      <c r="AH408" s="29">
        <f>INDEX(Tabelle11[#All],Tabelle10[[#This Row],[Spalte1]]+14,$AH$2)</f>
        <v>98.677203540848069</v>
      </c>
      <c r="AI408" s="29">
        <f>INDEX(Tabelle11[#All],Tabelle10[[#This Row],[Spalte1]]+14,$AI$2)</f>
        <v>117.87019762848311</v>
      </c>
      <c r="AJ408" s="29">
        <f>INDEX(Tabelle11[#All],Tabelle10[[#This Row],[Spalte1]]+14,Ranking!$AJ$2)</f>
        <v>93.023426125875659</v>
      </c>
    </row>
    <row r="409" spans="32:36" x14ac:dyDescent="0.25">
      <c r="AF409" s="29">
        <f>IF(IFERROR(Tabelle12[[#This Row],[Spiel]],0)=0,AF408+1,Tabelle12[[#This Row],[Spiel]])</f>
        <v>407</v>
      </c>
      <c r="AG409" s="29">
        <f>INDEX(Tabelle11[#All],Tabelle10[[#This Row],[Spalte1]]+14,Ranking!$AG$2)</f>
        <v>91.499563034783122</v>
      </c>
      <c r="AH409" s="29">
        <f>INDEX(Tabelle11[#All],Tabelle10[[#This Row],[Spalte1]]+14,$AH$2)</f>
        <v>98.677203540848069</v>
      </c>
      <c r="AI409" s="29">
        <f>INDEX(Tabelle11[#All],Tabelle10[[#This Row],[Spalte1]]+14,$AI$2)</f>
        <v>118.81909185205512</v>
      </c>
      <c r="AJ409" s="29">
        <f>INDEX(Tabelle11[#All],Tabelle10[[#This Row],[Spalte1]]+14,Ranking!$AJ$2)</f>
        <v>92.040210029376837</v>
      </c>
    </row>
    <row r="410" spans="32:36" x14ac:dyDescent="0.25">
      <c r="AF410" s="29">
        <f>IF(IFERROR(Tabelle12[[#This Row],[Spiel]],0)=0,AF409+1,Tabelle12[[#This Row],[Spiel]])</f>
        <v>408</v>
      </c>
      <c r="AG410" s="29">
        <f>INDEX(Tabelle11[#All],Tabelle10[[#This Row],[Spalte1]]+14,Ranking!$AG$2)</f>
        <v>91.499563034783122</v>
      </c>
      <c r="AH410" s="29">
        <f>INDEX(Tabelle11[#All],Tabelle10[[#This Row],[Spalte1]]+14,$AH$2)</f>
        <v>98.677203540848069</v>
      </c>
      <c r="AI410" s="29">
        <f>INDEX(Tabelle11[#All],Tabelle10[[#This Row],[Spalte1]]+14,$AI$2)</f>
        <v>118.81909185205512</v>
      </c>
      <c r="AJ410" s="29">
        <f>INDEX(Tabelle11[#All],Tabelle10[[#This Row],[Spalte1]]+14,Ranking!$AJ$2)</f>
        <v>92.040210029376837</v>
      </c>
    </row>
    <row r="411" spans="32:36" x14ac:dyDescent="0.25">
      <c r="AF411" s="29">
        <f>IF(IFERROR(Tabelle12[[#This Row],[Spiel]],0)=0,AF410+1,Tabelle12[[#This Row],[Spiel]])</f>
        <v>409</v>
      </c>
      <c r="AG411" s="29">
        <f>INDEX(Tabelle11[#All],Tabelle10[[#This Row],[Spalte1]]+14,Ranking!$AG$2)</f>
        <v>91.499563034783122</v>
      </c>
      <c r="AH411" s="29">
        <f>INDEX(Tabelle11[#All],Tabelle10[[#This Row],[Spalte1]]+14,$AH$2)</f>
        <v>98.677203540848069</v>
      </c>
      <c r="AI411" s="29">
        <f>INDEX(Tabelle11[#All],Tabelle10[[#This Row],[Spalte1]]+14,$AI$2)</f>
        <v>118.81909185205512</v>
      </c>
      <c r="AJ411" s="29">
        <f>INDEX(Tabelle11[#All],Tabelle10[[#This Row],[Spalte1]]+14,Ranking!$AJ$2)</f>
        <v>92.040210029376837</v>
      </c>
    </row>
    <row r="412" spans="32:36" x14ac:dyDescent="0.25">
      <c r="AF412" s="29">
        <f>IF(IFERROR(Tabelle12[[#This Row],[Spiel]],0)=0,AF411+1,Tabelle12[[#This Row],[Spiel]])</f>
        <v>410</v>
      </c>
      <c r="AG412" s="29">
        <f>INDEX(Tabelle11[#All],Tabelle10[[#This Row],[Spalte1]]+14,Ranking!$AG$2)</f>
        <v>91.499563034783122</v>
      </c>
      <c r="AH412" s="29">
        <f>INDEX(Tabelle11[#All],Tabelle10[[#This Row],[Spalte1]]+14,$AH$2)</f>
        <v>98.677203540848069</v>
      </c>
      <c r="AI412" s="29">
        <f>INDEX(Tabelle11[#All],Tabelle10[[#This Row],[Spalte1]]+14,$AI$2)</f>
        <v>118.81909185205512</v>
      </c>
      <c r="AJ412" s="29">
        <f>INDEX(Tabelle11[#All],Tabelle10[[#This Row],[Spalte1]]+14,Ranking!$AJ$2)</f>
        <v>92.040210029376837</v>
      </c>
    </row>
    <row r="413" spans="32:36" x14ac:dyDescent="0.25">
      <c r="AF413" s="29">
        <f>IF(IFERROR(Tabelle12[[#This Row],[Spiel]],0)=0,AF412+1,Tabelle12[[#This Row],[Spiel]])</f>
        <v>411</v>
      </c>
      <c r="AG413" s="29">
        <f>INDEX(Tabelle11[#All],Tabelle10[[#This Row],[Spalte1]]+14,Ranking!$AG$2)</f>
        <v>91.499563034783122</v>
      </c>
      <c r="AH413" s="29">
        <f>INDEX(Tabelle11[#All],Tabelle10[[#This Row],[Spalte1]]+14,$AH$2)</f>
        <v>98.677203540848069</v>
      </c>
      <c r="AI413" s="29">
        <f>INDEX(Tabelle11[#All],Tabelle10[[#This Row],[Spalte1]]+14,$AI$2)</f>
        <v>118.81909185205512</v>
      </c>
      <c r="AJ413" s="29">
        <f>INDEX(Tabelle11[#All],Tabelle10[[#This Row],[Spalte1]]+14,Ranking!$AJ$2)</f>
        <v>92.040210029376837</v>
      </c>
    </row>
    <row r="414" spans="32:36" x14ac:dyDescent="0.25">
      <c r="AF414" s="29">
        <f>IF(IFERROR(Tabelle12[[#This Row],[Spiel]],0)=0,AF413+1,Tabelle12[[#This Row],[Spiel]])</f>
        <v>412</v>
      </c>
      <c r="AG414" s="29">
        <f>INDEX(Tabelle11[#All],Tabelle10[[#This Row],[Spalte1]]+14,Ranking!$AG$2)</f>
        <v>91.499563034783122</v>
      </c>
      <c r="AH414" s="29">
        <f>INDEX(Tabelle11[#All],Tabelle10[[#This Row],[Spalte1]]+14,$AH$2)</f>
        <v>95.965955848054634</v>
      </c>
      <c r="AI414" s="29">
        <f>INDEX(Tabelle11[#All],Tabelle10[[#This Row],[Spalte1]]+14,$AI$2)</f>
        <v>121.15398798365574</v>
      </c>
      <c r="AJ414" s="29">
        <f>INDEX(Tabelle11[#All],Tabelle10[[#This Row],[Spalte1]]+14,Ranking!$AJ$2)</f>
        <v>89.511319889284138</v>
      </c>
    </row>
    <row r="415" spans="32:36" x14ac:dyDescent="0.25">
      <c r="AF415" s="29">
        <f>IF(IFERROR(Tabelle12[[#This Row],[Spiel]],0)=0,AF414+1,Tabelle12[[#This Row],[Spiel]])</f>
        <v>413</v>
      </c>
      <c r="AG415" s="29">
        <f>INDEX(Tabelle11[#All],Tabelle10[[#This Row],[Spalte1]]+14,Ranking!$AG$2)</f>
        <v>91.499563034783122</v>
      </c>
      <c r="AH415" s="29">
        <f>INDEX(Tabelle11[#All],Tabelle10[[#This Row],[Spalte1]]+14,$AH$2)</f>
        <v>95.424863438877921</v>
      </c>
      <c r="AI415" s="29">
        <f>INDEX(Tabelle11[#All],Tabelle10[[#This Row],[Spalte1]]+14,$AI$2)</f>
        <v>121.62268742500925</v>
      </c>
      <c r="AJ415" s="29">
        <f>INDEX(Tabelle11[#All],Tabelle10[[#This Row],[Spalte1]]+14,Ranking!$AJ$2)</f>
        <v>89.006621162538096</v>
      </c>
    </row>
    <row r="416" spans="32:36" x14ac:dyDescent="0.25">
      <c r="AF416" s="29">
        <f>IF(IFERROR(Tabelle12[[#This Row],[Spiel]],0)=0,AF415+1,Tabelle12[[#This Row],[Spiel]])</f>
        <v>414</v>
      </c>
      <c r="AG416" s="29">
        <f>INDEX(Tabelle11[#All],Tabelle10[[#This Row],[Spalte1]]+14,Ranking!$AG$2)</f>
        <v>91.499563034783122</v>
      </c>
      <c r="AH416" s="29">
        <f>INDEX(Tabelle11[#All],Tabelle10[[#This Row],[Spalte1]]+14,$AH$2)</f>
        <v>95.424863438877921</v>
      </c>
      <c r="AI416" s="29">
        <f>INDEX(Tabelle11[#All],Tabelle10[[#This Row],[Spalte1]]+14,$AI$2)</f>
        <v>121.62268742500925</v>
      </c>
      <c r="AJ416" s="29">
        <f>INDEX(Tabelle11[#All],Tabelle10[[#This Row],[Spalte1]]+14,Ranking!$AJ$2)</f>
        <v>89.006621162538096</v>
      </c>
    </row>
    <row r="417" spans="32:36" x14ac:dyDescent="0.25">
      <c r="AF417" s="29">
        <f>IF(IFERROR(Tabelle12[[#This Row],[Spiel]],0)=0,AF416+1,Tabelle12[[#This Row],[Spiel]])</f>
        <v>415</v>
      </c>
      <c r="AG417" s="29">
        <f>INDEX(Tabelle11[#All],Tabelle10[[#This Row],[Spalte1]]+14,Ranking!$AG$2)</f>
        <v>91.499563034783122</v>
      </c>
      <c r="AH417" s="29">
        <f>INDEX(Tabelle11[#All],Tabelle10[[#This Row],[Spalte1]]+14,$AH$2)</f>
        <v>95.424863438877921</v>
      </c>
      <c r="AI417" s="29">
        <f>INDEX(Tabelle11[#All],Tabelle10[[#This Row],[Spalte1]]+14,$AI$2)</f>
        <v>121.62268742500925</v>
      </c>
      <c r="AJ417" s="29">
        <f>INDEX(Tabelle11[#All],Tabelle10[[#This Row],[Spalte1]]+14,Ranking!$AJ$2)</f>
        <v>89.006621162538096</v>
      </c>
    </row>
    <row r="418" spans="32:36" x14ac:dyDescent="0.25">
      <c r="AF418" s="29">
        <f>IF(IFERROR(Tabelle12[[#This Row],[Spiel]],0)=0,AF417+1,Tabelle12[[#This Row],[Spiel]])</f>
        <v>416</v>
      </c>
      <c r="AG418" s="29">
        <f>INDEX(Tabelle11[#All],Tabelle10[[#This Row],[Spalte1]]+14,Ranking!$AG$2)</f>
        <v>91.499563034783122</v>
      </c>
      <c r="AH418" s="29">
        <f>INDEX(Tabelle11[#All],Tabelle10[[#This Row],[Spalte1]]+14,$AH$2)</f>
        <v>95.424863438877921</v>
      </c>
      <c r="AI418" s="29">
        <f>INDEX(Tabelle11[#All],Tabelle10[[#This Row],[Spalte1]]+14,$AI$2)</f>
        <v>120.08806225591677</v>
      </c>
      <c r="AJ418" s="29">
        <f>INDEX(Tabelle11[#All],Tabelle10[[#This Row],[Spalte1]]+14,Ranking!$AJ$2)</f>
        <v>90.524414173617473</v>
      </c>
    </row>
    <row r="419" spans="32:36" x14ac:dyDescent="0.25">
      <c r="AF419" s="29">
        <f>IF(IFERROR(Tabelle12[[#This Row],[Spiel]],0)=0,AF418+1,Tabelle12[[#This Row],[Spiel]])</f>
        <v>417</v>
      </c>
      <c r="AG419" s="29">
        <f>INDEX(Tabelle11[#All],Tabelle10[[#This Row],[Spalte1]]+14,Ranking!$AG$2)</f>
        <v>91.499563034783122</v>
      </c>
      <c r="AH419" s="29">
        <f>INDEX(Tabelle11[#All],Tabelle10[[#This Row],[Spalte1]]+14,$AH$2)</f>
        <v>95.424863438877921</v>
      </c>
      <c r="AI419" s="29">
        <f>INDEX(Tabelle11[#All],Tabelle10[[#This Row],[Spalte1]]+14,$AI$2)</f>
        <v>117.94628101987549</v>
      </c>
      <c r="AJ419" s="29">
        <f>INDEX(Tabelle11[#All],Tabelle10[[#This Row],[Spalte1]]+14,Ranking!$AJ$2)</f>
        <v>92.638975858968294</v>
      </c>
    </row>
    <row r="420" spans="32:36" x14ac:dyDescent="0.25">
      <c r="AF420" s="29">
        <f>IF(IFERROR(Tabelle12[[#This Row],[Spiel]],0)=0,AF419+1,Tabelle12[[#This Row],[Spiel]])</f>
        <v>418</v>
      </c>
      <c r="AG420" s="29">
        <f>INDEX(Tabelle11[#All],Tabelle10[[#This Row],[Spalte1]]+14,Ranking!$AG$2)</f>
        <v>91.499563034783122</v>
      </c>
      <c r="AH420" s="29">
        <f>INDEX(Tabelle11[#All],Tabelle10[[#This Row],[Spalte1]]+14,$AH$2)</f>
        <v>95.424863438877921</v>
      </c>
      <c r="AI420" s="29">
        <f>INDEX(Tabelle11[#All],Tabelle10[[#This Row],[Spalte1]]+14,$AI$2)</f>
        <v>116.73150392754211</v>
      </c>
      <c r="AJ420" s="29">
        <f>INDEX(Tabelle11[#All],Tabelle10[[#This Row],[Spalte1]]+14,Ranking!$AJ$2)</f>
        <v>92.638975858968294</v>
      </c>
    </row>
    <row r="421" spans="32:36" x14ac:dyDescent="0.25">
      <c r="AF421" s="29">
        <f>IF(IFERROR(Tabelle12[[#This Row],[Spiel]],0)=0,AF420+1,Tabelle12[[#This Row],[Spiel]])</f>
        <v>419</v>
      </c>
      <c r="AG421" s="29">
        <f>INDEX(Tabelle11[#All],Tabelle10[[#This Row],[Spalte1]]+14,Ranking!$AG$2)</f>
        <v>91.499563034783122</v>
      </c>
      <c r="AH421" s="29">
        <f>INDEX(Tabelle11[#All],Tabelle10[[#This Row],[Spalte1]]+14,$AH$2)</f>
        <v>95.424863438877921</v>
      </c>
      <c r="AI421" s="29">
        <f>INDEX(Tabelle11[#All],Tabelle10[[#This Row],[Spalte1]]+14,$AI$2)</f>
        <v>116.18684458676223</v>
      </c>
      <c r="AJ421" s="29">
        <f>INDEX(Tabelle11[#All],Tabelle10[[#This Row],[Spalte1]]+14,Ranking!$AJ$2)</f>
        <v>92.638975858968294</v>
      </c>
    </row>
    <row r="422" spans="32:36" x14ac:dyDescent="0.25">
      <c r="AF422" s="29">
        <f>IF(IFERROR(Tabelle12[[#This Row],[Spiel]],0)=0,AF421+1,Tabelle12[[#This Row],[Spiel]])</f>
        <v>420</v>
      </c>
      <c r="AG422" s="29">
        <f>INDEX(Tabelle11[#All],Tabelle10[[#This Row],[Spalte1]]+14,Ranking!$AG$2)</f>
        <v>91.499563034783122</v>
      </c>
      <c r="AH422" s="29">
        <f>INDEX(Tabelle11[#All],Tabelle10[[#This Row],[Spalte1]]+14,$AH$2)</f>
        <v>95.424863438877921</v>
      </c>
      <c r="AI422" s="29">
        <f>INDEX(Tabelle11[#All],Tabelle10[[#This Row],[Spalte1]]+14,$AI$2)</f>
        <v>116.01039221949415</v>
      </c>
      <c r="AJ422" s="29">
        <f>INDEX(Tabelle11[#All],Tabelle10[[#This Row],[Spalte1]]+14,Ranking!$AJ$2)</f>
        <v>92.638975858968294</v>
      </c>
    </row>
    <row r="423" spans="32:36" x14ac:dyDescent="0.25">
      <c r="AF423" s="29">
        <f>IF(IFERROR(Tabelle12[[#This Row],[Spiel]],0)=0,AF422+1,Tabelle12[[#This Row],[Spiel]])</f>
        <v>421</v>
      </c>
      <c r="AG423" s="29">
        <f>INDEX(Tabelle11[#All],Tabelle10[[#This Row],[Spalte1]]+14,Ranking!$AG$2)</f>
        <v>91.499563034783122</v>
      </c>
      <c r="AH423" s="29">
        <f>INDEX(Tabelle11[#All],Tabelle10[[#This Row],[Spalte1]]+14,$AH$2)</f>
        <v>95.424863438877921</v>
      </c>
      <c r="AI423" s="29">
        <f>INDEX(Tabelle11[#All],Tabelle10[[#This Row],[Spalte1]]+14,$AI$2)</f>
        <v>115.20265313742448</v>
      </c>
      <c r="AJ423" s="29">
        <f>INDEX(Tabelle11[#All],Tabelle10[[#This Row],[Spalte1]]+14,Ranking!$AJ$2)</f>
        <v>92.638975858968294</v>
      </c>
    </row>
    <row r="424" spans="32:36" x14ac:dyDescent="0.25">
      <c r="AF424" s="29">
        <f>IF(IFERROR(Tabelle12[[#This Row],[Spiel]],0)=0,AF423+1,Tabelle12[[#This Row],[Spiel]])</f>
        <v>422</v>
      </c>
      <c r="AG424" s="29">
        <f>INDEX(Tabelle11[#All],Tabelle10[[#This Row],[Spalte1]]+14,Ranking!$AG$2)</f>
        <v>91.499563034783122</v>
      </c>
      <c r="AH424" s="29">
        <f>INDEX(Tabelle11[#All],Tabelle10[[#This Row],[Spalte1]]+14,$AH$2)</f>
        <v>95.424863438877921</v>
      </c>
      <c r="AI424" s="29">
        <f>INDEX(Tabelle11[#All],Tabelle10[[#This Row],[Spalte1]]+14,$AI$2)</f>
        <v>115.20265313742448</v>
      </c>
      <c r="AJ424" s="29">
        <f>INDEX(Tabelle11[#All],Tabelle10[[#This Row],[Spalte1]]+14,Ranking!$AJ$2)</f>
        <v>92.638975858968294</v>
      </c>
    </row>
    <row r="425" spans="32:36" x14ac:dyDescent="0.25">
      <c r="AF425" s="29">
        <f>IF(IFERROR(Tabelle12[[#This Row],[Spiel]],0)=0,AF424+1,Tabelle12[[#This Row],[Spiel]])</f>
        <v>423</v>
      </c>
      <c r="AG425" s="29">
        <f>INDEX(Tabelle11[#All],Tabelle10[[#This Row],[Spalte1]]+14,Ranking!$AG$2)</f>
        <v>91.499563034783122</v>
      </c>
      <c r="AH425" s="29">
        <f>INDEX(Tabelle11[#All],Tabelle10[[#This Row],[Spalte1]]+14,$AH$2)</f>
        <v>95.424863438877921</v>
      </c>
      <c r="AI425" s="29">
        <f>INDEX(Tabelle11[#All],Tabelle10[[#This Row],[Spalte1]]+14,$AI$2)</f>
        <v>115.20265313742448</v>
      </c>
      <c r="AJ425" s="29">
        <f>INDEX(Tabelle11[#All],Tabelle10[[#This Row],[Spalte1]]+14,Ranking!$AJ$2)</f>
        <v>92.638975858968294</v>
      </c>
    </row>
    <row r="426" spans="32:36" x14ac:dyDescent="0.25">
      <c r="AF426" s="29">
        <f>IF(IFERROR(Tabelle12[[#This Row],[Spiel]],0)=0,AF425+1,Tabelle12[[#This Row],[Spiel]])</f>
        <v>424</v>
      </c>
      <c r="AG426" s="29">
        <f>INDEX(Tabelle11[#All],Tabelle10[[#This Row],[Spalte1]]+14,Ranking!$AG$2)</f>
        <v>91.499563034783122</v>
      </c>
      <c r="AH426" s="29">
        <f>INDEX(Tabelle11[#All],Tabelle10[[#This Row],[Spalte1]]+14,$AH$2)</f>
        <v>95.424863438877921</v>
      </c>
      <c r="AI426" s="29">
        <f>INDEX(Tabelle11[#All],Tabelle10[[#This Row],[Spalte1]]+14,$AI$2)</f>
        <v>115.20265313742448</v>
      </c>
      <c r="AJ426" s="29">
        <f>INDEX(Tabelle11[#All],Tabelle10[[#This Row],[Spalte1]]+14,Ranking!$AJ$2)</f>
        <v>92.638975858968294</v>
      </c>
    </row>
    <row r="427" spans="32:36" x14ac:dyDescent="0.25">
      <c r="AF427" s="29">
        <f>IF(IFERROR(Tabelle12[[#This Row],[Spiel]],0)=0,AF426+1,Tabelle12[[#This Row],[Spiel]])</f>
        <v>425</v>
      </c>
      <c r="AG427" s="29">
        <f>INDEX(Tabelle11[#All],Tabelle10[[#This Row],[Spalte1]]+14,Ranking!$AG$2)</f>
        <v>91.499563034783122</v>
      </c>
      <c r="AH427" s="29">
        <f>INDEX(Tabelle11[#All],Tabelle10[[#This Row],[Spalte1]]+14,$AH$2)</f>
        <v>95.424863438877921</v>
      </c>
      <c r="AI427" s="29">
        <f>INDEX(Tabelle11[#All],Tabelle10[[#This Row],[Spalte1]]+14,$AI$2)</f>
        <v>115.20265313742448</v>
      </c>
      <c r="AJ427" s="29">
        <f>INDEX(Tabelle11[#All],Tabelle10[[#This Row],[Spalte1]]+14,Ranking!$AJ$2)</f>
        <v>92.638975858968294</v>
      </c>
    </row>
    <row r="428" spans="32:36" x14ac:dyDescent="0.25">
      <c r="AF428" s="29">
        <f>IF(IFERROR(Tabelle12[[#This Row],[Spiel]],0)=0,AF427+1,Tabelle12[[#This Row],[Spiel]])</f>
        <v>426</v>
      </c>
      <c r="AG428" s="29">
        <f>INDEX(Tabelle11[#All],Tabelle10[[#This Row],[Spalte1]]+14,Ranking!$AG$2)</f>
        <v>91.499563034783122</v>
      </c>
      <c r="AH428" s="29">
        <f>INDEX(Tabelle11[#All],Tabelle10[[#This Row],[Spalte1]]+14,$AH$2)</f>
        <v>95.424863438877921</v>
      </c>
      <c r="AI428" s="29">
        <f>INDEX(Tabelle11[#All],Tabelle10[[#This Row],[Spalte1]]+14,$AI$2)</f>
        <v>115.97403295897406</v>
      </c>
      <c r="AJ428" s="29">
        <f>INDEX(Tabelle11[#All],Tabelle10[[#This Row],[Spalte1]]+14,Ranking!$AJ$2)</f>
        <v>92.638975858968294</v>
      </c>
    </row>
    <row r="429" spans="32:36" x14ac:dyDescent="0.25">
      <c r="AF429" s="29">
        <f>IF(IFERROR(Tabelle12[[#This Row],[Spiel]],0)=0,AF428+1,Tabelle12[[#This Row],[Spiel]])</f>
        <v>427</v>
      </c>
      <c r="AG429" s="29">
        <f>INDEX(Tabelle11[#All],Tabelle10[[#This Row],[Spalte1]]+14,Ranking!$AG$2)</f>
        <v>91.499563034783122</v>
      </c>
      <c r="AH429" s="29">
        <f>INDEX(Tabelle11[#All],Tabelle10[[#This Row],[Spalte1]]+14,$AH$2)</f>
        <v>95.424863438877921</v>
      </c>
      <c r="AI429" s="29">
        <f>INDEX(Tabelle11[#All],Tabelle10[[#This Row],[Spalte1]]+14,$AI$2)</f>
        <v>114.16529417401533</v>
      </c>
      <c r="AJ429" s="29">
        <f>INDEX(Tabelle11[#All],Tabelle10[[#This Row],[Spalte1]]+14,Ranking!$AJ$2)</f>
        <v>92.638975858968294</v>
      </c>
    </row>
    <row r="430" spans="32:36" x14ac:dyDescent="0.25">
      <c r="AF430" s="29">
        <f>IF(IFERROR(Tabelle12[[#This Row],[Spiel]],0)=0,AF429+1,Tabelle12[[#This Row],[Spiel]])</f>
        <v>428</v>
      </c>
      <c r="AG430" s="29">
        <f>INDEX(Tabelle11[#All],Tabelle10[[#This Row],[Spalte1]]+14,Ranking!$AG$2)</f>
        <v>93.93537636040783</v>
      </c>
      <c r="AH430" s="29">
        <f>INDEX(Tabelle11[#All],Tabelle10[[#This Row],[Spalte1]]+14,$AH$2)</f>
        <v>95.424863438877921</v>
      </c>
      <c r="AI430" s="29">
        <f>INDEX(Tabelle11[#All],Tabelle10[[#This Row],[Spalte1]]+14,$AI$2)</f>
        <v>112.00124131369992</v>
      </c>
      <c r="AJ430" s="29">
        <f>INDEX(Tabelle11[#All],Tabelle10[[#This Row],[Spalte1]]+14,Ranking!$AJ$2)</f>
        <v>92.638975858968294</v>
      </c>
    </row>
    <row r="431" spans="32:36" x14ac:dyDescent="0.25">
      <c r="AF431" s="29">
        <f>IF(IFERROR(Tabelle12[[#This Row],[Spiel]],0)=0,AF430+1,Tabelle12[[#This Row],[Spiel]])</f>
        <v>429</v>
      </c>
      <c r="AG431" s="29">
        <f>INDEX(Tabelle11[#All],Tabelle10[[#This Row],[Spalte1]]+14,Ranking!$AG$2)</f>
        <v>93.898681480592288</v>
      </c>
      <c r="AH431" s="29">
        <f>INDEX(Tabelle11[#All],Tabelle10[[#This Row],[Spalte1]]+14,$AH$2)</f>
        <v>95.424863438877921</v>
      </c>
      <c r="AI431" s="29">
        <f>INDEX(Tabelle11[#All],Tabelle10[[#This Row],[Spalte1]]+14,$AI$2)</f>
        <v>112.04315082649802</v>
      </c>
      <c r="AJ431" s="29">
        <f>INDEX(Tabelle11[#All],Tabelle10[[#This Row],[Spalte1]]+14,Ranking!$AJ$2)</f>
        <v>92.638975858968294</v>
      </c>
    </row>
    <row r="432" spans="32:36" x14ac:dyDescent="0.25">
      <c r="AF432" s="29">
        <f>IF(IFERROR(Tabelle12[[#This Row],[Spiel]],0)=0,AF431+1,Tabelle12[[#This Row],[Spiel]])</f>
        <v>430</v>
      </c>
      <c r="AG432" s="29">
        <f>INDEX(Tabelle11[#All],Tabelle10[[#This Row],[Spalte1]]+14,Ranking!$AG$2)</f>
        <v>93.898681480592288</v>
      </c>
      <c r="AH432" s="29">
        <f>INDEX(Tabelle11[#All],Tabelle10[[#This Row],[Spalte1]]+14,$AH$2)</f>
        <v>95.424863438877921</v>
      </c>
      <c r="AI432" s="29">
        <f>INDEX(Tabelle11[#All],Tabelle10[[#This Row],[Spalte1]]+14,$AI$2)</f>
        <v>112.04315082649802</v>
      </c>
      <c r="AJ432" s="29">
        <f>INDEX(Tabelle11[#All],Tabelle10[[#This Row],[Spalte1]]+14,Ranking!$AJ$2)</f>
        <v>92.638975858968294</v>
      </c>
    </row>
    <row r="433" spans="32:36" x14ac:dyDescent="0.25">
      <c r="AF433" s="29">
        <f>IF(IFERROR(Tabelle12[[#This Row],[Spiel]],0)=0,AF432+1,Tabelle12[[#This Row],[Spiel]])</f>
        <v>431</v>
      </c>
      <c r="AG433" s="29">
        <f>INDEX(Tabelle11[#All],Tabelle10[[#This Row],[Spalte1]]+14,Ranking!$AG$2)</f>
        <v>93.898681480592288</v>
      </c>
      <c r="AH433" s="29">
        <f>INDEX(Tabelle11[#All],Tabelle10[[#This Row],[Spalte1]]+14,$AH$2)</f>
        <v>95.424863438877921</v>
      </c>
      <c r="AI433" s="29">
        <f>INDEX(Tabelle11[#All],Tabelle10[[#This Row],[Spalte1]]+14,$AI$2)</f>
        <v>112.04315082649802</v>
      </c>
      <c r="AJ433" s="29">
        <f>INDEX(Tabelle11[#All],Tabelle10[[#This Row],[Spalte1]]+14,Ranking!$AJ$2)</f>
        <v>92.638975858968294</v>
      </c>
    </row>
    <row r="434" spans="32:36" x14ac:dyDescent="0.25">
      <c r="AF434" s="29">
        <f>IF(IFERROR(Tabelle12[[#This Row],[Spiel]],0)=0,AF433+1,Tabelle12[[#This Row],[Spiel]])</f>
        <v>432</v>
      </c>
      <c r="AG434" s="29">
        <f>INDEX(Tabelle11[#All],Tabelle10[[#This Row],[Spalte1]]+14,Ranking!$AG$2)</f>
        <v>93.898681480592288</v>
      </c>
      <c r="AH434" s="29">
        <f>INDEX(Tabelle11[#All],Tabelle10[[#This Row],[Spalte1]]+14,$AH$2)</f>
        <v>95.424863438877921</v>
      </c>
      <c r="AI434" s="29">
        <f>INDEX(Tabelle11[#All],Tabelle10[[#This Row],[Spalte1]]+14,$AI$2)</f>
        <v>113.43660983793274</v>
      </c>
      <c r="AJ434" s="29">
        <f>INDEX(Tabelle11[#All],Tabelle10[[#This Row],[Spalte1]]+14,Ranking!$AJ$2)</f>
        <v>91.226696927811716</v>
      </c>
    </row>
    <row r="435" spans="32:36" x14ac:dyDescent="0.25">
      <c r="AF435" s="29">
        <f>IF(IFERROR(Tabelle12[[#This Row],[Spiel]],0)=0,AF434+1,Tabelle12[[#This Row],[Spiel]])</f>
        <v>433</v>
      </c>
      <c r="AG435" s="29">
        <f>INDEX(Tabelle11[#All],Tabelle10[[#This Row],[Spalte1]]+14,Ranking!$AG$2)</f>
        <v>93.898681480592288</v>
      </c>
      <c r="AH435" s="29">
        <f>INDEX(Tabelle11[#All],Tabelle10[[#This Row],[Spalte1]]+14,$AH$2)</f>
        <v>95.424863438877921</v>
      </c>
      <c r="AI435" s="29">
        <f>INDEX(Tabelle11[#All],Tabelle10[[#This Row],[Spalte1]]+14,$AI$2)</f>
        <v>113.90187435181676</v>
      </c>
      <c r="AJ435" s="29">
        <f>INDEX(Tabelle11[#All],Tabelle10[[#This Row],[Spalte1]]+14,Ranking!$AJ$2)</f>
        <v>90.75550745525544</v>
      </c>
    </row>
    <row r="436" spans="32:36" x14ac:dyDescent="0.25">
      <c r="AF436" s="29">
        <f>IF(IFERROR(Tabelle12[[#This Row],[Spiel]],0)=0,AF435+1,Tabelle12[[#This Row],[Spiel]])</f>
        <v>434</v>
      </c>
      <c r="AG436" s="29">
        <f>INDEX(Tabelle11[#All],Tabelle10[[#This Row],[Spalte1]]+14,Ranking!$AG$2)</f>
        <v>93.898681480592288</v>
      </c>
      <c r="AH436" s="29">
        <f>INDEX(Tabelle11[#All],Tabelle10[[#This Row],[Spalte1]]+14,$AH$2)</f>
        <v>96.813571803887086</v>
      </c>
      <c r="AI436" s="29">
        <f>INDEX(Tabelle11[#All],Tabelle10[[#This Row],[Spalte1]]+14,$AI$2)</f>
        <v>115.065308288629</v>
      </c>
      <c r="AJ436" s="29">
        <f>INDEX(Tabelle11[#All],Tabelle10[[#This Row],[Spalte1]]+14,Ranking!$AJ$2)</f>
        <v>89.556975391004684</v>
      </c>
    </row>
    <row r="437" spans="32:36" x14ac:dyDescent="0.25">
      <c r="AF437" s="29">
        <f>IF(IFERROR(Tabelle12[[#This Row],[Spiel]],0)=0,AF436+1,Tabelle12[[#This Row],[Spiel]])</f>
        <v>435</v>
      </c>
      <c r="AG437" s="29">
        <f>INDEX(Tabelle11[#All],Tabelle10[[#This Row],[Spalte1]]+14,Ranking!$AG$2)</f>
        <v>93.898681480592288</v>
      </c>
      <c r="AH437" s="29">
        <f>INDEX(Tabelle11[#All],Tabelle10[[#This Row],[Spalte1]]+14,$AH$2)</f>
        <v>96.215390677208731</v>
      </c>
      <c r="AI437" s="29">
        <f>INDEX(Tabelle11[#All],Tabelle10[[#This Row],[Spalte1]]+14,$AI$2)</f>
        <v>114.35435532541109</v>
      </c>
      <c r="AJ437" s="29">
        <f>INDEX(Tabelle11[#All],Tabelle10[[#This Row],[Spalte1]]+14,Ranking!$AJ$2)</f>
        <v>90.251316496189787</v>
      </c>
    </row>
    <row r="438" spans="32:36" x14ac:dyDescent="0.25">
      <c r="AF438" s="29">
        <f>IF(IFERROR(Tabelle12[[#This Row],[Spiel]],0)=0,AF437+1,Tabelle12[[#This Row],[Spiel]])</f>
        <v>436</v>
      </c>
      <c r="AG438" s="29">
        <f>INDEX(Tabelle11[#All],Tabelle10[[#This Row],[Spalte1]]+14,Ranking!$AG$2)</f>
        <v>93.898681480592288</v>
      </c>
      <c r="AH438" s="29">
        <f>INDEX(Tabelle11[#All],Tabelle10[[#This Row],[Spalte1]]+14,$AH$2)</f>
        <v>97.272343531935547</v>
      </c>
      <c r="AI438" s="29">
        <f>INDEX(Tabelle11[#All],Tabelle10[[#This Row],[Spalte1]]+14,$AI$2)</f>
        <v>114.35435532541109</v>
      </c>
      <c r="AJ438" s="29">
        <f>INDEX(Tabelle11[#All],Tabelle10[[#This Row],[Spalte1]]+14,Ranking!$AJ$2)</f>
        <v>90.251316496189787</v>
      </c>
    </row>
    <row r="439" spans="32:36" x14ac:dyDescent="0.25">
      <c r="AF439" s="29">
        <f>IF(IFERROR(Tabelle12[[#This Row],[Spiel]],0)=0,AF438+1,Tabelle12[[#This Row],[Spiel]])</f>
        <v>437</v>
      </c>
      <c r="AG439" s="29">
        <f>INDEX(Tabelle11[#All],Tabelle10[[#This Row],[Spalte1]]+14,Ranking!$AG$2)</f>
        <v>93.898681480592288</v>
      </c>
      <c r="AH439" s="29">
        <f>INDEX(Tabelle11[#All],Tabelle10[[#This Row],[Spalte1]]+14,$AH$2)</f>
        <v>95.315644312336744</v>
      </c>
      <c r="AI439" s="29">
        <f>INDEX(Tabelle11[#All],Tabelle10[[#This Row],[Spalte1]]+14,$AI$2)</f>
        <v>114.35435532541109</v>
      </c>
      <c r="AJ439" s="29">
        <f>INDEX(Tabelle11[#All],Tabelle10[[#This Row],[Spalte1]]+14,Ranking!$AJ$2)</f>
        <v>90.251316496189787</v>
      </c>
    </row>
    <row r="440" spans="32:36" x14ac:dyDescent="0.25">
      <c r="AF440" s="29">
        <f>IF(IFERROR(Tabelle12[[#This Row],[Spiel]],0)=0,AF439+1,Tabelle12[[#This Row],[Spiel]])</f>
        <v>438</v>
      </c>
      <c r="AG440" s="29">
        <f>INDEX(Tabelle11[#All],Tabelle10[[#This Row],[Spalte1]]+14,Ranking!$AG$2)</f>
        <v>93.898681480592288</v>
      </c>
      <c r="AH440" s="29">
        <f>INDEX(Tabelle11[#All],Tabelle10[[#This Row],[Spalte1]]+14,$AH$2)</f>
        <v>95.315644312336744</v>
      </c>
      <c r="AI440" s="29">
        <f>INDEX(Tabelle11[#All],Tabelle10[[#This Row],[Spalte1]]+14,$AI$2)</f>
        <v>114.35435532541109</v>
      </c>
      <c r="AJ440" s="29">
        <f>INDEX(Tabelle11[#All],Tabelle10[[#This Row],[Spalte1]]+14,Ranking!$AJ$2)</f>
        <v>90.251316496189787</v>
      </c>
    </row>
    <row r="441" spans="32:36" x14ac:dyDescent="0.25">
      <c r="AF441" s="29">
        <f>IF(IFERROR(Tabelle12[[#This Row],[Spiel]],0)=0,AF440+1,Tabelle12[[#This Row],[Spiel]])</f>
        <v>439</v>
      </c>
      <c r="AG441" s="29">
        <f>INDEX(Tabelle11[#All],Tabelle10[[#This Row],[Spalte1]]+14,Ranking!$AG$2)</f>
        <v>93.898681480592288</v>
      </c>
      <c r="AH441" s="29">
        <f>INDEX(Tabelle11[#All],Tabelle10[[#This Row],[Spalte1]]+14,$AH$2)</f>
        <v>95.315644312336744</v>
      </c>
      <c r="AI441" s="29">
        <f>INDEX(Tabelle11[#All],Tabelle10[[#This Row],[Spalte1]]+14,$AI$2)</f>
        <v>114.35435532541109</v>
      </c>
      <c r="AJ441" s="29">
        <f>INDEX(Tabelle11[#All],Tabelle10[[#This Row],[Spalte1]]+14,Ranking!$AJ$2)</f>
        <v>90.251316496189787</v>
      </c>
    </row>
    <row r="442" spans="32:36" x14ac:dyDescent="0.25">
      <c r="AF442" s="29">
        <f>IF(IFERROR(Tabelle12[[#This Row],[Spiel]],0)=0,AF441+1,Tabelle12[[#This Row],[Spiel]])</f>
        <v>440</v>
      </c>
      <c r="AG442" s="29">
        <f>INDEX(Tabelle11[#All],Tabelle10[[#This Row],[Spalte1]]+14,Ranking!$AG$2)</f>
        <v>93.898681480592288</v>
      </c>
      <c r="AH442" s="29">
        <f>INDEX(Tabelle11[#All],Tabelle10[[#This Row],[Spalte1]]+14,$AH$2)</f>
        <v>95.315644312336744</v>
      </c>
      <c r="AI442" s="29">
        <f>INDEX(Tabelle11[#All],Tabelle10[[#This Row],[Spalte1]]+14,$AI$2)</f>
        <v>114.35435532541109</v>
      </c>
      <c r="AJ442" s="29">
        <f>INDEX(Tabelle11[#All],Tabelle10[[#This Row],[Spalte1]]+14,Ranking!$AJ$2)</f>
        <v>90.347937261792566</v>
      </c>
    </row>
    <row r="443" spans="32:36" x14ac:dyDescent="0.25">
      <c r="AF443" s="29">
        <f>IF(IFERROR(Tabelle12[[#This Row],[Spiel]],0)=0,AF442+1,Tabelle12[[#This Row],[Spiel]])</f>
        <v>441</v>
      </c>
      <c r="AG443" s="29">
        <f>INDEX(Tabelle11[#All],Tabelle10[[#This Row],[Spalte1]]+14,Ranking!$AG$2)</f>
        <v>93.898681480592288</v>
      </c>
      <c r="AH443" s="29">
        <f>INDEX(Tabelle11[#All],Tabelle10[[#This Row],[Spalte1]]+14,$AH$2)</f>
        <v>95.315644312336744</v>
      </c>
      <c r="AI443" s="29">
        <f>INDEX(Tabelle11[#All],Tabelle10[[#This Row],[Spalte1]]+14,$AI$2)</f>
        <v>114.35435532541109</v>
      </c>
      <c r="AJ443" s="29">
        <f>INDEX(Tabelle11[#All],Tabelle10[[#This Row],[Spalte1]]+14,Ranking!$AJ$2)</f>
        <v>91.086166565362092</v>
      </c>
    </row>
    <row r="444" spans="32:36" x14ac:dyDescent="0.25">
      <c r="AF444" s="29">
        <f>IF(IFERROR(Tabelle12[[#This Row],[Spiel]],0)=0,AF443+1,Tabelle12[[#This Row],[Spiel]])</f>
        <v>442</v>
      </c>
      <c r="AG444" s="29">
        <f>INDEX(Tabelle11[#All],Tabelle10[[#This Row],[Spalte1]]+14,Ranking!$AG$2)</f>
        <v>93.898681480592288</v>
      </c>
      <c r="AH444" s="29">
        <f>INDEX(Tabelle11[#All],Tabelle10[[#This Row],[Spalte1]]+14,$AH$2)</f>
        <v>94.186025803703004</v>
      </c>
      <c r="AI444" s="29">
        <f>INDEX(Tabelle11[#All],Tabelle10[[#This Row],[Spalte1]]+14,$AI$2)</f>
        <v>114.35435532541109</v>
      </c>
      <c r="AJ444" s="29">
        <f>INDEX(Tabelle11[#All],Tabelle10[[#This Row],[Spalte1]]+14,Ranking!$AJ$2)</f>
        <v>91.086166565362092</v>
      </c>
    </row>
    <row r="445" spans="32:36" x14ac:dyDescent="0.25">
      <c r="AF445" s="29">
        <f>IF(IFERROR(Tabelle12[[#This Row],[Spiel]],0)=0,AF444+1,Tabelle12[[#This Row],[Spiel]])</f>
        <v>443</v>
      </c>
      <c r="AG445" s="29">
        <f>INDEX(Tabelle11[#All],Tabelle10[[#This Row],[Spalte1]]+14,Ranking!$AG$2)</f>
        <v>93.898681480592288</v>
      </c>
      <c r="AH445" s="29">
        <f>INDEX(Tabelle11[#All],Tabelle10[[#This Row],[Spalte1]]+14,$AH$2)</f>
        <v>94.328401762676364</v>
      </c>
      <c r="AI445" s="29">
        <f>INDEX(Tabelle11[#All],Tabelle10[[#This Row],[Spalte1]]+14,$AI$2)</f>
        <v>114.35435532541109</v>
      </c>
      <c r="AJ445" s="29">
        <f>INDEX(Tabelle11[#All],Tabelle10[[#This Row],[Spalte1]]+14,Ranking!$AJ$2)</f>
        <v>91.086166565362092</v>
      </c>
    </row>
    <row r="446" spans="32:36" x14ac:dyDescent="0.25">
      <c r="AF446" s="29">
        <f>IF(IFERROR(Tabelle12[[#This Row],[Spiel]],0)=0,AF445+1,Tabelle12[[#This Row],[Spiel]])</f>
        <v>444</v>
      </c>
      <c r="AG446" s="29">
        <f>INDEX(Tabelle11[#All],Tabelle10[[#This Row],[Spalte1]]+14,Ranking!$AG$2)</f>
        <v>93.898681480592288</v>
      </c>
      <c r="AH446" s="29">
        <f>INDEX(Tabelle11[#All],Tabelle10[[#This Row],[Spalte1]]+14,$AH$2)</f>
        <v>94.78855516763457</v>
      </c>
      <c r="AI446" s="29">
        <f>INDEX(Tabelle11[#All],Tabelle10[[#This Row],[Spalte1]]+14,$AI$2)</f>
        <v>113.85891812658865</v>
      </c>
      <c r="AJ446" s="29">
        <f>INDEX(Tabelle11[#All],Tabelle10[[#This Row],[Spalte1]]+14,Ranking!$AJ$2)</f>
        <v>90.691538174635738</v>
      </c>
    </row>
    <row r="447" spans="32:36" x14ac:dyDescent="0.25">
      <c r="AF447" s="29">
        <f>IF(IFERROR(Tabelle12[[#This Row],[Spiel]],0)=0,AF446+1,Tabelle12[[#This Row],[Spiel]])</f>
        <v>445</v>
      </c>
      <c r="AG447" s="29">
        <f>INDEX(Tabelle11[#All],Tabelle10[[#This Row],[Spalte1]]+14,Ranking!$AG$2)</f>
        <v>93.898681480592288</v>
      </c>
      <c r="AH447" s="29">
        <f>INDEX(Tabelle11[#All],Tabelle10[[#This Row],[Spalte1]]+14,$AH$2)</f>
        <v>94.191450510765264</v>
      </c>
      <c r="AI447" s="29">
        <f>INDEX(Tabelle11[#All],Tabelle10[[#This Row],[Spalte1]]+14,$AI$2)</f>
        <v>114.40684228822641</v>
      </c>
      <c r="AJ447" s="29">
        <f>INDEX(Tabelle11[#All],Tabelle10[[#This Row],[Spalte1]]+14,Ranking!$AJ$2)</f>
        <v>91.379430931944185</v>
      </c>
    </row>
    <row r="448" spans="32:36" x14ac:dyDescent="0.25">
      <c r="AF448" s="29">
        <f>IF(IFERROR(Tabelle12[[#This Row],[Spiel]],0)=0,AF447+1,Tabelle12[[#This Row],[Spiel]])</f>
        <v>446</v>
      </c>
      <c r="AG448" s="29">
        <f>INDEX(Tabelle11[#All],Tabelle10[[#This Row],[Spalte1]]+14,Ranking!$AG$2)</f>
        <v>93.898681480592288</v>
      </c>
      <c r="AH448" s="29">
        <f>INDEX(Tabelle11[#All],Tabelle10[[#This Row],[Spalte1]]+14,$AH$2)</f>
        <v>94.191450510765264</v>
      </c>
      <c r="AI448" s="29">
        <f>INDEX(Tabelle11[#All],Tabelle10[[#This Row],[Spalte1]]+14,$AI$2)</f>
        <v>114.40684228822641</v>
      </c>
      <c r="AJ448" s="29">
        <f>INDEX(Tabelle11[#All],Tabelle10[[#This Row],[Spalte1]]+14,Ranking!$AJ$2)</f>
        <v>91.379430931944185</v>
      </c>
    </row>
    <row r="449" spans="32:36" x14ac:dyDescent="0.25">
      <c r="AF449" s="29">
        <f>IF(IFERROR(Tabelle12[[#This Row],[Spiel]],0)=0,AF448+1,Tabelle12[[#This Row],[Spiel]])</f>
        <v>447</v>
      </c>
      <c r="AG449" s="29">
        <f>INDEX(Tabelle11[#All],Tabelle10[[#This Row],[Spalte1]]+14,Ranking!$AG$2)</f>
        <v>93.898681480592288</v>
      </c>
      <c r="AH449" s="29">
        <f>INDEX(Tabelle11[#All],Tabelle10[[#This Row],[Spalte1]]+14,$AH$2)</f>
        <v>94.191450510765264</v>
      </c>
      <c r="AI449" s="29">
        <f>INDEX(Tabelle11[#All],Tabelle10[[#This Row],[Spalte1]]+14,$AI$2)</f>
        <v>114.40684228822641</v>
      </c>
      <c r="AJ449" s="29">
        <f>INDEX(Tabelle11[#All],Tabelle10[[#This Row],[Spalte1]]+14,Ranking!$AJ$2)</f>
        <v>91.379430931944185</v>
      </c>
    </row>
    <row r="450" spans="32:36" x14ac:dyDescent="0.25">
      <c r="AF450" s="29">
        <f>IF(IFERROR(Tabelle12[[#This Row],[Spiel]],0)=0,AF449+1,Tabelle12[[#This Row],[Spiel]])</f>
        <v>448</v>
      </c>
      <c r="AG450" s="29">
        <f>INDEX(Tabelle11[#All],Tabelle10[[#This Row],[Spalte1]]+14,Ranking!$AG$2)</f>
        <v>93.898681480592288</v>
      </c>
      <c r="AH450" s="29">
        <f>INDEX(Tabelle11[#All],Tabelle10[[#This Row],[Spalte1]]+14,$AH$2)</f>
        <v>94.191450510765264</v>
      </c>
      <c r="AI450" s="29">
        <f>INDEX(Tabelle11[#All],Tabelle10[[#This Row],[Spalte1]]+14,$AI$2)</f>
        <v>115.62998412494342</v>
      </c>
      <c r="AJ450" s="29">
        <f>INDEX(Tabelle11[#All],Tabelle10[[#This Row],[Spalte1]]+14,Ranking!$AJ$2)</f>
        <v>90.147561847675718</v>
      </c>
    </row>
    <row r="451" spans="32:36" x14ac:dyDescent="0.25">
      <c r="AF451" s="29">
        <f>IF(IFERROR(Tabelle12[[#This Row],[Spiel]],0)=0,AF450+1,Tabelle12[[#This Row],[Spiel]])</f>
        <v>449</v>
      </c>
      <c r="AG451" s="29">
        <f>INDEX(Tabelle11[#All],Tabelle10[[#This Row],[Spalte1]]+14,Ranking!$AG$2)</f>
        <v>93.898681480592288</v>
      </c>
      <c r="AH451" s="29">
        <f>INDEX(Tabelle11[#All],Tabelle10[[#This Row],[Spalte1]]+14,$AH$2)</f>
        <v>94.191450510765264</v>
      </c>
      <c r="AI451" s="29">
        <f>INDEX(Tabelle11[#All],Tabelle10[[#This Row],[Spalte1]]+14,$AI$2)</f>
        <v>114.59129381441466</v>
      </c>
      <c r="AJ451" s="29">
        <f>INDEX(Tabelle11[#All],Tabelle10[[#This Row],[Spalte1]]+14,Ranking!$AJ$2)</f>
        <v>91.181797910444487</v>
      </c>
    </row>
    <row r="452" spans="32:36" x14ac:dyDescent="0.25">
      <c r="AF452" s="29">
        <f>IF(IFERROR(Tabelle12[[#This Row],[Spiel]],0)=0,AF451+1,Tabelle12[[#This Row],[Spiel]])</f>
        <v>450</v>
      </c>
      <c r="AG452" s="29">
        <f>INDEX(Tabelle11[#All],Tabelle10[[#This Row],[Spalte1]]+14,Ranking!$AG$2)</f>
        <v>93.898681480592288</v>
      </c>
      <c r="AH452" s="29">
        <f>INDEX(Tabelle11[#All],Tabelle10[[#This Row],[Spalte1]]+14,$AH$2)</f>
        <v>93.697329174309772</v>
      </c>
      <c r="AI452" s="29">
        <f>INDEX(Tabelle11[#All],Tabelle10[[#This Row],[Spalte1]]+14,$AI$2)</f>
        <v>114.59129381441466</v>
      </c>
      <c r="AJ452" s="29">
        <f>INDEX(Tabelle11[#All],Tabelle10[[#This Row],[Spalte1]]+14,Ranking!$AJ$2)</f>
        <v>91.181797910444487</v>
      </c>
    </row>
    <row r="453" spans="32:36" x14ac:dyDescent="0.25">
      <c r="AF453" s="29">
        <f>IF(IFERROR(Tabelle12[[#This Row],[Spiel]],0)=0,AF452+1,Tabelle12[[#This Row],[Spiel]])</f>
        <v>451</v>
      </c>
      <c r="AG453" s="29">
        <f>INDEX(Tabelle11[#All],Tabelle10[[#This Row],[Spalte1]]+14,Ranking!$AG$2)</f>
        <v>93.898681480592288</v>
      </c>
      <c r="AH453" s="29">
        <f>INDEX(Tabelle11[#All],Tabelle10[[#This Row],[Spalte1]]+14,$AH$2)</f>
        <v>94.186079996590834</v>
      </c>
      <c r="AI453" s="29">
        <f>INDEX(Tabelle11[#All],Tabelle10[[#This Row],[Spalte1]]+14,$AI$2)</f>
        <v>114.59129381441466</v>
      </c>
      <c r="AJ453" s="29">
        <f>INDEX(Tabelle11[#All],Tabelle10[[#This Row],[Spalte1]]+14,Ranking!$AJ$2)</f>
        <v>91.181797910444487</v>
      </c>
    </row>
    <row r="454" spans="32:36" x14ac:dyDescent="0.25">
      <c r="AF454" s="29">
        <f>IF(IFERROR(Tabelle12[[#This Row],[Spiel]],0)=0,AF453+1,Tabelle12[[#This Row],[Spiel]])</f>
        <v>452</v>
      </c>
      <c r="AG454" s="29">
        <f>INDEX(Tabelle11[#All],Tabelle10[[#This Row],[Spalte1]]+14,Ranking!$AG$2)</f>
        <v>93.898681480592288</v>
      </c>
      <c r="AH454" s="29">
        <f>INDEX(Tabelle11[#All],Tabelle10[[#This Row],[Spalte1]]+14,$AH$2)</f>
        <v>94.186079996590834</v>
      </c>
      <c r="AI454" s="29">
        <f>INDEX(Tabelle11[#All],Tabelle10[[#This Row],[Spalte1]]+14,$AI$2)</f>
        <v>115.38117309658379</v>
      </c>
      <c r="AJ454" s="29">
        <f>INDEX(Tabelle11[#All],Tabelle10[[#This Row],[Spalte1]]+14,Ranking!$AJ$2)</f>
        <v>92.174466304523122</v>
      </c>
    </row>
    <row r="455" spans="32:36" x14ac:dyDescent="0.25">
      <c r="AF455" s="29">
        <f>IF(IFERROR(Tabelle12[[#This Row],[Spiel]],0)=0,AF454+1,Tabelle12[[#This Row],[Spiel]])</f>
        <v>453</v>
      </c>
      <c r="AG455" s="29">
        <f>INDEX(Tabelle11[#All],Tabelle10[[#This Row],[Spalte1]]+14,Ranking!$AG$2)</f>
        <v>93.898681480592288</v>
      </c>
      <c r="AH455" s="29">
        <f>INDEX(Tabelle11[#All],Tabelle10[[#This Row],[Spalte1]]+14,$AH$2)</f>
        <v>94.186079996590834</v>
      </c>
      <c r="AI455" s="29">
        <f>INDEX(Tabelle11[#All],Tabelle10[[#This Row],[Spalte1]]+14,$AI$2)</f>
        <v>114.10864460302504</v>
      </c>
      <c r="AJ455" s="29">
        <f>INDEX(Tabelle11[#All],Tabelle10[[#This Row],[Spalte1]]+14,Ranking!$AJ$2)</f>
        <v>91.157882475436111</v>
      </c>
    </row>
    <row r="456" spans="32:36" x14ac:dyDescent="0.25">
      <c r="AF456" s="29">
        <f>IF(IFERROR(Tabelle12[[#This Row],[Spiel]],0)=0,AF455+1,Tabelle12[[#This Row],[Spiel]])</f>
        <v>454</v>
      </c>
      <c r="AG456" s="29">
        <f>INDEX(Tabelle11[#All],Tabelle10[[#This Row],[Spalte1]]+14,Ranking!$AG$2)</f>
        <v>93.898681480592288</v>
      </c>
      <c r="AH456" s="29">
        <f>INDEX(Tabelle11[#All],Tabelle10[[#This Row],[Spalte1]]+14,$AH$2)</f>
        <v>94.926020320404064</v>
      </c>
      <c r="AI456" s="29">
        <f>INDEX(Tabelle11[#All],Tabelle10[[#This Row],[Spalte1]]+14,$AI$2)</f>
        <v>114.10864460302504</v>
      </c>
      <c r="AJ456" s="29">
        <f>INDEX(Tabelle11[#All],Tabelle10[[#This Row],[Spalte1]]+14,Ranking!$AJ$2)</f>
        <v>91.922403070242112</v>
      </c>
    </row>
    <row r="457" spans="32:36" x14ac:dyDescent="0.25">
      <c r="AF457" s="29">
        <f>IF(IFERROR(Tabelle12[[#This Row],[Spiel]],0)=0,AF456+1,Tabelle12[[#This Row],[Spiel]])</f>
        <v>455</v>
      </c>
      <c r="AG457" s="29">
        <f>INDEX(Tabelle11[#All],Tabelle10[[#This Row],[Spalte1]]+14,Ranking!$AG$2)</f>
        <v>93.898681480592288</v>
      </c>
      <c r="AH457" s="29">
        <f>INDEX(Tabelle11[#All],Tabelle10[[#This Row],[Spalte1]]+14,$AH$2)</f>
        <v>94.639952987183662</v>
      </c>
      <c r="AI457" s="29">
        <f>INDEX(Tabelle11[#All],Tabelle10[[#This Row],[Spalte1]]+14,$AI$2)</f>
        <v>114.10864460302504</v>
      </c>
      <c r="AJ457" s="29">
        <f>INDEX(Tabelle11[#All],Tabelle10[[#This Row],[Spalte1]]+14,Ranking!$AJ$2)</f>
        <v>91.645387383491979</v>
      </c>
    </row>
    <row r="458" spans="32:36" x14ac:dyDescent="0.25">
      <c r="AF458" s="29">
        <f>IF(IFERROR(Tabelle12[[#This Row],[Spiel]],0)=0,AF457+1,Tabelle12[[#This Row],[Spiel]])</f>
        <v>456</v>
      </c>
      <c r="AG458" s="29">
        <f>INDEX(Tabelle11[#All],Tabelle10[[#This Row],[Spalte1]]+14,Ranking!$AG$2)</f>
        <v>93.898681480592288</v>
      </c>
      <c r="AH458" s="29">
        <f>INDEX(Tabelle11[#All],Tabelle10[[#This Row],[Spalte1]]+14,$AH$2)</f>
        <v>94.639952987183662</v>
      </c>
      <c r="AI458" s="29">
        <f>INDEX(Tabelle11[#All],Tabelle10[[#This Row],[Spalte1]]+14,$AI$2)</f>
        <v>114.10864460302504</v>
      </c>
      <c r="AJ458" s="29">
        <f>INDEX(Tabelle11[#All],Tabelle10[[#This Row],[Spalte1]]+14,Ranking!$AJ$2)</f>
        <v>92.839852510202803</v>
      </c>
    </row>
    <row r="459" spans="32:36" x14ac:dyDescent="0.25">
      <c r="AF459" s="29">
        <f>IF(IFERROR(Tabelle12[[#This Row],[Spiel]],0)=0,AF458+1,Tabelle12[[#This Row],[Spiel]])</f>
        <v>457</v>
      </c>
      <c r="AG459" s="29">
        <f>INDEX(Tabelle11[#All],Tabelle10[[#This Row],[Spalte1]]+14,Ranking!$AG$2)</f>
        <v>93.898681480592288</v>
      </c>
      <c r="AH459" s="29">
        <f>INDEX(Tabelle11[#All],Tabelle10[[#This Row],[Spalte1]]+14,$AH$2)</f>
        <v>94.639952987183662</v>
      </c>
      <c r="AI459" s="29">
        <f>INDEX(Tabelle11[#All],Tabelle10[[#This Row],[Spalte1]]+14,$AI$2)</f>
        <v>114.10864460302504</v>
      </c>
      <c r="AJ459" s="29">
        <f>INDEX(Tabelle11[#All],Tabelle10[[#This Row],[Spalte1]]+14,Ranking!$AJ$2)</f>
        <v>93.13668358503061</v>
      </c>
    </row>
    <row r="460" spans="32:36" x14ac:dyDescent="0.25">
      <c r="AF460" s="29">
        <f>IF(IFERROR(Tabelle12[[#This Row],[Spiel]],0)=0,AF459+1,Tabelle12[[#This Row],[Spiel]])</f>
        <v>458</v>
      </c>
      <c r="AG460" s="29">
        <f>INDEX(Tabelle11[#All],Tabelle10[[#This Row],[Spalte1]]+14,Ranking!$AG$2)</f>
        <v>93.898681480592288</v>
      </c>
      <c r="AH460" s="29">
        <f>INDEX(Tabelle11[#All],Tabelle10[[#This Row],[Spalte1]]+14,$AH$2)</f>
        <v>94.639952987183662</v>
      </c>
      <c r="AI460" s="29">
        <f>INDEX(Tabelle11[#All],Tabelle10[[#This Row],[Spalte1]]+14,$AI$2)</f>
        <v>114.10864460302504</v>
      </c>
      <c r="AJ460" s="29">
        <f>INDEX(Tabelle11[#All],Tabelle10[[#This Row],[Spalte1]]+14,Ranking!$AJ$2)</f>
        <v>93.13668358503061</v>
      </c>
    </row>
    <row r="461" spans="32:36" x14ac:dyDescent="0.25">
      <c r="AF461" s="29">
        <f>IF(IFERROR(Tabelle12[[#This Row],[Spiel]],0)=0,AF460+1,Tabelle12[[#This Row],[Spiel]])</f>
        <v>459</v>
      </c>
      <c r="AG461" s="29">
        <f>INDEX(Tabelle11[#All],Tabelle10[[#This Row],[Spalte1]]+14,Ranking!$AG$2)</f>
        <v>93.898681480592288</v>
      </c>
      <c r="AH461" s="29">
        <f>INDEX(Tabelle11[#All],Tabelle10[[#This Row],[Spalte1]]+14,$AH$2)</f>
        <v>94.639952987183662</v>
      </c>
      <c r="AI461" s="29">
        <f>INDEX(Tabelle11[#All],Tabelle10[[#This Row],[Spalte1]]+14,$AI$2)</f>
        <v>114.10864460302504</v>
      </c>
      <c r="AJ461" s="29">
        <f>INDEX(Tabelle11[#All],Tabelle10[[#This Row],[Spalte1]]+14,Ranking!$AJ$2)</f>
        <v>93.13668358503061</v>
      </c>
    </row>
    <row r="462" spans="32:36" x14ac:dyDescent="0.25">
      <c r="AF462" s="29">
        <f>IF(IFERROR(Tabelle12[[#This Row],[Spiel]],0)=0,AF461+1,Tabelle12[[#This Row],[Spiel]])</f>
        <v>460</v>
      </c>
      <c r="AG462" s="29">
        <f>INDEX(Tabelle11[#All],Tabelle10[[#This Row],[Spalte1]]+14,Ranking!$AG$2)</f>
        <v>93.898681480592288</v>
      </c>
      <c r="AH462" s="29">
        <f>INDEX(Tabelle11[#All],Tabelle10[[#This Row],[Spalte1]]+14,$AH$2)</f>
        <v>93.931123812756837</v>
      </c>
      <c r="AI462" s="29">
        <f>INDEX(Tabelle11[#All],Tabelle10[[#This Row],[Spalte1]]+14,$AI$2)</f>
        <v>113.25399988062244</v>
      </c>
      <c r="AJ462" s="29">
        <f>INDEX(Tabelle11[#All],Tabelle10[[#This Row],[Spalte1]]+14,Ranking!$AJ$2)</f>
        <v>93.13668358503061</v>
      </c>
    </row>
    <row r="463" spans="32:36" x14ac:dyDescent="0.25">
      <c r="AF463" s="29">
        <f>IF(IFERROR(Tabelle12[[#This Row],[Spiel]],0)=0,AF462+1,Tabelle12[[#This Row],[Spiel]])</f>
        <v>461</v>
      </c>
      <c r="AG463" s="29">
        <f>INDEX(Tabelle11[#All],Tabelle10[[#This Row],[Spalte1]]+14,Ranking!$AG$2)</f>
        <v>93.898681480592288</v>
      </c>
      <c r="AH463" s="29">
        <f>INDEX(Tabelle11[#All],Tabelle10[[#This Row],[Spalte1]]+14,$AH$2)</f>
        <v>93.170590781247896</v>
      </c>
      <c r="AI463" s="29">
        <f>INDEX(Tabelle11[#All],Tabelle10[[#This Row],[Spalte1]]+14,$AI$2)</f>
        <v>112.33701513303843</v>
      </c>
      <c r="AJ463" s="29">
        <f>INDEX(Tabelle11[#All],Tabelle10[[#This Row],[Spalte1]]+14,Ranking!$AJ$2)</f>
        <v>93.13668358503061</v>
      </c>
    </row>
    <row r="464" spans="32:36" x14ac:dyDescent="0.25">
      <c r="AF464" s="29">
        <f>IF(IFERROR(Tabelle12[[#This Row],[Spiel]],0)=0,AF463+1,Tabelle12[[#This Row],[Spiel]])</f>
        <v>462</v>
      </c>
      <c r="AG464" s="29">
        <f>INDEX(Tabelle11[#All],Tabelle10[[#This Row],[Spalte1]]+14,Ranking!$AG$2)</f>
        <v>93.109759849317939</v>
      </c>
      <c r="AH464" s="29">
        <f>INDEX(Tabelle11[#All],Tabelle10[[#This Row],[Spalte1]]+14,$AH$2)</f>
        <v>93.170590781247896</v>
      </c>
      <c r="AI464" s="29">
        <f>INDEX(Tabelle11[#All],Tabelle10[[#This Row],[Spalte1]]+14,$AI$2)</f>
        <v>112.33701513303843</v>
      </c>
      <c r="AJ464" s="29">
        <f>INDEX(Tabelle11[#All],Tabelle10[[#This Row],[Spalte1]]+14,Ranking!$AJ$2)</f>
        <v>93.13668358503061</v>
      </c>
    </row>
    <row r="465" spans="32:36" x14ac:dyDescent="0.25">
      <c r="AF465" s="29">
        <f>IF(IFERROR(Tabelle12[[#This Row],[Spiel]],0)=0,AF464+1,Tabelle12[[#This Row],[Spiel]])</f>
        <v>463</v>
      </c>
      <c r="AG465" s="29">
        <f>INDEX(Tabelle11[#All],Tabelle10[[#This Row],[Spalte1]]+14,Ranking!$AG$2)</f>
        <v>93.506971252199563</v>
      </c>
      <c r="AH465" s="29">
        <f>INDEX(Tabelle11[#All],Tabelle10[[#This Row],[Spalte1]]+14,$AH$2)</f>
        <v>93.170590781247896</v>
      </c>
      <c r="AI465" s="29">
        <f>INDEX(Tabelle11[#All],Tabelle10[[#This Row],[Spalte1]]+14,$AI$2)</f>
        <v>112.33701513303843</v>
      </c>
      <c r="AJ465" s="29">
        <f>INDEX(Tabelle11[#All],Tabelle10[[#This Row],[Spalte1]]+14,Ranking!$AJ$2)</f>
        <v>93.13668358503061</v>
      </c>
    </row>
    <row r="466" spans="32:36" x14ac:dyDescent="0.25">
      <c r="AF466" s="29">
        <f>IF(IFERROR(Tabelle12[[#This Row],[Spiel]],0)=0,AF465+1,Tabelle12[[#This Row],[Spiel]])</f>
        <v>464</v>
      </c>
      <c r="AG466" s="29">
        <f>INDEX(Tabelle11[#All],Tabelle10[[#This Row],[Spalte1]]+14,Ranking!$AG$2)</f>
        <v>93.506971252199563</v>
      </c>
      <c r="AH466" s="29">
        <f>INDEX(Tabelle11[#All],Tabelle10[[#This Row],[Spalte1]]+14,$AH$2)</f>
        <v>93.818328914815282</v>
      </c>
      <c r="AI466" s="29">
        <f>INDEX(Tabelle11[#All],Tabelle10[[#This Row],[Spalte1]]+14,$AI$2)</f>
        <v>112.33701513303843</v>
      </c>
      <c r="AJ466" s="29">
        <f>INDEX(Tabelle11[#All],Tabelle10[[#This Row],[Spalte1]]+14,Ranking!$AJ$2)</f>
        <v>93.13668358503061</v>
      </c>
    </row>
    <row r="467" spans="32:36" x14ac:dyDescent="0.25">
      <c r="AF467" s="29">
        <f>IF(IFERROR(Tabelle12[[#This Row],[Spiel]],0)=0,AF466+1,Tabelle12[[#This Row],[Spiel]])</f>
        <v>465</v>
      </c>
      <c r="AG467" s="29">
        <f>INDEX(Tabelle11[#All],Tabelle10[[#This Row],[Spalte1]]+14,Ranking!$AG$2)</f>
        <v>93.506971252199563</v>
      </c>
      <c r="AH467" s="29">
        <f>INDEX(Tabelle11[#All],Tabelle10[[#This Row],[Spalte1]]+14,$AH$2)</f>
        <v>93.302370186325206</v>
      </c>
      <c r="AI467" s="29">
        <f>INDEX(Tabelle11[#All],Tabelle10[[#This Row],[Spalte1]]+14,$AI$2)</f>
        <v>112.33701513303843</v>
      </c>
      <c r="AJ467" s="29">
        <f>INDEX(Tabelle11[#All],Tabelle10[[#This Row],[Spalte1]]+14,Ranking!$AJ$2)</f>
        <v>93.13668358503061</v>
      </c>
    </row>
    <row r="468" spans="32:36" x14ac:dyDescent="0.25">
      <c r="AF468" s="29">
        <f>IF(IFERROR(Tabelle12[[#This Row],[Spiel]],0)=0,AF467+1,Tabelle12[[#This Row],[Spiel]])</f>
        <v>466</v>
      </c>
      <c r="AG468" s="29">
        <f>INDEX(Tabelle11[#All],Tabelle10[[#This Row],[Spalte1]]+14,Ranking!$AG$2)</f>
        <v>93.506971252199563</v>
      </c>
      <c r="AH468" s="29">
        <f>INDEX(Tabelle11[#All],Tabelle10[[#This Row],[Spalte1]]+14,$AH$2)</f>
        <v>93.302370186325206</v>
      </c>
      <c r="AI468" s="29">
        <f>INDEX(Tabelle11[#All],Tabelle10[[#This Row],[Spalte1]]+14,$AI$2)</f>
        <v>112.33701513303843</v>
      </c>
      <c r="AJ468" s="29">
        <f>INDEX(Tabelle11[#All],Tabelle10[[#This Row],[Spalte1]]+14,Ranking!$AJ$2)</f>
        <v>93.13668358503061</v>
      </c>
    </row>
    <row r="469" spans="32:36" x14ac:dyDescent="0.25">
      <c r="AF469" s="29">
        <f>IF(IFERROR(Tabelle12[[#This Row],[Spiel]],0)=0,AF468+1,Tabelle12[[#This Row],[Spiel]])</f>
        <v>467</v>
      </c>
      <c r="AG469" s="29">
        <f>INDEX(Tabelle11[#All],Tabelle10[[#This Row],[Spalte1]]+14,Ranking!$AG$2)</f>
        <v>93.506971252199563</v>
      </c>
      <c r="AH469" s="29">
        <f>INDEX(Tabelle11[#All],Tabelle10[[#This Row],[Spalte1]]+14,$AH$2)</f>
        <v>93.302370186325206</v>
      </c>
      <c r="AI469" s="29">
        <f>INDEX(Tabelle11[#All],Tabelle10[[#This Row],[Spalte1]]+14,$AI$2)</f>
        <v>112.33701513303843</v>
      </c>
      <c r="AJ469" s="29">
        <f>INDEX(Tabelle11[#All],Tabelle10[[#This Row],[Spalte1]]+14,Ranking!$AJ$2)</f>
        <v>93.13668358503061</v>
      </c>
    </row>
    <row r="470" spans="32:36" x14ac:dyDescent="0.25">
      <c r="AF470" s="29">
        <f>IF(IFERROR(Tabelle12[[#This Row],[Spiel]],0)=0,AF469+1,Tabelle12[[#This Row],[Spiel]])</f>
        <v>468</v>
      </c>
      <c r="AG470" s="29">
        <f>INDEX(Tabelle11[#All],Tabelle10[[#This Row],[Spalte1]]+14,Ranking!$AG$2)</f>
        <v>93.506971252199563</v>
      </c>
      <c r="AH470" s="29">
        <f>INDEX(Tabelle11[#All],Tabelle10[[#This Row],[Spalte1]]+14,$AH$2)</f>
        <v>94.314641117065847</v>
      </c>
      <c r="AI470" s="29">
        <f>INDEX(Tabelle11[#All],Tabelle10[[#This Row],[Spalte1]]+14,$AI$2)</f>
        <v>111.26555994591628</v>
      </c>
      <c r="AJ470" s="29">
        <f>INDEX(Tabelle11[#All],Tabelle10[[#This Row],[Spalte1]]+14,Ranking!$AJ$2)</f>
        <v>92.248358551466609</v>
      </c>
    </row>
    <row r="471" spans="32:36" x14ac:dyDescent="0.25">
      <c r="AF471" s="29">
        <f>IF(IFERROR(Tabelle12[[#This Row],[Spiel]],0)=0,AF470+1,Tabelle12[[#This Row],[Spiel]])</f>
        <v>469</v>
      </c>
      <c r="AG471" s="29">
        <f>INDEX(Tabelle11[#All],Tabelle10[[#This Row],[Spalte1]]+14,Ranking!$AG$2)</f>
        <v>93.506971252199563</v>
      </c>
      <c r="AH471" s="29">
        <f>INDEX(Tabelle11[#All],Tabelle10[[#This Row],[Spalte1]]+14,$AH$2)</f>
        <v>94.950482301812656</v>
      </c>
      <c r="AI471" s="29">
        <f>INDEX(Tabelle11[#All],Tabelle10[[#This Row],[Spalte1]]+14,$AI$2)</f>
        <v>110.59211001201754</v>
      </c>
      <c r="AJ471" s="29">
        <f>INDEX(Tabelle11[#All],Tabelle10[[#This Row],[Spalte1]]+14,Ranking!$AJ$2)</f>
        <v>91.690012815383042</v>
      </c>
    </row>
    <row r="472" spans="32:36" x14ac:dyDescent="0.25">
      <c r="AF472" s="29">
        <f>IF(IFERROR(Tabelle12[[#This Row],[Spiel]],0)=0,AF471+1,Tabelle12[[#This Row],[Spiel]])</f>
        <v>470</v>
      </c>
      <c r="AG472" s="29">
        <f>INDEX(Tabelle11[#All],Tabelle10[[#This Row],[Spalte1]]+14,Ranking!$AG$2)</f>
        <v>93.506971252199563</v>
      </c>
      <c r="AH472" s="29">
        <f>INDEX(Tabelle11[#All],Tabelle10[[#This Row],[Spalte1]]+14,$AH$2)</f>
        <v>94.950482301812656</v>
      </c>
      <c r="AI472" s="29">
        <f>INDEX(Tabelle11[#All],Tabelle10[[#This Row],[Spalte1]]+14,$AI$2)</f>
        <v>110.59211001201754</v>
      </c>
      <c r="AJ472" s="29">
        <f>INDEX(Tabelle11[#All],Tabelle10[[#This Row],[Spalte1]]+14,Ranking!$AJ$2)</f>
        <v>91.690012815383042</v>
      </c>
    </row>
    <row r="473" spans="32:36" x14ac:dyDescent="0.25">
      <c r="AF473" s="29">
        <f>IF(IFERROR(Tabelle12[[#This Row],[Spiel]],0)=0,AF472+1,Tabelle12[[#This Row],[Spiel]])</f>
        <v>471</v>
      </c>
      <c r="AG473" s="29">
        <f>INDEX(Tabelle11[#All],Tabelle10[[#This Row],[Spalte1]]+14,Ranking!$AG$2)</f>
        <v>93.506971252199563</v>
      </c>
      <c r="AH473" s="29">
        <f>INDEX(Tabelle11[#All],Tabelle10[[#This Row],[Spalte1]]+14,$AH$2)</f>
        <v>94.950482301812656</v>
      </c>
      <c r="AI473" s="29">
        <f>INDEX(Tabelle11[#All],Tabelle10[[#This Row],[Spalte1]]+14,$AI$2)</f>
        <v>110.59211001201754</v>
      </c>
      <c r="AJ473" s="29">
        <f>INDEX(Tabelle11[#All],Tabelle10[[#This Row],[Spalte1]]+14,Ranking!$AJ$2)</f>
        <v>91.690012815383042</v>
      </c>
    </row>
    <row r="474" spans="32:36" x14ac:dyDescent="0.25">
      <c r="AF474" s="29">
        <f>IF(IFERROR(Tabelle12[[#This Row],[Spiel]],0)=0,AF473+1,Tabelle12[[#This Row],[Spiel]])</f>
        <v>472</v>
      </c>
      <c r="AG474" s="29">
        <f>INDEX(Tabelle11[#All],Tabelle10[[#This Row],[Spalte1]]+14,Ranking!$AG$2)</f>
        <v>93.474427319191406</v>
      </c>
      <c r="AH474" s="29">
        <f>INDEX(Tabelle11[#All],Tabelle10[[#This Row],[Spalte1]]+14,$AH$2)</f>
        <v>94.950482301812656</v>
      </c>
      <c r="AI474" s="29">
        <f>INDEX(Tabelle11[#All],Tabelle10[[#This Row],[Spalte1]]+14,$AI$2)</f>
        <v>110.55361980993673</v>
      </c>
      <c r="AJ474" s="29">
        <f>INDEX(Tabelle11[#All],Tabelle10[[#This Row],[Spalte1]]+14,Ranking!$AJ$2)</f>
        <v>91.690012815383042</v>
      </c>
    </row>
    <row r="475" spans="32:36" x14ac:dyDescent="0.25">
      <c r="AF475" s="29">
        <f>IF(IFERROR(Tabelle12[[#This Row],[Spiel]],0)=0,AF474+1,Tabelle12[[#This Row],[Spiel]])</f>
        <v>473</v>
      </c>
      <c r="AG475" s="29">
        <f>INDEX(Tabelle11[#All],Tabelle10[[#This Row],[Spalte1]]+14,Ranking!$AG$2)</f>
        <v>95.145944123323844</v>
      </c>
      <c r="AH475" s="29">
        <f>INDEX(Tabelle11[#All],Tabelle10[[#This Row],[Spalte1]]+14,$AH$2)</f>
        <v>94.950482301812656</v>
      </c>
      <c r="AI475" s="29">
        <f>INDEX(Tabelle11[#All],Tabelle10[[#This Row],[Spalte1]]+14,$AI$2)</f>
        <v>111.96690755473693</v>
      </c>
      <c r="AJ475" s="29">
        <f>INDEX(Tabelle11[#All],Tabelle10[[#This Row],[Spalte1]]+14,Ranking!$AJ$2)</f>
        <v>91.690012815383042</v>
      </c>
    </row>
    <row r="476" spans="32:36" x14ac:dyDescent="0.25">
      <c r="AF476" s="29">
        <f>IF(IFERROR(Tabelle12[[#This Row],[Spiel]],0)=0,AF475+1,Tabelle12[[#This Row],[Spiel]])</f>
        <v>474</v>
      </c>
      <c r="AG476" s="29">
        <f>INDEX(Tabelle11[#All],Tabelle10[[#This Row],[Spalte1]]+14,Ranking!$AG$2)</f>
        <v>95.145944123323844</v>
      </c>
      <c r="AH476" s="29">
        <f>INDEX(Tabelle11[#All],Tabelle10[[#This Row],[Spalte1]]+14,$AH$2)</f>
        <v>94.950482301812656</v>
      </c>
      <c r="AI476" s="29">
        <f>INDEX(Tabelle11[#All],Tabelle10[[#This Row],[Spalte1]]+14,$AI$2)</f>
        <v>111.2920274651762</v>
      </c>
      <c r="AJ476" s="29">
        <f>INDEX(Tabelle11[#All],Tabelle10[[#This Row],[Spalte1]]+14,Ranking!$AJ$2)</f>
        <v>91.137351628144131</v>
      </c>
    </row>
    <row r="477" spans="32:36" x14ac:dyDescent="0.25">
      <c r="AF477" s="29">
        <f>IF(IFERROR(Tabelle12[[#This Row],[Spiel]],0)=0,AF476+1,Tabelle12[[#This Row],[Spiel]])</f>
        <v>475</v>
      </c>
      <c r="AG477" s="29">
        <f>INDEX(Tabelle11[#All],Tabelle10[[#This Row],[Spalte1]]+14,Ranking!$AG$2)</f>
        <v>95.145944123323844</v>
      </c>
      <c r="AH477" s="29">
        <f>INDEX(Tabelle11[#All],Tabelle10[[#This Row],[Spalte1]]+14,$AH$2)</f>
        <v>94.950482301812656</v>
      </c>
      <c r="AI477" s="29">
        <f>INDEX(Tabelle11[#All],Tabelle10[[#This Row],[Spalte1]]+14,$AI$2)</f>
        <v>111.96165139371935</v>
      </c>
      <c r="AJ477" s="29">
        <f>INDEX(Tabelle11[#All],Tabelle10[[#This Row],[Spalte1]]+14,Ranking!$AJ$2)</f>
        <v>91.955060320742888</v>
      </c>
    </row>
    <row r="478" spans="32:36" x14ac:dyDescent="0.25">
      <c r="AF478" s="29">
        <f>IF(IFERROR(Tabelle12[[#This Row],[Spiel]],0)=0,AF477+1,Tabelle12[[#This Row],[Spiel]])</f>
        <v>476</v>
      </c>
      <c r="AG478" s="29">
        <f>INDEX(Tabelle11[#All],Tabelle10[[#This Row],[Spalte1]]+14,Ranking!$AG$2)</f>
        <v>95.164354882635365</v>
      </c>
      <c r="AH478" s="29">
        <f>INDEX(Tabelle11[#All],Tabelle10[[#This Row],[Spalte1]]+14,$AH$2)</f>
        <v>94.933075309935859</v>
      </c>
      <c r="AI478" s="29">
        <f>INDEX(Tabelle11[#All],Tabelle10[[#This Row],[Spalte1]]+14,$AI$2)</f>
        <v>111.96165139371935</v>
      </c>
      <c r="AJ478" s="29">
        <f>INDEX(Tabelle11[#All],Tabelle10[[#This Row],[Spalte1]]+14,Ranking!$AJ$2)</f>
        <v>91.955060320742888</v>
      </c>
    </row>
    <row r="479" spans="32:36" x14ac:dyDescent="0.25">
      <c r="AF479" s="29">
        <f>IF(IFERROR(Tabelle12[[#This Row],[Spiel]],0)=0,AF478+1,Tabelle12[[#This Row],[Spiel]])</f>
        <v>477</v>
      </c>
      <c r="AG479" s="29">
        <f>INDEX(Tabelle11[#All],Tabelle10[[#This Row],[Spalte1]]+14,Ranking!$AG$2)</f>
        <v>95.178690934418597</v>
      </c>
      <c r="AH479" s="29">
        <f>INDEX(Tabelle11[#All],Tabelle10[[#This Row],[Spalte1]]+14,$AH$2)</f>
        <v>94.919520845191045</v>
      </c>
      <c r="AI479" s="29">
        <f>INDEX(Tabelle11[#All],Tabelle10[[#This Row],[Spalte1]]+14,$AI$2)</f>
        <v>111.96165139371935</v>
      </c>
      <c r="AJ479" s="29">
        <f>INDEX(Tabelle11[#All],Tabelle10[[#This Row],[Spalte1]]+14,Ranking!$AJ$2)</f>
        <v>91.955060320742888</v>
      </c>
    </row>
    <row r="480" spans="32:36" x14ac:dyDescent="0.25">
      <c r="AF480" s="29">
        <f>IF(IFERROR(Tabelle12[[#This Row],[Spiel]],0)=0,AF479+1,Tabelle12[[#This Row],[Spiel]])</f>
        <v>478</v>
      </c>
      <c r="AG480" s="29">
        <f>INDEX(Tabelle11[#All],Tabelle10[[#This Row],[Spalte1]]+14,Ranking!$AG$2)</f>
        <v>95.178690934418597</v>
      </c>
      <c r="AH480" s="29">
        <f>INDEX(Tabelle11[#All],Tabelle10[[#This Row],[Spalte1]]+14,$AH$2)</f>
        <v>97.264858593704034</v>
      </c>
      <c r="AI480" s="29">
        <f>INDEX(Tabelle11[#All],Tabelle10[[#This Row],[Spalte1]]+14,$AI$2)</f>
        <v>111.96165139371935</v>
      </c>
      <c r="AJ480" s="29">
        <f>INDEX(Tabelle11[#All],Tabelle10[[#This Row],[Spalte1]]+14,Ranking!$AJ$2)</f>
        <v>91.955060320742888</v>
      </c>
    </row>
    <row r="481" spans="32:36" x14ac:dyDescent="0.25">
      <c r="AF481" s="29">
        <f>IF(IFERROR(Tabelle12[[#This Row],[Spiel]],0)=0,AF480+1,Tabelle12[[#This Row],[Spiel]])</f>
        <v>479</v>
      </c>
      <c r="AG481" s="29">
        <f>INDEX(Tabelle11[#All],Tabelle10[[#This Row],[Spalte1]]+14,Ranking!$AG$2)</f>
        <v>95.178690934418597</v>
      </c>
      <c r="AH481" s="29">
        <f>INDEX(Tabelle11[#All],Tabelle10[[#This Row],[Spalte1]]+14,$AH$2)</f>
        <v>96.477710238273431</v>
      </c>
      <c r="AI481" s="29">
        <f>INDEX(Tabelle11[#All],Tabelle10[[#This Row],[Spalte1]]+14,$AI$2)</f>
        <v>111.96165139371935</v>
      </c>
      <c r="AJ481" s="29">
        <f>INDEX(Tabelle11[#All],Tabelle10[[#This Row],[Spalte1]]+14,Ranking!$AJ$2)</f>
        <v>91.955060320742888</v>
      </c>
    </row>
    <row r="482" spans="32:36" x14ac:dyDescent="0.25">
      <c r="AF482" s="29">
        <f>IF(IFERROR(Tabelle12[[#This Row],[Spiel]],0)=0,AF481+1,Tabelle12[[#This Row],[Spiel]])</f>
        <v>480</v>
      </c>
      <c r="AG482" s="29">
        <f>INDEX(Tabelle11[#All],Tabelle10[[#This Row],[Spalte1]]+14,Ranking!$AG$2)</f>
        <v>95.178690934418597</v>
      </c>
      <c r="AH482" s="29">
        <f>INDEX(Tabelle11[#All],Tabelle10[[#This Row],[Spalte1]]+14,$AH$2)</f>
        <v>96.477710238273431</v>
      </c>
      <c r="AI482" s="29">
        <f>INDEX(Tabelle11[#All],Tabelle10[[#This Row],[Spalte1]]+14,$AI$2)</f>
        <v>111.96165139371935</v>
      </c>
      <c r="AJ482" s="29">
        <f>INDEX(Tabelle11[#All],Tabelle10[[#This Row],[Spalte1]]+14,Ranking!$AJ$2)</f>
        <v>91.955060320742888</v>
      </c>
    </row>
    <row r="483" spans="32:36" x14ac:dyDescent="0.25">
      <c r="AF483" s="29">
        <f>IF(IFERROR(Tabelle12[[#This Row],[Spiel]],0)=0,AF482+1,Tabelle12[[#This Row],[Spiel]])</f>
        <v>481</v>
      </c>
      <c r="AG483" s="29">
        <f>INDEX(Tabelle11[#All],Tabelle10[[#This Row],[Spalte1]]+14,Ranking!$AG$2)</f>
        <v>95.178690934418597</v>
      </c>
      <c r="AH483" s="29">
        <f>INDEX(Tabelle11[#All],Tabelle10[[#This Row],[Spalte1]]+14,$AH$2)</f>
        <v>96.477710238273431</v>
      </c>
      <c r="AI483" s="29">
        <f>INDEX(Tabelle11[#All],Tabelle10[[#This Row],[Spalte1]]+14,$AI$2)</f>
        <v>111.96165139371935</v>
      </c>
      <c r="AJ483" s="29">
        <f>INDEX(Tabelle11[#All],Tabelle10[[#This Row],[Spalte1]]+14,Ranking!$AJ$2)</f>
        <v>91.955060320742888</v>
      </c>
    </row>
    <row r="484" spans="32:36" x14ac:dyDescent="0.25">
      <c r="AF484" s="29">
        <f>IF(IFERROR(Tabelle12[[#This Row],[Spiel]],0)=0,AF483+1,Tabelle12[[#This Row],[Spiel]])</f>
        <v>482</v>
      </c>
      <c r="AG484" s="29">
        <f>INDEX(Tabelle11[#All],Tabelle10[[#This Row],[Spalte1]]+14,Ranking!$AG$2)</f>
        <v>95.178690934418597</v>
      </c>
      <c r="AH484" s="29">
        <f>INDEX(Tabelle11[#All],Tabelle10[[#This Row],[Spalte1]]+14,$AH$2)</f>
        <v>96.477710238273431</v>
      </c>
      <c r="AI484" s="29">
        <f>INDEX(Tabelle11[#All],Tabelle10[[#This Row],[Spalte1]]+14,$AI$2)</f>
        <v>111.96165139371935</v>
      </c>
      <c r="AJ484" s="29">
        <f>INDEX(Tabelle11[#All],Tabelle10[[#This Row],[Spalte1]]+14,Ranking!$AJ$2)</f>
        <v>91.955060320742888</v>
      </c>
    </row>
    <row r="485" spans="32:36" x14ac:dyDescent="0.25">
      <c r="AF485" s="29">
        <f>IF(IFERROR(Tabelle12[[#This Row],[Spiel]],0)=0,AF484+1,Tabelle12[[#This Row],[Spiel]])</f>
        <v>483</v>
      </c>
      <c r="AG485" s="29">
        <f>INDEX(Tabelle11[#All],Tabelle10[[#This Row],[Spalte1]]+14,Ranking!$AG$2)</f>
        <v>95.178690934418597</v>
      </c>
      <c r="AH485" s="29">
        <f>INDEX(Tabelle11[#All],Tabelle10[[#This Row],[Spalte1]]+14,$AH$2)</f>
        <v>96.477710238273431</v>
      </c>
      <c r="AI485" s="29">
        <f>INDEX(Tabelle11[#All],Tabelle10[[#This Row],[Spalte1]]+14,$AI$2)</f>
        <v>111.96165139371935</v>
      </c>
      <c r="AJ485" s="29">
        <f>INDEX(Tabelle11[#All],Tabelle10[[#This Row],[Spalte1]]+14,Ranking!$AJ$2)</f>
        <v>91.955060320742888</v>
      </c>
    </row>
    <row r="486" spans="32:36" x14ac:dyDescent="0.25">
      <c r="AF486" s="29">
        <f>IF(IFERROR(Tabelle12[[#This Row],[Spiel]],0)=0,AF485+1,Tabelle12[[#This Row],[Spiel]])</f>
        <v>484</v>
      </c>
      <c r="AG486" s="29">
        <f>INDEX(Tabelle11[#All],Tabelle10[[#This Row],[Spalte1]]+14,Ranking!$AG$2)</f>
        <v>96.024977609600157</v>
      </c>
      <c r="AH486" s="29">
        <f>INDEX(Tabelle11[#All],Tabelle10[[#This Row],[Spalte1]]+14,$AH$2)</f>
        <v>96.477710238273431</v>
      </c>
      <c r="AI486" s="29">
        <f>INDEX(Tabelle11[#All],Tabelle10[[#This Row],[Spalte1]]+14,$AI$2)</f>
        <v>112.68108038477423</v>
      </c>
      <c r="AJ486" s="29">
        <f>INDEX(Tabelle11[#All],Tabelle10[[#This Row],[Spalte1]]+14,Ranking!$AJ$2)</f>
        <v>91.209760954173973</v>
      </c>
    </row>
    <row r="487" spans="32:36" x14ac:dyDescent="0.25">
      <c r="AF487" s="29">
        <f>IF(IFERROR(Tabelle12[[#This Row],[Spiel]],0)=0,AF486+1,Tabelle12[[#This Row],[Spiel]])</f>
        <v>485</v>
      </c>
      <c r="AG487" s="29">
        <f>INDEX(Tabelle11[#All],Tabelle10[[#This Row],[Spalte1]]+14,Ranking!$AG$2)</f>
        <v>97.347855390038021</v>
      </c>
      <c r="AH487" s="29">
        <f>INDEX(Tabelle11[#All],Tabelle10[[#This Row],[Spalte1]]+14,$AH$2)</f>
        <v>96.477710238273431</v>
      </c>
      <c r="AI487" s="29">
        <f>INDEX(Tabelle11[#All],Tabelle10[[#This Row],[Spalte1]]+14,$AI$2)</f>
        <v>113.80841523826528</v>
      </c>
      <c r="AJ487" s="29">
        <f>INDEX(Tabelle11[#All],Tabelle10[[#This Row],[Spalte1]]+14,Ranking!$AJ$2)</f>
        <v>90.043430461731532</v>
      </c>
    </row>
    <row r="488" spans="32:36" x14ac:dyDescent="0.25">
      <c r="AF488" s="29">
        <f>IF(IFERROR(Tabelle12[[#This Row],[Spiel]],0)=0,AF487+1,Tabelle12[[#This Row],[Spiel]])</f>
        <v>486</v>
      </c>
      <c r="AG488" s="29">
        <f>INDEX(Tabelle11[#All],Tabelle10[[#This Row],[Spalte1]]+14,Ranking!$AG$2)</f>
        <v>97.181858294365341</v>
      </c>
      <c r="AH488" s="29">
        <f>INDEX(Tabelle11[#All],Tabelle10[[#This Row],[Spalte1]]+14,$AH$2)</f>
        <v>96.477710238273431</v>
      </c>
      <c r="AI488" s="29">
        <f>INDEX(Tabelle11[#All],Tabelle10[[#This Row],[Spalte1]]+14,$AI$2)</f>
        <v>113.80841523826528</v>
      </c>
      <c r="AJ488" s="29">
        <f>INDEX(Tabelle11[#All],Tabelle10[[#This Row],[Spalte1]]+14,Ranking!$AJ$2)</f>
        <v>90.043430461731532</v>
      </c>
    </row>
    <row r="489" spans="32:36" x14ac:dyDescent="0.25">
      <c r="AF489" s="29">
        <f>IF(IFERROR(Tabelle12[[#This Row],[Spiel]],0)=0,AF488+1,Tabelle12[[#This Row],[Spiel]])</f>
        <v>487</v>
      </c>
      <c r="AG489" s="29">
        <f>INDEX(Tabelle11[#All],Tabelle10[[#This Row],[Spalte1]]+14,Ranking!$AG$2)</f>
        <v>96.258375657674023</v>
      </c>
      <c r="AH489" s="29">
        <f>INDEX(Tabelle11[#All],Tabelle10[[#This Row],[Spalte1]]+14,$AH$2)</f>
        <v>96.477710238273431</v>
      </c>
      <c r="AI489" s="29">
        <f>INDEX(Tabelle11[#All],Tabelle10[[#This Row],[Spalte1]]+14,$AI$2)</f>
        <v>113.80841523826528</v>
      </c>
      <c r="AJ489" s="29">
        <f>INDEX(Tabelle11[#All],Tabelle10[[#This Row],[Spalte1]]+14,Ranking!$AJ$2)</f>
        <v>90.043430461731532</v>
      </c>
    </row>
    <row r="490" spans="32:36" x14ac:dyDescent="0.25">
      <c r="AF490" s="29">
        <f>IF(IFERROR(Tabelle12[[#This Row],[Spiel]],0)=0,AF489+1,Tabelle12[[#This Row],[Spiel]])</f>
        <v>488</v>
      </c>
      <c r="AG490" s="29">
        <f>INDEX(Tabelle11[#All],Tabelle10[[#This Row],[Spalte1]]+14,Ranking!$AG$2)</f>
        <v>96.258375657674023</v>
      </c>
      <c r="AH490" s="29">
        <f>INDEX(Tabelle11[#All],Tabelle10[[#This Row],[Spalte1]]+14,$AH$2)</f>
        <v>96.477710238273431</v>
      </c>
      <c r="AI490" s="29">
        <f>INDEX(Tabelle11[#All],Tabelle10[[#This Row],[Spalte1]]+14,$AI$2)</f>
        <v>113.80841523826528</v>
      </c>
      <c r="AJ490" s="29">
        <f>INDEX(Tabelle11[#All],Tabelle10[[#This Row],[Spalte1]]+14,Ranking!$AJ$2)</f>
        <v>90.043430461731532</v>
      </c>
    </row>
    <row r="491" spans="32:36" x14ac:dyDescent="0.25">
      <c r="AF491" s="29">
        <f>IF(IFERROR(Tabelle12[[#This Row],[Spiel]],0)=0,AF490+1,Tabelle12[[#This Row],[Spiel]])</f>
        <v>489</v>
      </c>
      <c r="AG491" s="29">
        <f>INDEX(Tabelle11[#All],Tabelle10[[#This Row],[Spalte1]]+14,Ranking!$AG$2)</f>
        <v>96.258375657674023</v>
      </c>
      <c r="AH491" s="29">
        <f>INDEX(Tabelle11[#All],Tabelle10[[#This Row],[Spalte1]]+14,$AH$2)</f>
        <v>96.477710238273431</v>
      </c>
      <c r="AI491" s="29">
        <f>INDEX(Tabelle11[#All],Tabelle10[[#This Row],[Spalte1]]+14,$AI$2)</f>
        <v>113.80841523826528</v>
      </c>
      <c r="AJ491" s="29">
        <f>INDEX(Tabelle11[#All],Tabelle10[[#This Row],[Spalte1]]+14,Ranking!$AJ$2)</f>
        <v>90.043430461731532</v>
      </c>
    </row>
    <row r="492" spans="32:36" x14ac:dyDescent="0.25">
      <c r="AF492" s="29">
        <f>IF(IFERROR(Tabelle12[[#This Row],[Spiel]],0)=0,AF491+1,Tabelle12[[#This Row],[Spiel]])</f>
        <v>490</v>
      </c>
      <c r="AG492" s="29">
        <f>INDEX(Tabelle11[#All],Tabelle10[[#This Row],[Spalte1]]+14,Ranking!$AG$2)</f>
        <v>96.258375657674023</v>
      </c>
      <c r="AH492" s="29">
        <f>INDEX(Tabelle11[#All],Tabelle10[[#This Row],[Spalte1]]+14,$AH$2)</f>
        <v>96.477710238273431</v>
      </c>
      <c r="AI492" s="29">
        <f>INDEX(Tabelle11[#All],Tabelle10[[#This Row],[Spalte1]]+14,$AI$2)</f>
        <v>113.80841523826528</v>
      </c>
      <c r="AJ492" s="29">
        <f>INDEX(Tabelle11[#All],Tabelle10[[#This Row],[Spalte1]]+14,Ranking!$AJ$2)</f>
        <v>90.043430461731532</v>
      </c>
    </row>
    <row r="493" spans="32:36" x14ac:dyDescent="0.25">
      <c r="AF493" s="29">
        <f>IF(IFERROR(Tabelle12[[#This Row],[Spiel]],0)=0,AF492+1,Tabelle12[[#This Row],[Spiel]])</f>
        <v>491</v>
      </c>
      <c r="AG493" s="29">
        <f>INDEX(Tabelle11[#All],Tabelle10[[#This Row],[Spalte1]]+14,Ranking!$AG$2)</f>
        <v>96.258375657674023</v>
      </c>
      <c r="AH493" s="29">
        <f>INDEX(Tabelle11[#All],Tabelle10[[#This Row],[Spalte1]]+14,$AH$2)</f>
        <v>96.477710238273431</v>
      </c>
      <c r="AI493" s="29">
        <f>INDEX(Tabelle11[#All],Tabelle10[[#This Row],[Spalte1]]+14,$AI$2)</f>
        <v>113.80841523826528</v>
      </c>
      <c r="AJ493" s="29">
        <f>INDEX(Tabelle11[#All],Tabelle10[[#This Row],[Spalte1]]+14,Ranking!$AJ$2)</f>
        <v>90.043430461731532</v>
      </c>
    </row>
    <row r="494" spans="32:36" x14ac:dyDescent="0.25">
      <c r="AF494" s="29">
        <f>IF(IFERROR(Tabelle12[[#This Row],[Spiel]],0)=0,AF493+1,Tabelle12[[#This Row],[Spiel]])</f>
        <v>492</v>
      </c>
      <c r="AG494" s="29">
        <f>INDEX(Tabelle11[#All],Tabelle10[[#This Row],[Spalte1]]+14,Ranking!$AG$2)</f>
        <v>94.603461596859816</v>
      </c>
      <c r="AH494" s="29">
        <f>INDEX(Tabelle11[#All],Tabelle10[[#This Row],[Spalte1]]+14,$AH$2)</f>
        <v>96.477710238273431</v>
      </c>
      <c r="AI494" s="29">
        <f>INDEX(Tabelle11[#All],Tabelle10[[#This Row],[Spalte1]]+14,$AI$2)</f>
        <v>115.29212135691897</v>
      </c>
      <c r="AJ494" s="29">
        <f>INDEX(Tabelle11[#All],Tabelle10[[#This Row],[Spalte1]]+14,Ranking!$AJ$2)</f>
        <v>91.91872820613564</v>
      </c>
    </row>
    <row r="495" spans="32:36" x14ac:dyDescent="0.25">
      <c r="AF495" s="29">
        <f>IF(IFERROR(Tabelle12[[#This Row],[Spiel]],0)=0,AF494+1,Tabelle12[[#This Row],[Spiel]])</f>
        <v>493</v>
      </c>
      <c r="AG495" s="29">
        <f>INDEX(Tabelle11[#All],Tabelle10[[#This Row],[Spalte1]]+14,Ranking!$AG$2)</f>
        <v>94.973099912141222</v>
      </c>
      <c r="AH495" s="29">
        <f>INDEX(Tabelle11[#All],Tabelle10[[#This Row],[Spalte1]]+14,$AH$2)</f>
        <v>96.477710238273431</v>
      </c>
      <c r="AI495" s="29">
        <f>INDEX(Tabelle11[#All],Tabelle10[[#This Row],[Spalte1]]+14,$AI$2)</f>
        <v>114.88672284814943</v>
      </c>
      <c r="AJ495" s="29">
        <f>INDEX(Tabelle11[#All],Tabelle10[[#This Row],[Spalte1]]+14,Ranking!$AJ$2)</f>
        <v>91.595516915509805</v>
      </c>
    </row>
    <row r="496" spans="32:36" x14ac:dyDescent="0.25">
      <c r="AF496" s="29">
        <f>IF(IFERROR(Tabelle12[[#This Row],[Spiel]],0)=0,AF495+1,Tabelle12[[#This Row],[Spiel]])</f>
        <v>494</v>
      </c>
      <c r="AG496" s="29">
        <f>INDEX(Tabelle11[#All],Tabelle10[[#This Row],[Spalte1]]+14,Ranking!$AG$2)</f>
        <v>94.973099912141222</v>
      </c>
      <c r="AH496" s="29">
        <f>INDEX(Tabelle11[#All],Tabelle10[[#This Row],[Spalte1]]+14,$AH$2)</f>
        <v>98.548383220089519</v>
      </c>
      <c r="AI496" s="29">
        <f>INDEX(Tabelle11[#All],Tabelle10[[#This Row],[Spalte1]]+14,$AI$2)</f>
        <v>116.62559904711564</v>
      </c>
      <c r="AJ496" s="29">
        <f>INDEX(Tabelle11[#All],Tabelle10[[#This Row],[Spalte1]]+14,Ranking!$AJ$2)</f>
        <v>89.784263410104344</v>
      </c>
    </row>
    <row r="497" spans="32:36" x14ac:dyDescent="0.25">
      <c r="AF497" s="29">
        <f>IF(IFERROR(Tabelle12[[#This Row],[Spiel]],0)=0,AF496+1,Tabelle12[[#This Row],[Spiel]])</f>
        <v>495</v>
      </c>
      <c r="AG497" s="29">
        <f>INDEX(Tabelle11[#All],Tabelle10[[#This Row],[Spalte1]]+14,Ranking!$AG$2)</f>
        <v>94.973099912141222</v>
      </c>
      <c r="AH497" s="29">
        <f>INDEX(Tabelle11[#All],Tabelle10[[#This Row],[Spalte1]]+14,$AH$2)</f>
        <v>97.744472596663641</v>
      </c>
      <c r="AI497" s="29">
        <f>INDEX(Tabelle11[#All],Tabelle10[[#This Row],[Spalte1]]+14,$AI$2)</f>
        <v>115.67422313435212</v>
      </c>
      <c r="AJ497" s="29">
        <f>INDEX(Tabelle11[#All],Tabelle10[[#This Row],[Spalte1]]+14,Ranking!$AJ$2)</f>
        <v>90.704997420314484</v>
      </c>
    </row>
    <row r="498" spans="32:36" x14ac:dyDescent="0.25">
      <c r="AF498" s="29">
        <f>IF(IFERROR(Tabelle12[[#This Row],[Spiel]],0)=0,AF497+1,Tabelle12[[#This Row],[Spiel]])</f>
        <v>496</v>
      </c>
      <c r="AG498" s="29">
        <f>INDEX(Tabelle11[#All],Tabelle10[[#This Row],[Spalte1]]+14,Ranking!$AG$2)</f>
        <v>95.953843602013848</v>
      </c>
      <c r="AH498" s="29">
        <f>INDEX(Tabelle11[#All],Tabelle10[[#This Row],[Spalte1]]+14,$AH$2)</f>
        <v>97.744472596663641</v>
      </c>
      <c r="AI498" s="29">
        <f>INDEX(Tabelle11[#All],Tabelle10[[#This Row],[Spalte1]]+14,$AI$2)</f>
        <v>116.4794523887409</v>
      </c>
      <c r="AJ498" s="29">
        <f>INDEX(Tabelle11[#All],Tabelle10[[#This Row],[Spalte1]]+14,Ranking!$AJ$2)</f>
        <v>90.704997420314484</v>
      </c>
    </row>
    <row r="499" spans="32:36" x14ac:dyDescent="0.25">
      <c r="AF499" s="29">
        <f>IF(IFERROR(Tabelle12[[#This Row],[Spiel]],0)=0,AF498+1,Tabelle12[[#This Row],[Spiel]])</f>
        <v>497</v>
      </c>
      <c r="AG499" s="29">
        <f>INDEX(Tabelle11[#All],Tabelle10[[#This Row],[Spalte1]]+14,Ranking!$AG$2)</f>
        <v>92.661720297034435</v>
      </c>
      <c r="AH499" s="29">
        <f>INDEX(Tabelle11[#All],Tabelle10[[#This Row],[Spalte1]]+14,$AH$2)</f>
        <v>97.744472596663641</v>
      </c>
      <c r="AI499" s="29">
        <f>INDEX(Tabelle11[#All],Tabelle10[[#This Row],[Spalte1]]+14,$AI$2)</f>
        <v>112.48310679834741</v>
      </c>
      <c r="AJ499" s="29">
        <f>INDEX(Tabelle11[#All],Tabelle10[[#This Row],[Spalte1]]+14,Ranking!$AJ$2)</f>
        <v>90.704997420314484</v>
      </c>
    </row>
    <row r="500" spans="32:36" x14ac:dyDescent="0.25">
      <c r="AF500" s="29">
        <f>IF(IFERROR(Tabelle12[[#This Row],[Spiel]],0)=0,AF499+1,Tabelle12[[#This Row],[Spiel]])</f>
        <v>498</v>
      </c>
      <c r="AG500" s="29">
        <f>INDEX(Tabelle11[#All],Tabelle10[[#This Row],[Spalte1]]+14,Ranking!$AG$2)</f>
        <v>92.661720297034435</v>
      </c>
      <c r="AH500" s="29">
        <f>INDEX(Tabelle11[#All],Tabelle10[[#This Row],[Spalte1]]+14,$AH$2)</f>
        <v>97.542391757100617</v>
      </c>
      <c r="AI500" s="29">
        <f>INDEX(Tabelle11[#All],Tabelle10[[#This Row],[Spalte1]]+14,$AI$2)</f>
        <v>112.48310679834741</v>
      </c>
      <c r="AJ500" s="29">
        <f>INDEX(Tabelle11[#All],Tabelle10[[#This Row],[Spalte1]]+14,Ranking!$AJ$2)</f>
        <v>90.704997420314484</v>
      </c>
    </row>
    <row r="501" spans="32:36" x14ac:dyDescent="0.25">
      <c r="AF501" s="29">
        <f>IF(IFERROR(Tabelle12[[#This Row],[Spiel]],0)=0,AF500+1,Tabelle12[[#This Row],[Spiel]])</f>
        <v>499</v>
      </c>
      <c r="AG501" s="29">
        <f>INDEX(Tabelle11[#All],Tabelle10[[#This Row],[Spalte1]]+14,Ranking!$AG$2)</f>
        <v>92.661720297034435</v>
      </c>
      <c r="AH501" s="29">
        <f>INDEX(Tabelle11[#All],Tabelle10[[#This Row],[Spalte1]]+14,$AH$2)</f>
        <v>97.124298610799187</v>
      </c>
      <c r="AI501" s="29">
        <f>INDEX(Tabelle11[#All],Tabelle10[[#This Row],[Spalte1]]+14,$AI$2)</f>
        <v>112.48310679834741</v>
      </c>
      <c r="AJ501" s="29">
        <f>INDEX(Tabelle11[#All],Tabelle10[[#This Row],[Spalte1]]+14,Ranking!$AJ$2)</f>
        <v>90.704997420314484</v>
      </c>
    </row>
    <row r="502" spans="32:36" x14ac:dyDescent="0.25">
      <c r="AF502" s="29">
        <f>IF(IFERROR(Tabelle12[[#This Row],[Spiel]],0)=0,AF501+1,Tabelle12[[#This Row],[Spiel]])</f>
        <v>500</v>
      </c>
      <c r="AG502" s="29">
        <f>INDEX(Tabelle11[#All],Tabelle10[[#This Row],[Spalte1]]+14,Ranking!$AG$2)</f>
        <v>92.661720297034435</v>
      </c>
      <c r="AH502" s="29">
        <f>INDEX(Tabelle11[#All],Tabelle10[[#This Row],[Spalte1]]+14,$AH$2)</f>
        <v>97.124298610799187</v>
      </c>
      <c r="AI502" s="29">
        <f>INDEX(Tabelle11[#All],Tabelle10[[#This Row],[Spalte1]]+14,$AI$2)</f>
        <v>112.48310679834741</v>
      </c>
      <c r="AJ502" s="29">
        <f>INDEX(Tabelle11[#All],Tabelle10[[#This Row],[Spalte1]]+14,Ranking!$AJ$2)</f>
        <v>90.704997420314484</v>
      </c>
    </row>
    <row r="503" spans="32:36" x14ac:dyDescent="0.25">
      <c r="AF503" s="29">
        <f>IF(IFERROR(Tabelle12[[#This Row],[Spiel]],0)=0,AF502+1,Tabelle12[[#This Row],[Spiel]])</f>
        <v>501</v>
      </c>
      <c r="AG503" s="29">
        <f>INDEX(Tabelle11[#All],Tabelle10[[#This Row],[Spalte1]]+14,Ranking!$AG$2)</f>
        <v>92.661720297034435</v>
      </c>
      <c r="AH503" s="29">
        <f>INDEX(Tabelle11[#All],Tabelle10[[#This Row],[Spalte1]]+14,$AH$2)</f>
        <v>95.718949148048353</v>
      </c>
      <c r="AI503" s="29">
        <f>INDEX(Tabelle11[#All],Tabelle10[[#This Row],[Spalte1]]+14,$AI$2)</f>
        <v>112.48310679834741</v>
      </c>
      <c r="AJ503" s="29">
        <f>INDEX(Tabelle11[#All],Tabelle10[[#This Row],[Spalte1]]+14,Ranking!$AJ$2)</f>
        <v>90.704997420314484</v>
      </c>
    </row>
    <row r="504" spans="32:36" x14ac:dyDescent="0.25">
      <c r="AF504" s="29">
        <f>IF(IFERROR(Tabelle12[[#This Row],[Spiel]],0)=0,AF503+1,Tabelle12[[#This Row],[Spiel]])</f>
        <v>502</v>
      </c>
      <c r="AG504" s="29">
        <f>INDEX(Tabelle11[#All],Tabelle10[[#This Row],[Spalte1]]+14,Ranking!$AG$2)</f>
        <v>92.661720297034435</v>
      </c>
      <c r="AH504" s="29">
        <f>INDEX(Tabelle11[#All],Tabelle10[[#This Row],[Spalte1]]+14,$AH$2)</f>
        <v>97.800453809813305</v>
      </c>
      <c r="AI504" s="29">
        <f>INDEX(Tabelle11[#All],Tabelle10[[#This Row],[Spalte1]]+14,$AI$2)</f>
        <v>112.48310679834741</v>
      </c>
      <c r="AJ504" s="29">
        <f>INDEX(Tabelle11[#All],Tabelle10[[#This Row],[Spalte1]]+14,Ranking!$AJ$2)</f>
        <v>90.704997420314484</v>
      </c>
    </row>
    <row r="505" spans="32:36" x14ac:dyDescent="0.25">
      <c r="AF505" s="29">
        <f>IF(IFERROR(Tabelle12[[#This Row],[Spiel]],0)=0,AF504+1,Tabelle12[[#This Row],[Spiel]])</f>
        <v>503</v>
      </c>
      <c r="AG505" s="29">
        <f>INDEX(Tabelle11[#All],Tabelle10[[#This Row],[Spalte1]]+14,Ranking!$AG$2)</f>
        <v>92.661720297034435</v>
      </c>
      <c r="AH505" s="29">
        <f>INDEX(Tabelle11[#All],Tabelle10[[#This Row],[Spalte1]]+14,$AH$2)</f>
        <v>97.800453809813305</v>
      </c>
      <c r="AI505" s="29">
        <f>INDEX(Tabelle11[#All],Tabelle10[[#This Row],[Spalte1]]+14,$AI$2)</f>
        <v>112.48310679834741</v>
      </c>
      <c r="AJ505" s="29">
        <f>INDEX(Tabelle11[#All],Tabelle10[[#This Row],[Spalte1]]+14,Ranking!$AJ$2)</f>
        <v>90.704997420314484</v>
      </c>
    </row>
    <row r="506" spans="32:36" x14ac:dyDescent="0.25">
      <c r="AF506" s="29">
        <f>IF(IFERROR(Tabelle12[[#This Row],[Spiel]],0)=0,AF505+1,Tabelle12[[#This Row],[Spiel]])</f>
        <v>504</v>
      </c>
      <c r="AG506" s="29">
        <f>INDEX(Tabelle11[#All],Tabelle10[[#This Row],[Spalte1]]+14,Ranking!$AG$2)</f>
        <v>92.661720297034435</v>
      </c>
      <c r="AH506" s="29">
        <f>INDEX(Tabelle11[#All],Tabelle10[[#This Row],[Spalte1]]+14,$AH$2)</f>
        <v>97.800453809813305</v>
      </c>
      <c r="AI506" s="29">
        <f>INDEX(Tabelle11[#All],Tabelle10[[#This Row],[Spalte1]]+14,$AI$2)</f>
        <v>112.48310679834741</v>
      </c>
      <c r="AJ506" s="29">
        <f>INDEX(Tabelle11[#All],Tabelle10[[#This Row],[Spalte1]]+14,Ranking!$AJ$2)</f>
        <v>90.704997420314484</v>
      </c>
    </row>
    <row r="507" spans="32:36" x14ac:dyDescent="0.25">
      <c r="AF507" s="29">
        <f>IF(IFERROR(Tabelle12[[#This Row],[Spiel]],0)=0,AF506+1,Tabelle12[[#This Row],[Spiel]])</f>
        <v>505</v>
      </c>
      <c r="AG507" s="29">
        <f>INDEX(Tabelle11[#All],Tabelle10[[#This Row],[Spalte1]]+14,Ranking!$AG$2)</f>
        <v>92.661720297034435</v>
      </c>
      <c r="AH507" s="29">
        <f>INDEX(Tabelle11[#All],Tabelle10[[#This Row],[Spalte1]]+14,$AH$2)</f>
        <v>97.800453809813305</v>
      </c>
      <c r="AI507" s="29">
        <f>INDEX(Tabelle11[#All],Tabelle10[[#This Row],[Spalte1]]+14,$AI$2)</f>
        <v>112.48310679834741</v>
      </c>
      <c r="AJ507" s="29">
        <f>INDEX(Tabelle11[#All],Tabelle10[[#This Row],[Spalte1]]+14,Ranking!$AJ$2)</f>
        <v>90.704997420314484</v>
      </c>
    </row>
    <row r="508" spans="32:36" x14ac:dyDescent="0.25">
      <c r="AF508" s="29">
        <f>IF(IFERROR(Tabelle12[[#This Row],[Spiel]],0)=0,AF507+1,Tabelle12[[#This Row],[Spiel]])</f>
        <v>506</v>
      </c>
      <c r="AG508" s="29">
        <f>INDEX(Tabelle11[#All],Tabelle10[[#This Row],[Spalte1]]+14,Ranking!$AG$2)</f>
        <v>92.661720297034435</v>
      </c>
      <c r="AH508" s="29">
        <f>INDEX(Tabelle11[#All],Tabelle10[[#This Row],[Spalte1]]+14,$AH$2)</f>
        <v>97.800453809813305</v>
      </c>
      <c r="AI508" s="29">
        <f>INDEX(Tabelle11[#All],Tabelle10[[#This Row],[Spalte1]]+14,$AI$2)</f>
        <v>112.48310679834741</v>
      </c>
      <c r="AJ508" s="29">
        <f>INDEX(Tabelle11[#All],Tabelle10[[#This Row],[Spalte1]]+14,Ranking!$AJ$2)</f>
        <v>90.704997420314484</v>
      </c>
    </row>
    <row r="509" spans="32:36" x14ac:dyDescent="0.25">
      <c r="AF509" s="29">
        <f>IF(IFERROR(Tabelle12[[#This Row],[Spiel]],0)=0,AF508+1,Tabelle12[[#This Row],[Spiel]])</f>
        <v>507</v>
      </c>
      <c r="AG509" s="29">
        <f>INDEX(Tabelle11[#All],Tabelle10[[#This Row],[Spalte1]]+14,Ranking!$AG$2)</f>
        <v>92.572151836990628</v>
      </c>
      <c r="AH509" s="29">
        <f>INDEX(Tabelle11[#All],Tabelle10[[#This Row],[Spalte1]]+14,$AH$2)</f>
        <v>97.901053696754047</v>
      </c>
      <c r="AI509" s="29">
        <f>INDEX(Tabelle11[#All],Tabelle10[[#This Row],[Spalte1]]+14,$AI$2)</f>
        <v>112.37437863503925</v>
      </c>
      <c r="AJ509" s="29">
        <f>INDEX(Tabelle11[#All],Tabelle10[[#This Row],[Spalte1]]+14,Ranking!$AJ$2)</f>
        <v>90.704997420314484</v>
      </c>
    </row>
    <row r="510" spans="32:36" x14ac:dyDescent="0.25">
      <c r="AF510" s="29">
        <f>IF(IFERROR(Tabelle12[[#This Row],[Spiel]],0)=0,AF509+1,Tabelle12[[#This Row],[Spiel]])</f>
        <v>508</v>
      </c>
      <c r="AG510" s="29">
        <f>INDEX(Tabelle11[#All],Tabelle10[[#This Row],[Spalte1]]+14,Ranking!$AG$2)</f>
        <v>93.891592096763162</v>
      </c>
      <c r="AH510" s="29">
        <f>INDEX(Tabelle11[#All],Tabelle10[[#This Row],[Spalte1]]+14,$AH$2)</f>
        <v>96.715447079296425</v>
      </c>
      <c r="AI510" s="29">
        <f>INDEX(Tabelle11[#All],Tabelle10[[#This Row],[Spalte1]]+14,$AI$2)</f>
        <v>113.46131166684883</v>
      </c>
      <c r="AJ510" s="29">
        <f>INDEX(Tabelle11[#All],Tabelle10[[#This Row],[Spalte1]]+14,Ranking!$AJ$2)</f>
        <v>90.704997420314484</v>
      </c>
    </row>
    <row r="511" spans="32:36" x14ac:dyDescent="0.25">
      <c r="AF511" s="29">
        <f>IF(IFERROR(Tabelle12[[#This Row],[Spiel]],0)=0,AF510+1,Tabelle12[[#This Row],[Spiel]])</f>
        <v>509</v>
      </c>
      <c r="AG511" s="29">
        <f>INDEX(Tabelle11[#All],Tabelle10[[#This Row],[Spalte1]]+14,Ranking!$AG$2)</f>
        <v>93.891592096763162</v>
      </c>
      <c r="AH511" s="29">
        <f>INDEX(Tabelle11[#All],Tabelle10[[#This Row],[Spalte1]]+14,$AH$2)</f>
        <v>96.715447079296425</v>
      </c>
      <c r="AI511" s="29">
        <f>INDEX(Tabelle11[#All],Tabelle10[[#This Row],[Spalte1]]+14,$AI$2)</f>
        <v>113.46131166684883</v>
      </c>
      <c r="AJ511" s="29">
        <f>INDEX(Tabelle11[#All],Tabelle10[[#This Row],[Spalte1]]+14,Ranking!$AJ$2)</f>
        <v>90.704997420314484</v>
      </c>
    </row>
    <row r="512" spans="32:36" x14ac:dyDescent="0.25">
      <c r="AF512" s="29">
        <f>IF(IFERROR(Tabelle12[[#This Row],[Spiel]],0)=0,AF511+1,Tabelle12[[#This Row],[Spiel]])</f>
        <v>510</v>
      </c>
      <c r="AG512" s="29">
        <f>INDEX(Tabelle11[#All],Tabelle10[[#This Row],[Spalte1]]+14,Ranking!$AG$2)</f>
        <v>93.891592096763162</v>
      </c>
      <c r="AH512" s="29">
        <f>INDEX(Tabelle11[#All],Tabelle10[[#This Row],[Spalte1]]+14,$AH$2)</f>
        <v>96.715447079296425</v>
      </c>
      <c r="AI512" s="29">
        <f>INDEX(Tabelle11[#All],Tabelle10[[#This Row],[Spalte1]]+14,$AI$2)</f>
        <v>113.46131166684883</v>
      </c>
      <c r="AJ512" s="29">
        <f>INDEX(Tabelle11[#All],Tabelle10[[#This Row],[Spalte1]]+14,Ranking!$AJ$2)</f>
        <v>90.704997420314484</v>
      </c>
    </row>
    <row r="513" spans="32:36" x14ac:dyDescent="0.25">
      <c r="AF513" s="29">
        <f>IF(IFERROR(Tabelle12[[#This Row],[Spiel]],0)=0,AF512+1,Tabelle12[[#This Row],[Spiel]])</f>
        <v>511</v>
      </c>
      <c r="AG513" s="29">
        <f>INDEX(Tabelle11[#All],Tabelle10[[#This Row],[Spalte1]]+14,Ranking!$AG$2)</f>
        <v>93.891592096763162</v>
      </c>
      <c r="AH513" s="29">
        <f>INDEX(Tabelle11[#All],Tabelle10[[#This Row],[Spalte1]]+14,$AH$2)</f>
        <v>96.715447079296425</v>
      </c>
      <c r="AI513" s="29">
        <f>INDEX(Tabelle11[#All],Tabelle10[[#This Row],[Spalte1]]+14,$AI$2)</f>
        <v>113.46131166684883</v>
      </c>
      <c r="AJ513" s="29">
        <f>INDEX(Tabelle11[#All],Tabelle10[[#This Row],[Spalte1]]+14,Ranking!$AJ$2)</f>
        <v>90.704997420314484</v>
      </c>
    </row>
    <row r="514" spans="32:36" x14ac:dyDescent="0.25">
      <c r="AF514" s="29">
        <f>IF(IFERROR(Tabelle12[[#This Row],[Spiel]],0)=0,AF513+1,Tabelle12[[#This Row],[Spiel]])</f>
        <v>512</v>
      </c>
      <c r="AG514" s="29">
        <f>INDEX(Tabelle11[#All],Tabelle10[[#This Row],[Spalte1]]+14,Ranking!$AG$2)</f>
        <v>93.891592096763162</v>
      </c>
      <c r="AH514" s="29">
        <f>INDEX(Tabelle11[#All],Tabelle10[[#This Row],[Spalte1]]+14,$AH$2)</f>
        <v>96.715447079296425</v>
      </c>
      <c r="AI514" s="29">
        <f>INDEX(Tabelle11[#All],Tabelle10[[#This Row],[Spalte1]]+14,$AI$2)</f>
        <v>113.46131166684883</v>
      </c>
      <c r="AJ514" s="29">
        <f>INDEX(Tabelle11[#All],Tabelle10[[#This Row],[Spalte1]]+14,Ranking!$AJ$2)</f>
        <v>90.704997420314484</v>
      </c>
    </row>
    <row r="515" spans="32:36" x14ac:dyDescent="0.25">
      <c r="AF515" s="29">
        <f>IF(IFERROR(Tabelle12[[#This Row],[Spiel]],0)=0,AF514+1,Tabelle12[[#This Row],[Spiel]])</f>
        <v>513</v>
      </c>
      <c r="AG515" s="29">
        <f>INDEX(Tabelle11[#All],Tabelle10[[#This Row],[Spalte1]]+14,Ranking!$AG$2)</f>
        <v>93.891592096763162</v>
      </c>
      <c r="AH515" s="29">
        <f>INDEX(Tabelle11[#All],Tabelle10[[#This Row],[Spalte1]]+14,$AH$2)</f>
        <v>98.174104176182624</v>
      </c>
      <c r="AI515" s="29">
        <f>INDEX(Tabelle11[#All],Tabelle10[[#This Row],[Spalte1]]+14,$AI$2)</f>
        <v>114.70468415380692</v>
      </c>
      <c r="AJ515" s="29">
        <f>INDEX(Tabelle11[#All],Tabelle10[[#This Row],[Spalte1]]+14,Ranking!$AJ$2)</f>
        <v>90.704997420314484</v>
      </c>
    </row>
    <row r="516" spans="32:36" x14ac:dyDescent="0.25">
      <c r="AF516" s="29">
        <f>IF(IFERROR(Tabelle12[[#This Row],[Spiel]],0)=0,AF515+1,Tabelle12[[#This Row],[Spiel]])</f>
        <v>514</v>
      </c>
      <c r="AG516" s="29">
        <f>INDEX(Tabelle11[#All],Tabelle10[[#This Row],[Spalte1]]+14,Ranking!$AG$2)</f>
        <v>93.891592096763162</v>
      </c>
      <c r="AH516" s="29">
        <f>INDEX(Tabelle11[#All],Tabelle10[[#This Row],[Spalte1]]+14,$AH$2)</f>
        <v>98.799776610790332</v>
      </c>
      <c r="AI516" s="29">
        <f>INDEX(Tabelle11[#All],Tabelle10[[#This Row],[Spalte1]]+14,$AI$2)</f>
        <v>115.24018827230464</v>
      </c>
      <c r="AJ516" s="29">
        <f>INDEX(Tabelle11[#All],Tabelle10[[#This Row],[Spalte1]]+14,Ranking!$AJ$2)</f>
        <v>90.704997420314484</v>
      </c>
    </row>
    <row r="517" spans="32:36" x14ac:dyDescent="0.25">
      <c r="AF517" s="29">
        <f>IF(IFERROR(Tabelle12[[#This Row],[Spiel]],0)=0,AF516+1,Tabelle12[[#This Row],[Spiel]])</f>
        <v>515</v>
      </c>
      <c r="AG517" s="29">
        <f>INDEX(Tabelle11[#All],Tabelle10[[#This Row],[Spalte1]]+14,Ranking!$AG$2)</f>
        <v>94.712801634870573</v>
      </c>
      <c r="AH517" s="29">
        <f>INDEX(Tabelle11[#All],Tabelle10[[#This Row],[Spalte1]]+14,$AH$2)</f>
        <v>98.799776610790332</v>
      </c>
      <c r="AI517" s="29">
        <f>INDEX(Tabelle11[#All],Tabelle10[[#This Row],[Spalte1]]+14,$AI$2)</f>
        <v>114.41999709683257</v>
      </c>
      <c r="AJ517" s="29">
        <f>INDEX(Tabelle11[#All],Tabelle10[[#This Row],[Spalte1]]+14,Ranking!$AJ$2)</f>
        <v>90.704997420314484</v>
      </c>
    </row>
    <row r="518" spans="32:36" x14ac:dyDescent="0.25">
      <c r="AF518" s="29">
        <f>IF(IFERROR(Tabelle12[[#This Row],[Spiel]],0)=0,AF517+1,Tabelle12[[#This Row],[Spiel]])</f>
        <v>516</v>
      </c>
      <c r="AG518" s="29">
        <f>INDEX(Tabelle11[#All],Tabelle10[[#This Row],[Spalte1]]+14,Ranking!$AG$2)</f>
        <v>94.575908318629573</v>
      </c>
      <c r="AH518" s="29">
        <f>INDEX(Tabelle11[#All],Tabelle10[[#This Row],[Spalte1]]+14,$AH$2)</f>
        <v>98.799776610790332</v>
      </c>
      <c r="AI518" s="29">
        <f>INDEX(Tabelle11[#All],Tabelle10[[#This Row],[Spalte1]]+14,$AI$2)</f>
        <v>114.55700465733739</v>
      </c>
      <c r="AJ518" s="29">
        <f>INDEX(Tabelle11[#All],Tabelle10[[#This Row],[Spalte1]]+14,Ranking!$AJ$2)</f>
        <v>90.704997420314484</v>
      </c>
    </row>
    <row r="519" spans="32:36" x14ac:dyDescent="0.25">
      <c r="AF519" s="29">
        <f>IF(IFERROR(Tabelle12[[#This Row],[Spiel]],0)=0,AF518+1,Tabelle12[[#This Row],[Spiel]])</f>
        <v>517</v>
      </c>
      <c r="AG519" s="29">
        <f>INDEX(Tabelle11[#All],Tabelle10[[#This Row],[Spalte1]]+14,Ranking!$AG$2)</f>
        <v>94.575908318629573</v>
      </c>
      <c r="AH519" s="29">
        <f>INDEX(Tabelle11[#All],Tabelle10[[#This Row],[Spalte1]]+14,$AH$2)</f>
        <v>98.799776610790332</v>
      </c>
      <c r="AI519" s="29">
        <f>INDEX(Tabelle11[#All],Tabelle10[[#This Row],[Spalte1]]+14,$AI$2)</f>
        <v>114.55700465733739</v>
      </c>
      <c r="AJ519" s="29">
        <f>INDEX(Tabelle11[#All],Tabelle10[[#This Row],[Spalte1]]+14,Ranking!$AJ$2)</f>
        <v>90.704997420314484</v>
      </c>
    </row>
    <row r="520" spans="32:36" x14ac:dyDescent="0.25">
      <c r="AF520" s="29">
        <f>IF(IFERROR(Tabelle12[[#This Row],[Spiel]],0)=0,AF519+1,Tabelle12[[#This Row],[Spiel]])</f>
        <v>518</v>
      </c>
      <c r="AG520" s="29">
        <f>INDEX(Tabelle11[#All],Tabelle10[[#This Row],[Spalte1]]+14,Ranking!$AG$2)</f>
        <v>94.575908318629573</v>
      </c>
      <c r="AH520" s="29">
        <f>INDEX(Tabelle11[#All],Tabelle10[[#This Row],[Spalte1]]+14,$AH$2)</f>
        <v>98.799776610790332</v>
      </c>
      <c r="AI520" s="29">
        <f>INDEX(Tabelle11[#All],Tabelle10[[#This Row],[Spalte1]]+14,$AI$2)</f>
        <v>114.55700465733739</v>
      </c>
      <c r="AJ520" s="29">
        <f>INDEX(Tabelle11[#All],Tabelle10[[#This Row],[Spalte1]]+14,Ranking!$AJ$2)</f>
        <v>90.704997420314484</v>
      </c>
    </row>
    <row r="521" spans="32:36" x14ac:dyDescent="0.25">
      <c r="AF521" s="29">
        <f>IF(IFERROR(Tabelle12[[#This Row],[Spiel]],0)=0,AF520+1,Tabelle12[[#This Row],[Spiel]])</f>
        <v>519</v>
      </c>
      <c r="AG521" s="29">
        <f>INDEX(Tabelle11[#All],Tabelle10[[#This Row],[Spalte1]]+14,Ranking!$AG$2)</f>
        <v>91.674390101358043</v>
      </c>
      <c r="AH521" s="29">
        <f>INDEX(Tabelle11[#All],Tabelle10[[#This Row],[Spalte1]]+14,$AH$2)</f>
        <v>98.799776610790332</v>
      </c>
      <c r="AI521" s="29">
        <f>INDEX(Tabelle11[#All],Tabelle10[[#This Row],[Spalte1]]+14,$AI$2)</f>
        <v>114.55700465733739</v>
      </c>
      <c r="AJ521" s="29">
        <f>INDEX(Tabelle11[#All],Tabelle10[[#This Row],[Spalte1]]+14,Ranking!$AJ$2)</f>
        <v>90.704997420314484</v>
      </c>
    </row>
    <row r="522" spans="32:36" x14ac:dyDescent="0.25">
      <c r="AF522" s="29">
        <f>IF(IFERROR(Tabelle12[[#This Row],[Spiel]],0)=0,AF521+1,Tabelle12[[#This Row],[Spiel]])</f>
        <v>520</v>
      </c>
      <c r="AG522" s="29">
        <f>INDEX(Tabelle11[#All],Tabelle10[[#This Row],[Spalte1]]+14,Ranking!$AG$2)</f>
        <v>91.287455601467229</v>
      </c>
      <c r="AH522" s="29">
        <f>INDEX(Tabelle11[#All],Tabelle10[[#This Row],[Spalte1]]+14,$AH$2)</f>
        <v>98.799776610790332</v>
      </c>
      <c r="AI522" s="29">
        <f>INDEX(Tabelle11[#All],Tabelle10[[#This Row],[Spalte1]]+14,$AI$2)</f>
        <v>114.55700465733739</v>
      </c>
      <c r="AJ522" s="29">
        <f>INDEX(Tabelle11[#All],Tabelle10[[#This Row],[Spalte1]]+14,Ranking!$AJ$2)</f>
        <v>90.704997420314484</v>
      </c>
    </row>
    <row r="523" spans="32:36" x14ac:dyDescent="0.25">
      <c r="AF523" s="29">
        <f>IF(IFERROR(Tabelle12[[#This Row],[Spiel]],0)=0,AF522+1,Tabelle12[[#This Row],[Spiel]])</f>
        <v>521</v>
      </c>
      <c r="AG523" s="29">
        <f>INDEX(Tabelle11[#All],Tabelle10[[#This Row],[Spalte1]]+14,Ranking!$AG$2)</f>
        <v>91.287455601467229</v>
      </c>
      <c r="AH523" s="29">
        <f>INDEX(Tabelle11[#All],Tabelle10[[#This Row],[Spalte1]]+14,$AH$2)</f>
        <v>98.799776610790332</v>
      </c>
      <c r="AI523" s="29">
        <f>INDEX(Tabelle11[#All],Tabelle10[[#This Row],[Spalte1]]+14,$AI$2)</f>
        <v>117.39492842332966</v>
      </c>
      <c r="AJ523" s="29">
        <f>INDEX(Tabelle11[#All],Tabelle10[[#This Row],[Spalte1]]+14,Ranking!$AJ$2)</f>
        <v>87.871569528869884</v>
      </c>
    </row>
    <row r="524" spans="32:36" x14ac:dyDescent="0.25">
      <c r="AF524" s="29">
        <f>IF(IFERROR(Tabelle12[[#This Row],[Spiel]],0)=0,AF523+1,Tabelle12[[#This Row],[Spiel]])</f>
        <v>522</v>
      </c>
      <c r="AG524" s="29">
        <f>INDEX(Tabelle11[#All],Tabelle10[[#This Row],[Spalte1]]+14,Ranking!$AG$2)</f>
        <v>91.287455601467229</v>
      </c>
      <c r="AH524" s="29">
        <f>INDEX(Tabelle11[#All],Tabelle10[[#This Row],[Spalte1]]+14,$AH$2)</f>
        <v>98.799776610790332</v>
      </c>
      <c r="AI524" s="29">
        <f>INDEX(Tabelle11[#All],Tabelle10[[#This Row],[Spalte1]]+14,$AI$2)</f>
        <v>117.123478838868</v>
      </c>
      <c r="AJ524" s="29">
        <f>INDEX(Tabelle11[#All],Tabelle10[[#This Row],[Spalte1]]+14,Ranking!$AJ$2)</f>
        <v>88.144559936538329</v>
      </c>
    </row>
    <row r="525" spans="32:36" x14ac:dyDescent="0.25">
      <c r="AF525" s="29">
        <f>IF(IFERROR(Tabelle12[[#This Row],[Spiel]],0)=0,AF524+1,Tabelle12[[#This Row],[Spiel]])</f>
        <v>523</v>
      </c>
      <c r="AG525" s="29">
        <f>INDEX(Tabelle11[#All],Tabelle10[[#This Row],[Spalte1]]+14,Ranking!$AG$2)</f>
        <v>91.287455601467229</v>
      </c>
      <c r="AH525" s="29">
        <f>INDEX(Tabelle11[#All],Tabelle10[[#This Row],[Spalte1]]+14,$AH$2)</f>
        <v>98.799776610790332</v>
      </c>
      <c r="AI525" s="29">
        <f>INDEX(Tabelle11[#All],Tabelle10[[#This Row],[Spalte1]]+14,$AI$2)</f>
        <v>117.123478838868</v>
      </c>
      <c r="AJ525" s="29">
        <f>INDEX(Tabelle11[#All],Tabelle10[[#This Row],[Spalte1]]+14,Ranking!$AJ$2)</f>
        <v>88.144559936538329</v>
      </c>
    </row>
    <row r="526" spans="32:36" x14ac:dyDescent="0.25">
      <c r="AF526" s="29">
        <f>IF(IFERROR(Tabelle12[[#This Row],[Spiel]],0)=0,AF525+1,Tabelle12[[#This Row],[Spiel]])</f>
        <v>524</v>
      </c>
      <c r="AG526" s="29">
        <f>INDEX(Tabelle11[#All],Tabelle10[[#This Row],[Spalte1]]+14,Ranking!$AG$2)</f>
        <v>91.287455601467229</v>
      </c>
      <c r="AH526" s="29">
        <f>INDEX(Tabelle11[#All],Tabelle10[[#This Row],[Spalte1]]+14,$AH$2)</f>
        <v>98.799776610790332</v>
      </c>
      <c r="AI526" s="29">
        <f>INDEX(Tabelle11[#All],Tabelle10[[#This Row],[Spalte1]]+14,$AI$2)</f>
        <v>117.123478838868</v>
      </c>
      <c r="AJ526" s="29">
        <f>INDEX(Tabelle11[#All],Tabelle10[[#This Row],[Spalte1]]+14,Ranking!$AJ$2)</f>
        <v>88.144559936538329</v>
      </c>
    </row>
    <row r="527" spans="32:36" x14ac:dyDescent="0.25">
      <c r="AF527" s="29">
        <f>IF(IFERROR(Tabelle12[[#This Row],[Spiel]],0)=0,AF526+1,Tabelle12[[#This Row],[Spiel]])</f>
        <v>525</v>
      </c>
      <c r="AG527" s="29">
        <f>INDEX(Tabelle11[#All],Tabelle10[[#This Row],[Spalte1]]+14,Ranking!$AG$2)</f>
        <v>91.287455601467229</v>
      </c>
      <c r="AH527" s="29">
        <f>INDEX(Tabelle11[#All],Tabelle10[[#This Row],[Spalte1]]+14,$AH$2)</f>
        <v>97.31493090281225</v>
      </c>
      <c r="AI527" s="29">
        <f>INDEX(Tabelle11[#All],Tabelle10[[#This Row],[Spalte1]]+14,$AI$2)</f>
        <v>117.123478838868</v>
      </c>
      <c r="AJ527" s="29">
        <f>INDEX(Tabelle11[#All],Tabelle10[[#This Row],[Spalte1]]+14,Ranking!$AJ$2)</f>
        <v>88.144559936538329</v>
      </c>
    </row>
    <row r="528" spans="32:36" x14ac:dyDescent="0.25">
      <c r="AF528" s="29">
        <f>IF(IFERROR(Tabelle12[[#This Row],[Spiel]],0)=0,AF527+1,Tabelle12[[#This Row],[Spiel]])</f>
        <v>526</v>
      </c>
      <c r="AG528" s="29">
        <f>INDEX(Tabelle11[#All],Tabelle10[[#This Row],[Spalte1]]+14,Ranking!$AG$2)</f>
        <v>91.287455601467229</v>
      </c>
      <c r="AH528" s="29">
        <f>INDEX(Tabelle11[#All],Tabelle10[[#This Row],[Spalte1]]+14,$AH$2)</f>
        <v>97.224287136206158</v>
      </c>
      <c r="AI528" s="29">
        <f>INDEX(Tabelle11[#All],Tabelle10[[#This Row],[Spalte1]]+14,$AI$2)</f>
        <v>117.123478838868</v>
      </c>
      <c r="AJ528" s="29">
        <f>INDEX(Tabelle11[#All],Tabelle10[[#This Row],[Spalte1]]+14,Ranking!$AJ$2)</f>
        <v>88.144559936538329</v>
      </c>
    </row>
    <row r="529" spans="32:36" x14ac:dyDescent="0.25">
      <c r="AF529" s="29">
        <f>IF(IFERROR(Tabelle12[[#This Row],[Spiel]],0)=0,AF528+1,Tabelle12[[#This Row],[Spiel]])</f>
        <v>527</v>
      </c>
      <c r="AG529" s="29">
        <f>INDEX(Tabelle11[#All],Tabelle10[[#This Row],[Spalte1]]+14,Ranking!$AG$2)</f>
        <v>91.287455601467229</v>
      </c>
      <c r="AH529" s="29">
        <f>INDEX(Tabelle11[#All],Tabelle10[[#This Row],[Spalte1]]+14,$AH$2)</f>
        <v>97.224287136206158</v>
      </c>
      <c r="AI529" s="29">
        <f>INDEX(Tabelle11[#All],Tabelle10[[#This Row],[Spalte1]]+14,$AI$2)</f>
        <v>117.123478838868</v>
      </c>
      <c r="AJ529" s="29">
        <f>INDEX(Tabelle11[#All],Tabelle10[[#This Row],[Spalte1]]+14,Ranking!$AJ$2)</f>
        <v>88.144559936538329</v>
      </c>
    </row>
    <row r="530" spans="32:36" x14ac:dyDescent="0.25">
      <c r="AF530" s="29">
        <f>IF(IFERROR(Tabelle12[[#This Row],[Spiel]],0)=0,AF529+1,Tabelle12[[#This Row],[Spiel]])</f>
        <v>528</v>
      </c>
      <c r="AG530" s="29">
        <f>INDEX(Tabelle11[#All],Tabelle10[[#This Row],[Spalte1]]+14,Ranking!$AG$2)</f>
        <v>91.287455601467229</v>
      </c>
      <c r="AH530" s="29">
        <f>INDEX(Tabelle11[#All],Tabelle10[[#This Row],[Spalte1]]+14,$AH$2)</f>
        <v>97.224287136206158</v>
      </c>
      <c r="AI530" s="29">
        <f>INDEX(Tabelle11[#All],Tabelle10[[#This Row],[Spalte1]]+14,$AI$2)</f>
        <v>117.123478838868</v>
      </c>
      <c r="AJ530" s="29">
        <f>INDEX(Tabelle11[#All],Tabelle10[[#This Row],[Spalte1]]+14,Ranking!$AJ$2)</f>
        <v>88.144559936538329</v>
      </c>
    </row>
    <row r="531" spans="32:36" x14ac:dyDescent="0.25">
      <c r="AF531" s="29">
        <f>IF(IFERROR(Tabelle12[[#This Row],[Spiel]],0)=0,AF530+1,Tabelle12[[#This Row],[Spiel]])</f>
        <v>529</v>
      </c>
      <c r="AG531" s="29">
        <f>INDEX(Tabelle11[#All],Tabelle10[[#This Row],[Spalte1]]+14,Ranking!$AG$2)</f>
        <v>91.472500317583055</v>
      </c>
      <c r="AH531" s="29">
        <f>INDEX(Tabelle11[#All],Tabelle10[[#This Row],[Spalte1]]+14,$AH$2)</f>
        <v>97.398032419450502</v>
      </c>
      <c r="AI531" s="29">
        <f>INDEX(Tabelle11[#All],Tabelle10[[#This Row],[Spalte1]]+14,$AI$2)</f>
        <v>116.9187575722336</v>
      </c>
      <c r="AJ531" s="29">
        <f>INDEX(Tabelle11[#All],Tabelle10[[#This Row],[Spalte1]]+14,Ranking!$AJ$2)</f>
        <v>87.990491203812553</v>
      </c>
    </row>
    <row r="532" spans="32:36" x14ac:dyDescent="0.25">
      <c r="AF532" s="29">
        <f>IF(IFERROR(Tabelle12[[#This Row],[Spiel]],0)=0,AF531+1,Tabelle12[[#This Row],[Spiel]])</f>
        <v>530</v>
      </c>
      <c r="AG532" s="29">
        <f>INDEX(Tabelle11[#All],Tabelle10[[#This Row],[Spalte1]]+14,Ranking!$AG$2)</f>
        <v>90.817185094326874</v>
      </c>
      <c r="AH532" s="29">
        <f>INDEX(Tabelle11[#All],Tabelle10[[#This Row],[Spalte1]]+14,$AH$2)</f>
        <v>96.700266280577438</v>
      </c>
      <c r="AI532" s="29">
        <f>INDEX(Tabelle11[#All],Tabelle10[[#This Row],[Spalte1]]+14,$AI$2)</f>
        <v>117.49978695184252</v>
      </c>
      <c r="AJ532" s="29">
        <f>INDEX(Tabelle11[#All],Tabelle10[[#This Row],[Spalte1]]+14,Ranking!$AJ$2)</f>
        <v>88.762543186332877</v>
      </c>
    </row>
    <row r="533" spans="32:36" x14ac:dyDescent="0.25">
      <c r="AF533" s="29">
        <f>IF(IFERROR(Tabelle12[[#This Row],[Spiel]],0)=0,AF532+1,Tabelle12[[#This Row],[Spiel]])</f>
        <v>531</v>
      </c>
      <c r="AG533" s="29">
        <f>INDEX(Tabelle11[#All],Tabelle10[[#This Row],[Spalte1]]+14,Ranking!$AG$2)</f>
        <v>90.817185094326874</v>
      </c>
      <c r="AH533" s="29">
        <f>INDEX(Tabelle11[#All],Tabelle10[[#This Row],[Spalte1]]+14,$AH$2)</f>
        <v>96.700266280577438</v>
      </c>
      <c r="AI533" s="29">
        <f>INDEX(Tabelle11[#All],Tabelle10[[#This Row],[Spalte1]]+14,$AI$2)</f>
        <v>117.49978695184252</v>
      </c>
      <c r="AJ533" s="29">
        <f>INDEX(Tabelle11[#All],Tabelle10[[#This Row],[Spalte1]]+14,Ranking!$AJ$2)</f>
        <v>88.762543186332877</v>
      </c>
    </row>
    <row r="534" spans="32:36" x14ac:dyDescent="0.25">
      <c r="AF534" s="29">
        <f>IF(IFERROR(Tabelle12[[#This Row],[Spiel]],0)=0,AF533+1,Tabelle12[[#This Row],[Spiel]])</f>
        <v>532</v>
      </c>
      <c r="AG534" s="29">
        <f>INDEX(Tabelle11[#All],Tabelle10[[#This Row],[Spalte1]]+14,Ranking!$AG$2)</f>
        <v>90.817185094326874</v>
      </c>
      <c r="AH534" s="29">
        <f>INDEX(Tabelle11[#All],Tabelle10[[#This Row],[Spalte1]]+14,$AH$2)</f>
        <v>96.700266280577438</v>
      </c>
      <c r="AI534" s="29">
        <f>INDEX(Tabelle11[#All],Tabelle10[[#This Row],[Spalte1]]+14,$AI$2)</f>
        <v>117.49978695184252</v>
      </c>
      <c r="AJ534" s="29">
        <f>INDEX(Tabelle11[#All],Tabelle10[[#This Row],[Spalte1]]+14,Ranking!$AJ$2)</f>
        <v>88.762543186332877</v>
      </c>
    </row>
    <row r="535" spans="32:36" x14ac:dyDescent="0.25">
      <c r="AF535" s="29">
        <f>IF(IFERROR(Tabelle12[[#This Row],[Spiel]],0)=0,AF534+1,Tabelle12[[#This Row],[Spiel]])</f>
        <v>533</v>
      </c>
      <c r="AG535" s="29">
        <f>INDEX(Tabelle11[#All],Tabelle10[[#This Row],[Spalte1]]+14,Ranking!$AG$2)</f>
        <v>90.817185094326874</v>
      </c>
      <c r="AH535" s="29">
        <f>INDEX(Tabelle11[#All],Tabelle10[[#This Row],[Spalte1]]+14,$AH$2)</f>
        <v>96.700266280577438</v>
      </c>
      <c r="AI535" s="29">
        <f>INDEX(Tabelle11[#All],Tabelle10[[#This Row],[Spalte1]]+14,$AI$2)</f>
        <v>117.49978695184252</v>
      </c>
      <c r="AJ535" s="29">
        <f>INDEX(Tabelle11[#All],Tabelle10[[#This Row],[Spalte1]]+14,Ranking!$AJ$2)</f>
        <v>88.762543186332877</v>
      </c>
    </row>
    <row r="536" spans="32:36" x14ac:dyDescent="0.25">
      <c r="AF536" s="29">
        <f>IF(IFERROR(Tabelle12[[#This Row],[Spiel]],0)=0,AF535+1,Tabelle12[[#This Row],[Spiel]])</f>
        <v>534</v>
      </c>
      <c r="AG536" s="29">
        <f>INDEX(Tabelle11[#All],Tabelle10[[#This Row],[Spalte1]]+14,Ranking!$AG$2)</f>
        <v>90.817185094326874</v>
      </c>
      <c r="AH536" s="29">
        <f>INDEX(Tabelle11[#All],Tabelle10[[#This Row],[Spalte1]]+14,$AH$2)</f>
        <v>96.700266280577438</v>
      </c>
      <c r="AI536" s="29">
        <f>INDEX(Tabelle11[#All],Tabelle10[[#This Row],[Spalte1]]+14,$AI$2)</f>
        <v>117.49978695184252</v>
      </c>
      <c r="AJ536" s="29">
        <f>INDEX(Tabelle11[#All],Tabelle10[[#This Row],[Spalte1]]+14,Ranking!$AJ$2)</f>
        <v>88.762543186332877</v>
      </c>
    </row>
    <row r="537" spans="32:36" x14ac:dyDescent="0.25">
      <c r="AF537" s="29">
        <f>IF(IFERROR(Tabelle12[[#This Row],[Spiel]],0)=0,AF536+1,Tabelle12[[#This Row],[Spiel]])</f>
        <v>535</v>
      </c>
      <c r="AG537" s="29">
        <f>INDEX(Tabelle11[#All],Tabelle10[[#This Row],[Spalte1]]+14,Ranking!$AG$2)</f>
        <v>90.817185094326874</v>
      </c>
      <c r="AH537" s="29">
        <f>INDEX(Tabelle11[#All],Tabelle10[[#This Row],[Spalte1]]+14,$AH$2)</f>
        <v>96.700266280577438</v>
      </c>
      <c r="AI537" s="29">
        <f>INDEX(Tabelle11[#All],Tabelle10[[#This Row],[Spalte1]]+14,$AI$2)</f>
        <v>117.49978695184252</v>
      </c>
      <c r="AJ537" s="29">
        <f>INDEX(Tabelle11[#All],Tabelle10[[#This Row],[Spalte1]]+14,Ranking!$AJ$2)</f>
        <v>88.762543186332877</v>
      </c>
    </row>
    <row r="538" spans="32:36" x14ac:dyDescent="0.25">
      <c r="AF538" s="29">
        <f>IF(IFERROR(Tabelle12[[#This Row],[Spiel]],0)=0,AF537+1,Tabelle12[[#This Row],[Spiel]])</f>
        <v>536</v>
      </c>
      <c r="AG538" s="29">
        <f>INDEX(Tabelle11[#All],Tabelle10[[#This Row],[Spalte1]]+14,Ranking!$AG$2)</f>
        <v>90.817185094326874</v>
      </c>
      <c r="AH538" s="29">
        <f>INDEX(Tabelle11[#All],Tabelle10[[#This Row],[Spalte1]]+14,$AH$2)</f>
        <v>96.700266280577438</v>
      </c>
      <c r="AI538" s="29">
        <f>INDEX(Tabelle11[#All],Tabelle10[[#This Row],[Spalte1]]+14,$AI$2)</f>
        <v>117.49978695184252</v>
      </c>
      <c r="AJ538" s="29">
        <f>INDEX(Tabelle11[#All],Tabelle10[[#This Row],[Spalte1]]+14,Ranking!$AJ$2)</f>
        <v>88.762543186332877</v>
      </c>
    </row>
    <row r="539" spans="32:36" x14ac:dyDescent="0.25">
      <c r="AF539" s="29">
        <f>IF(IFERROR(Tabelle12[[#This Row],[Spiel]],0)=0,AF538+1,Tabelle12[[#This Row],[Spiel]])</f>
        <v>537</v>
      </c>
      <c r="AG539" s="29">
        <f>INDEX(Tabelle11[#All],Tabelle10[[#This Row],[Spalte1]]+14,Ranking!$AG$2)</f>
        <v>90.817185094326874</v>
      </c>
      <c r="AH539" s="29">
        <f>INDEX(Tabelle11[#All],Tabelle10[[#This Row],[Spalte1]]+14,$AH$2)</f>
        <v>96.700266280577438</v>
      </c>
      <c r="AI539" s="29">
        <f>INDEX(Tabelle11[#All],Tabelle10[[#This Row],[Spalte1]]+14,$AI$2)</f>
        <v>117.49978695184252</v>
      </c>
      <c r="AJ539" s="29">
        <f>INDEX(Tabelle11[#All],Tabelle10[[#This Row],[Spalte1]]+14,Ranking!$AJ$2)</f>
        <v>88.762543186332877</v>
      </c>
    </row>
    <row r="540" spans="32:36" x14ac:dyDescent="0.25">
      <c r="AF540" s="29">
        <f>IF(IFERROR(Tabelle12[[#This Row],[Spiel]],0)=0,AF539+1,Tabelle12[[#This Row],[Spiel]])</f>
        <v>538</v>
      </c>
      <c r="AG540" s="29">
        <f>INDEX(Tabelle11[#All],Tabelle10[[#This Row],[Spalte1]]+14,Ranking!$AG$2)</f>
        <v>90.817185094326874</v>
      </c>
      <c r="AH540" s="29">
        <f>INDEX(Tabelle11[#All],Tabelle10[[#This Row],[Spalte1]]+14,$AH$2)</f>
        <v>96.700266280577438</v>
      </c>
      <c r="AI540" s="29">
        <f>INDEX(Tabelle11[#All],Tabelle10[[#This Row],[Spalte1]]+14,$AI$2)</f>
        <v>117.49978695184252</v>
      </c>
      <c r="AJ540" s="29">
        <f>INDEX(Tabelle11[#All],Tabelle10[[#This Row],[Spalte1]]+14,Ranking!$AJ$2)</f>
        <v>88.762543186332877</v>
      </c>
    </row>
    <row r="541" spans="32:36" x14ac:dyDescent="0.25">
      <c r="AF541" s="29">
        <f>IF(IFERROR(Tabelle12[[#This Row],[Spiel]],0)=0,AF540+1,Tabelle12[[#This Row],[Spiel]])</f>
        <v>539</v>
      </c>
      <c r="AG541" s="29">
        <f>INDEX(Tabelle11[#All],Tabelle10[[#This Row],[Spalte1]]+14,Ranking!$AG$2)</f>
        <v>90.817185094326874</v>
      </c>
      <c r="AH541" s="29">
        <f>INDEX(Tabelle11[#All],Tabelle10[[#This Row],[Spalte1]]+14,$AH$2)</f>
        <v>96.700266280577438</v>
      </c>
      <c r="AI541" s="29">
        <f>INDEX(Tabelle11[#All],Tabelle10[[#This Row],[Spalte1]]+14,$AI$2)</f>
        <v>117.49978695184252</v>
      </c>
      <c r="AJ541" s="29">
        <f>INDEX(Tabelle11[#All],Tabelle10[[#This Row],[Spalte1]]+14,Ranking!$AJ$2)</f>
        <v>88.762543186332877</v>
      </c>
    </row>
    <row r="542" spans="32:36" x14ac:dyDescent="0.25">
      <c r="AF542" s="29">
        <f>IF(IFERROR(Tabelle12[[#This Row],[Spiel]],0)=0,AF541+1,Tabelle12[[#This Row],[Spiel]])</f>
        <v>540</v>
      </c>
      <c r="AG542" s="29">
        <f>INDEX(Tabelle11[#All],Tabelle10[[#This Row],[Spalte1]]+14,Ranking!$AG$2)</f>
        <v>90.817185094326874</v>
      </c>
      <c r="AH542" s="29">
        <f>INDEX(Tabelle11[#All],Tabelle10[[#This Row],[Spalte1]]+14,$AH$2)</f>
        <v>96.700266280577438</v>
      </c>
      <c r="AI542" s="29">
        <f>INDEX(Tabelle11[#All],Tabelle10[[#This Row],[Spalte1]]+14,$AI$2)</f>
        <v>117.49978695184252</v>
      </c>
      <c r="AJ542" s="29">
        <f>INDEX(Tabelle11[#All],Tabelle10[[#This Row],[Spalte1]]+14,Ranking!$AJ$2)</f>
        <v>88.762543186332877</v>
      </c>
    </row>
    <row r="543" spans="32:36" x14ac:dyDescent="0.25">
      <c r="AF543" s="29">
        <f>IF(IFERROR(Tabelle12[[#This Row],[Spiel]],0)=0,AF542+1,Tabelle12[[#This Row],[Spiel]])</f>
        <v>541</v>
      </c>
      <c r="AG543" s="29">
        <f>INDEX(Tabelle11[#All],Tabelle10[[#This Row],[Spalte1]]+14,Ranking!$AG$2)</f>
        <v>90.817185094326874</v>
      </c>
      <c r="AH543" s="29">
        <f>INDEX(Tabelle11[#All],Tabelle10[[#This Row],[Spalte1]]+14,$AH$2)</f>
        <v>96.700266280577438</v>
      </c>
      <c r="AI543" s="29">
        <f>INDEX(Tabelle11[#All],Tabelle10[[#This Row],[Spalte1]]+14,$AI$2)</f>
        <v>117.49978695184252</v>
      </c>
      <c r="AJ543" s="29">
        <f>INDEX(Tabelle11[#All],Tabelle10[[#This Row],[Spalte1]]+14,Ranking!$AJ$2)</f>
        <v>88.762543186332877</v>
      </c>
    </row>
    <row r="544" spans="32:36" x14ac:dyDescent="0.25">
      <c r="AF544" s="29">
        <f>IF(IFERROR(Tabelle12[[#This Row],[Spiel]],0)=0,AF543+1,Tabelle12[[#This Row],[Spiel]])</f>
        <v>542</v>
      </c>
      <c r="AG544" s="29">
        <f>INDEX(Tabelle11[#All],Tabelle10[[#This Row],[Spalte1]]+14,Ranking!$AG$2)</f>
        <v>90.817185094326874</v>
      </c>
      <c r="AH544" s="29">
        <f>INDEX(Tabelle11[#All],Tabelle10[[#This Row],[Spalte1]]+14,$AH$2)</f>
        <v>96.700266280577438</v>
      </c>
      <c r="AI544" s="29">
        <f>INDEX(Tabelle11[#All],Tabelle10[[#This Row],[Spalte1]]+14,$AI$2)</f>
        <v>117.49978695184252</v>
      </c>
      <c r="AJ544" s="29">
        <f>INDEX(Tabelle11[#All],Tabelle10[[#This Row],[Spalte1]]+14,Ranking!$AJ$2)</f>
        <v>88.762543186332877</v>
      </c>
    </row>
    <row r="545" spans="32:36" x14ac:dyDescent="0.25">
      <c r="AF545" s="29">
        <f>IF(IFERROR(Tabelle12[[#This Row],[Spiel]],0)=0,AF544+1,Tabelle12[[#This Row],[Spiel]])</f>
        <v>543</v>
      </c>
      <c r="AG545" s="29">
        <f>INDEX(Tabelle11[#All],Tabelle10[[#This Row],[Spalte1]]+14,Ranking!$AG$2)</f>
        <v>90.817185094326874</v>
      </c>
      <c r="AH545" s="29">
        <f>INDEX(Tabelle11[#All],Tabelle10[[#This Row],[Spalte1]]+14,$AH$2)</f>
        <v>96.700266280577438</v>
      </c>
      <c r="AI545" s="29">
        <f>INDEX(Tabelle11[#All],Tabelle10[[#This Row],[Spalte1]]+14,$AI$2)</f>
        <v>117.49978695184252</v>
      </c>
      <c r="AJ545" s="29">
        <f>INDEX(Tabelle11[#All],Tabelle10[[#This Row],[Spalte1]]+14,Ranking!$AJ$2)</f>
        <v>88.762543186332877</v>
      </c>
    </row>
    <row r="546" spans="32:36" x14ac:dyDescent="0.25">
      <c r="AF546" s="29">
        <f>IF(IFERROR(Tabelle12[[#This Row],[Spiel]],0)=0,AF545+1,Tabelle12[[#This Row],[Spiel]])</f>
        <v>544</v>
      </c>
      <c r="AG546" s="29">
        <f>INDEX(Tabelle11[#All],Tabelle10[[#This Row],[Spalte1]]+14,Ranking!$AG$2)</f>
        <v>90.817185094326874</v>
      </c>
      <c r="AH546" s="29">
        <f>INDEX(Tabelle11[#All],Tabelle10[[#This Row],[Spalte1]]+14,$AH$2)</f>
        <v>96.700266280577438</v>
      </c>
      <c r="AI546" s="29">
        <f>INDEX(Tabelle11[#All],Tabelle10[[#This Row],[Spalte1]]+14,$AI$2)</f>
        <v>117.49978695184252</v>
      </c>
      <c r="AJ546" s="29">
        <f>INDEX(Tabelle11[#All],Tabelle10[[#This Row],[Spalte1]]+14,Ranking!$AJ$2)</f>
        <v>88.762543186332877</v>
      </c>
    </row>
    <row r="547" spans="32:36" x14ac:dyDescent="0.25">
      <c r="AF547" s="29">
        <f>IF(IFERROR(Tabelle12[[#This Row],[Spiel]],0)=0,AF546+1,Tabelle12[[#This Row],[Spiel]])</f>
        <v>545</v>
      </c>
      <c r="AG547" s="29">
        <f>INDEX(Tabelle11[#All],Tabelle10[[#This Row],[Spalte1]]+14,Ranking!$AG$2)</f>
        <v>90.817185094326874</v>
      </c>
      <c r="AH547" s="29">
        <f>INDEX(Tabelle11[#All],Tabelle10[[#This Row],[Spalte1]]+14,$AH$2)</f>
        <v>96.700266280577438</v>
      </c>
      <c r="AI547" s="29">
        <f>INDEX(Tabelle11[#All],Tabelle10[[#This Row],[Spalte1]]+14,$AI$2)</f>
        <v>117.49978695184252</v>
      </c>
      <c r="AJ547" s="29">
        <f>INDEX(Tabelle11[#All],Tabelle10[[#This Row],[Spalte1]]+14,Ranking!$AJ$2)</f>
        <v>88.762543186332877</v>
      </c>
    </row>
    <row r="548" spans="32:36" x14ac:dyDescent="0.25">
      <c r="AF548" s="29">
        <f>IF(IFERROR(Tabelle12[[#This Row],[Spiel]],0)=0,AF547+1,Tabelle12[[#This Row],[Spiel]])</f>
        <v>546</v>
      </c>
      <c r="AG548" s="29">
        <f>INDEX(Tabelle11[#All],Tabelle10[[#This Row],[Spalte1]]+14,Ranking!$AG$2)</f>
        <v>90.817185094326874</v>
      </c>
      <c r="AH548" s="29">
        <f>INDEX(Tabelle11[#All],Tabelle10[[#This Row],[Spalte1]]+14,$AH$2)</f>
        <v>96.700266280577438</v>
      </c>
      <c r="AI548" s="29">
        <f>INDEX(Tabelle11[#All],Tabelle10[[#This Row],[Spalte1]]+14,$AI$2)</f>
        <v>117.49978695184252</v>
      </c>
      <c r="AJ548" s="29">
        <f>INDEX(Tabelle11[#All],Tabelle10[[#This Row],[Spalte1]]+14,Ranking!$AJ$2)</f>
        <v>88.762543186332877</v>
      </c>
    </row>
    <row r="549" spans="32:36" x14ac:dyDescent="0.25">
      <c r="AF549" s="29">
        <f>IF(IFERROR(Tabelle12[[#This Row],[Spiel]],0)=0,AF548+1,Tabelle12[[#This Row],[Spiel]])</f>
        <v>547</v>
      </c>
      <c r="AG549" s="29">
        <f>INDEX(Tabelle11[#All],Tabelle10[[#This Row],[Spalte1]]+14,Ranking!$AG$2)</f>
        <v>90.817185094326874</v>
      </c>
      <c r="AH549" s="29">
        <f>INDEX(Tabelle11[#All],Tabelle10[[#This Row],[Spalte1]]+14,$AH$2)</f>
        <v>96.700266280577438</v>
      </c>
      <c r="AI549" s="29">
        <f>INDEX(Tabelle11[#All],Tabelle10[[#This Row],[Spalte1]]+14,$AI$2)</f>
        <v>117.49978695184252</v>
      </c>
      <c r="AJ549" s="29">
        <f>INDEX(Tabelle11[#All],Tabelle10[[#This Row],[Spalte1]]+14,Ranking!$AJ$2)</f>
        <v>88.762543186332877</v>
      </c>
    </row>
    <row r="550" spans="32:36" x14ac:dyDescent="0.25">
      <c r="AF550" s="29">
        <f>IF(IFERROR(Tabelle12[[#This Row],[Spiel]],0)=0,AF549+1,Tabelle12[[#This Row],[Spiel]])</f>
        <v>548</v>
      </c>
      <c r="AG550" s="29">
        <f>INDEX(Tabelle11[#All],Tabelle10[[#This Row],[Spalte1]]+14,Ranking!$AG$2)</f>
        <v>90.817185094326874</v>
      </c>
      <c r="AH550" s="29">
        <f>INDEX(Tabelle11[#All],Tabelle10[[#This Row],[Spalte1]]+14,$AH$2)</f>
        <v>96.700266280577438</v>
      </c>
      <c r="AI550" s="29">
        <f>INDEX(Tabelle11[#All],Tabelle10[[#This Row],[Spalte1]]+14,$AI$2)</f>
        <v>117.49978695184252</v>
      </c>
      <c r="AJ550" s="29">
        <f>INDEX(Tabelle11[#All],Tabelle10[[#This Row],[Spalte1]]+14,Ranking!$AJ$2)</f>
        <v>88.762543186332877</v>
      </c>
    </row>
    <row r="551" spans="32:36" x14ac:dyDescent="0.25">
      <c r="AF551" s="29">
        <f>IF(IFERROR(Tabelle12[[#This Row],[Spiel]],0)=0,AF550+1,Tabelle12[[#This Row],[Spiel]])</f>
        <v>549</v>
      </c>
      <c r="AG551" s="29">
        <f>INDEX(Tabelle11[#All],Tabelle10[[#This Row],[Spalte1]]+14,Ranking!$AG$2)</f>
        <v>90.817185094326874</v>
      </c>
      <c r="AH551" s="29">
        <f>INDEX(Tabelle11[#All],Tabelle10[[#This Row],[Spalte1]]+14,$AH$2)</f>
        <v>96.700266280577438</v>
      </c>
      <c r="AI551" s="29">
        <f>INDEX(Tabelle11[#All],Tabelle10[[#This Row],[Spalte1]]+14,$AI$2)</f>
        <v>117.49978695184252</v>
      </c>
      <c r="AJ551" s="29">
        <f>INDEX(Tabelle11[#All],Tabelle10[[#This Row],[Spalte1]]+14,Ranking!$AJ$2)</f>
        <v>88.762543186332877</v>
      </c>
    </row>
    <row r="552" spans="32:36" x14ac:dyDescent="0.25">
      <c r="AF552" s="29">
        <f>IF(IFERROR(Tabelle12[[#This Row],[Spiel]],0)=0,AF551+1,Tabelle12[[#This Row],[Spiel]])</f>
        <v>550</v>
      </c>
      <c r="AG552" s="29">
        <f>INDEX(Tabelle11[#All],Tabelle10[[#This Row],[Spalte1]]+14,Ranking!$AG$2)</f>
        <v>90.817185094326874</v>
      </c>
      <c r="AH552" s="29">
        <f>INDEX(Tabelle11[#All],Tabelle10[[#This Row],[Spalte1]]+14,$AH$2)</f>
        <v>96.700266280577438</v>
      </c>
      <c r="AI552" s="29">
        <f>INDEX(Tabelle11[#All],Tabelle10[[#This Row],[Spalte1]]+14,$AI$2)</f>
        <v>117.49978695184252</v>
      </c>
      <c r="AJ552" s="29">
        <f>INDEX(Tabelle11[#All],Tabelle10[[#This Row],[Spalte1]]+14,Ranking!$AJ$2)</f>
        <v>88.762543186332877</v>
      </c>
    </row>
    <row r="553" spans="32:36" x14ac:dyDescent="0.25">
      <c r="AF553" s="29">
        <f>IF(IFERROR(Tabelle12[[#This Row],[Spiel]],0)=0,AF552+1,Tabelle12[[#This Row],[Spiel]])</f>
        <v>551</v>
      </c>
      <c r="AG553" s="29">
        <f>INDEX(Tabelle11[#All],Tabelle10[[#This Row],[Spalte1]]+14,Ranking!$AG$2)</f>
        <v>90.817185094326874</v>
      </c>
      <c r="AH553" s="29">
        <f>INDEX(Tabelle11[#All],Tabelle10[[#This Row],[Spalte1]]+14,$AH$2)</f>
        <v>96.700266280577438</v>
      </c>
      <c r="AI553" s="29">
        <f>INDEX(Tabelle11[#All],Tabelle10[[#This Row],[Spalte1]]+14,$AI$2)</f>
        <v>117.49978695184252</v>
      </c>
      <c r="AJ553" s="29">
        <f>INDEX(Tabelle11[#All],Tabelle10[[#This Row],[Spalte1]]+14,Ranking!$AJ$2)</f>
        <v>88.762543186332877</v>
      </c>
    </row>
    <row r="554" spans="32:36" x14ac:dyDescent="0.25">
      <c r="AF554" s="29">
        <f>IF(IFERROR(Tabelle12[[#This Row],[Spiel]],0)=0,AF553+1,Tabelle12[[#This Row],[Spiel]])</f>
        <v>552</v>
      </c>
      <c r="AG554" s="29">
        <f>INDEX(Tabelle11[#All],Tabelle10[[#This Row],[Spalte1]]+14,Ranking!$AG$2)</f>
        <v>90.817185094326874</v>
      </c>
      <c r="AH554" s="29">
        <f>INDEX(Tabelle11[#All],Tabelle10[[#This Row],[Spalte1]]+14,$AH$2)</f>
        <v>96.700266280577438</v>
      </c>
      <c r="AI554" s="29">
        <f>INDEX(Tabelle11[#All],Tabelle10[[#This Row],[Spalte1]]+14,$AI$2)</f>
        <v>117.49978695184252</v>
      </c>
      <c r="AJ554" s="29">
        <f>INDEX(Tabelle11[#All],Tabelle10[[#This Row],[Spalte1]]+14,Ranking!$AJ$2)</f>
        <v>88.762543186332877</v>
      </c>
    </row>
    <row r="555" spans="32:36" x14ac:dyDescent="0.25">
      <c r="AF555" s="29">
        <f>IF(IFERROR(Tabelle12[[#This Row],[Spiel]],0)=0,AF554+1,Tabelle12[[#This Row],[Spiel]])</f>
        <v>553</v>
      </c>
      <c r="AG555" s="29">
        <f>INDEX(Tabelle11[#All],Tabelle10[[#This Row],[Spalte1]]+14,Ranking!$AG$2)</f>
        <v>90.817185094326874</v>
      </c>
      <c r="AH555" s="29">
        <f>INDEX(Tabelle11[#All],Tabelle10[[#This Row],[Spalte1]]+14,$AH$2)</f>
        <v>96.700266280577438</v>
      </c>
      <c r="AI555" s="29">
        <f>INDEX(Tabelle11[#All],Tabelle10[[#This Row],[Spalte1]]+14,$AI$2)</f>
        <v>117.49978695184252</v>
      </c>
      <c r="AJ555" s="29">
        <f>INDEX(Tabelle11[#All],Tabelle10[[#This Row],[Spalte1]]+14,Ranking!$AJ$2)</f>
        <v>88.762543186332877</v>
      </c>
    </row>
    <row r="556" spans="32:36" x14ac:dyDescent="0.25">
      <c r="AF556" s="29">
        <f>IF(IFERROR(Tabelle12[[#This Row],[Spiel]],0)=0,AF555+1,Tabelle12[[#This Row],[Spiel]])</f>
        <v>554</v>
      </c>
      <c r="AG556" s="29">
        <f>INDEX(Tabelle11[#All],Tabelle10[[#This Row],[Spalte1]]+14,Ranking!$AG$2)</f>
        <v>90.817185094326874</v>
      </c>
      <c r="AH556" s="29">
        <f>INDEX(Tabelle11[#All],Tabelle10[[#This Row],[Spalte1]]+14,$AH$2)</f>
        <v>96.700266280577438</v>
      </c>
      <c r="AI556" s="29">
        <f>INDEX(Tabelle11[#All],Tabelle10[[#This Row],[Spalte1]]+14,$AI$2)</f>
        <v>117.49978695184252</v>
      </c>
      <c r="AJ556" s="29">
        <f>INDEX(Tabelle11[#All],Tabelle10[[#This Row],[Spalte1]]+14,Ranking!$AJ$2)</f>
        <v>88.762543186332877</v>
      </c>
    </row>
    <row r="557" spans="32:36" x14ac:dyDescent="0.25">
      <c r="AF557" s="29">
        <f>IF(IFERROR(Tabelle12[[#This Row],[Spiel]],0)=0,AF556+1,Tabelle12[[#This Row],[Spiel]])</f>
        <v>555</v>
      </c>
      <c r="AG557" s="29">
        <f>INDEX(Tabelle11[#All],Tabelle10[[#This Row],[Spalte1]]+14,Ranking!$AG$2)</f>
        <v>90.817185094326874</v>
      </c>
      <c r="AH557" s="29">
        <f>INDEX(Tabelle11[#All],Tabelle10[[#This Row],[Spalte1]]+14,$AH$2)</f>
        <v>96.700266280577438</v>
      </c>
      <c r="AI557" s="29">
        <f>INDEX(Tabelle11[#All],Tabelle10[[#This Row],[Spalte1]]+14,$AI$2)</f>
        <v>117.49978695184252</v>
      </c>
      <c r="AJ557" s="29">
        <f>INDEX(Tabelle11[#All],Tabelle10[[#This Row],[Spalte1]]+14,Ranking!$AJ$2)</f>
        <v>88.762543186332877</v>
      </c>
    </row>
    <row r="558" spans="32:36" x14ac:dyDescent="0.25">
      <c r="AF558" s="29">
        <f>IF(IFERROR(Tabelle12[[#This Row],[Spiel]],0)=0,AF557+1,Tabelle12[[#This Row],[Spiel]])</f>
        <v>556</v>
      </c>
      <c r="AG558" s="29">
        <f>INDEX(Tabelle11[#All],Tabelle10[[#This Row],[Spalte1]]+14,Ranking!$AG$2)</f>
        <v>90.817185094326874</v>
      </c>
      <c r="AH558" s="29">
        <f>INDEX(Tabelle11[#All],Tabelle10[[#This Row],[Spalte1]]+14,$AH$2)</f>
        <v>96.700266280577438</v>
      </c>
      <c r="AI558" s="29">
        <f>INDEX(Tabelle11[#All],Tabelle10[[#This Row],[Spalte1]]+14,$AI$2)</f>
        <v>117.49978695184252</v>
      </c>
      <c r="AJ558" s="29">
        <f>INDEX(Tabelle11[#All],Tabelle10[[#This Row],[Spalte1]]+14,Ranking!$AJ$2)</f>
        <v>88.762543186332877</v>
      </c>
    </row>
    <row r="559" spans="32:36" x14ac:dyDescent="0.25">
      <c r="AF559" s="29">
        <f>IF(IFERROR(Tabelle12[[#This Row],[Spiel]],0)=0,AF558+1,Tabelle12[[#This Row],[Spiel]])</f>
        <v>557</v>
      </c>
      <c r="AG559" s="29">
        <f>INDEX(Tabelle11[#All],Tabelle10[[#This Row],[Spalte1]]+14,Ranking!$AG$2)</f>
        <v>90.817185094326874</v>
      </c>
      <c r="AH559" s="29">
        <f>INDEX(Tabelle11[#All],Tabelle10[[#This Row],[Spalte1]]+14,$AH$2)</f>
        <v>96.700266280577438</v>
      </c>
      <c r="AI559" s="29">
        <f>INDEX(Tabelle11[#All],Tabelle10[[#This Row],[Spalte1]]+14,$AI$2)</f>
        <v>117.49978695184252</v>
      </c>
      <c r="AJ559" s="29">
        <f>INDEX(Tabelle11[#All],Tabelle10[[#This Row],[Spalte1]]+14,Ranking!$AJ$2)</f>
        <v>88.762543186332877</v>
      </c>
    </row>
    <row r="560" spans="32:36" x14ac:dyDescent="0.25">
      <c r="AF560" s="29">
        <f>IF(IFERROR(Tabelle12[[#This Row],[Spiel]],0)=0,AF559+1,Tabelle12[[#This Row],[Spiel]])</f>
        <v>558</v>
      </c>
      <c r="AG560" s="29">
        <f>INDEX(Tabelle11[#All],Tabelle10[[#This Row],[Spalte1]]+14,Ranking!$AG$2)</f>
        <v>90.817185094326874</v>
      </c>
      <c r="AH560" s="29">
        <f>INDEX(Tabelle11[#All],Tabelle10[[#This Row],[Spalte1]]+14,$AH$2)</f>
        <v>96.700266280577438</v>
      </c>
      <c r="AI560" s="29">
        <f>INDEX(Tabelle11[#All],Tabelle10[[#This Row],[Spalte1]]+14,$AI$2)</f>
        <v>117.49978695184252</v>
      </c>
      <c r="AJ560" s="29">
        <f>INDEX(Tabelle11[#All],Tabelle10[[#This Row],[Spalte1]]+14,Ranking!$AJ$2)</f>
        <v>88.762543186332877</v>
      </c>
    </row>
    <row r="561" spans="32:36" x14ac:dyDescent="0.25">
      <c r="AF561" s="29">
        <f>IF(IFERROR(Tabelle12[[#This Row],[Spiel]],0)=0,AF560+1,Tabelle12[[#This Row],[Spiel]])</f>
        <v>559</v>
      </c>
      <c r="AG561" s="29">
        <f>INDEX(Tabelle11[#All],Tabelle10[[#This Row],[Spalte1]]+14,Ranking!$AG$2)</f>
        <v>90.817185094326874</v>
      </c>
      <c r="AH561" s="29">
        <f>INDEX(Tabelle11[#All],Tabelle10[[#This Row],[Spalte1]]+14,$AH$2)</f>
        <v>96.700266280577438</v>
      </c>
      <c r="AI561" s="29">
        <f>INDEX(Tabelle11[#All],Tabelle10[[#This Row],[Spalte1]]+14,$AI$2)</f>
        <v>117.49978695184252</v>
      </c>
      <c r="AJ561" s="29">
        <f>INDEX(Tabelle11[#All],Tabelle10[[#This Row],[Spalte1]]+14,Ranking!$AJ$2)</f>
        <v>88.762543186332877</v>
      </c>
    </row>
    <row r="562" spans="32:36" x14ac:dyDescent="0.25">
      <c r="AF562" s="29">
        <f>IF(IFERROR(Tabelle12[[#This Row],[Spiel]],0)=0,AF561+1,Tabelle12[[#This Row],[Spiel]])</f>
        <v>560</v>
      </c>
      <c r="AG562" s="29">
        <f>INDEX(Tabelle11[#All],Tabelle10[[#This Row],[Spalte1]]+14,Ranking!$AG$2)</f>
        <v>90.817185094326874</v>
      </c>
      <c r="AH562" s="29">
        <f>INDEX(Tabelle11[#All],Tabelle10[[#This Row],[Spalte1]]+14,$AH$2)</f>
        <v>96.700266280577438</v>
      </c>
      <c r="AI562" s="29">
        <f>INDEX(Tabelle11[#All],Tabelle10[[#This Row],[Spalte1]]+14,$AI$2)</f>
        <v>117.49978695184252</v>
      </c>
      <c r="AJ562" s="29">
        <f>INDEX(Tabelle11[#All],Tabelle10[[#This Row],[Spalte1]]+14,Ranking!$AJ$2)</f>
        <v>88.762543186332877</v>
      </c>
    </row>
    <row r="563" spans="32:36" x14ac:dyDescent="0.25">
      <c r="AF563" s="29">
        <f>IF(IFERROR(Tabelle12[[#This Row],[Spiel]],0)=0,AF562+1,Tabelle12[[#This Row],[Spiel]])</f>
        <v>561</v>
      </c>
      <c r="AG563" s="29">
        <f>INDEX(Tabelle11[#All],Tabelle10[[#This Row],[Spalte1]]+14,Ranking!$AG$2)</f>
        <v>90.817185094326874</v>
      </c>
      <c r="AH563" s="29">
        <f>INDEX(Tabelle11[#All],Tabelle10[[#This Row],[Spalte1]]+14,$AH$2)</f>
        <v>96.700266280577438</v>
      </c>
      <c r="AI563" s="29">
        <f>INDEX(Tabelle11[#All],Tabelle10[[#This Row],[Spalte1]]+14,$AI$2)</f>
        <v>117.49978695184252</v>
      </c>
      <c r="AJ563" s="29">
        <f>INDEX(Tabelle11[#All],Tabelle10[[#This Row],[Spalte1]]+14,Ranking!$AJ$2)</f>
        <v>88.762543186332877</v>
      </c>
    </row>
    <row r="564" spans="32:36" x14ac:dyDescent="0.25">
      <c r="AF564" s="29">
        <f>IF(IFERROR(Tabelle12[[#This Row],[Spiel]],0)=0,AF563+1,Tabelle12[[#This Row],[Spiel]])</f>
        <v>562</v>
      </c>
      <c r="AG564" s="29">
        <f>INDEX(Tabelle11[#All],Tabelle10[[#This Row],[Spalte1]]+14,Ranking!$AG$2)</f>
        <v>90.817185094326874</v>
      </c>
      <c r="AH564" s="29">
        <f>INDEX(Tabelle11[#All],Tabelle10[[#This Row],[Spalte1]]+14,$AH$2)</f>
        <v>96.700266280577438</v>
      </c>
      <c r="AI564" s="29">
        <f>INDEX(Tabelle11[#All],Tabelle10[[#This Row],[Spalte1]]+14,$AI$2)</f>
        <v>117.49978695184252</v>
      </c>
      <c r="AJ564" s="29">
        <f>INDEX(Tabelle11[#All],Tabelle10[[#This Row],[Spalte1]]+14,Ranking!$AJ$2)</f>
        <v>88.762543186332877</v>
      </c>
    </row>
    <row r="565" spans="32:36" x14ac:dyDescent="0.25">
      <c r="AF565" s="29">
        <f>IF(IFERROR(Tabelle12[[#This Row],[Spiel]],0)=0,AF564+1,Tabelle12[[#This Row],[Spiel]])</f>
        <v>563</v>
      </c>
      <c r="AG565" s="29">
        <f>INDEX(Tabelle11[#All],Tabelle10[[#This Row],[Spalte1]]+14,Ranking!$AG$2)</f>
        <v>90.817185094326874</v>
      </c>
      <c r="AH565" s="29">
        <f>INDEX(Tabelle11[#All],Tabelle10[[#This Row],[Spalte1]]+14,$AH$2)</f>
        <v>96.700266280577438</v>
      </c>
      <c r="AI565" s="29">
        <f>INDEX(Tabelle11[#All],Tabelle10[[#This Row],[Spalte1]]+14,$AI$2)</f>
        <v>117.49978695184252</v>
      </c>
      <c r="AJ565" s="29">
        <f>INDEX(Tabelle11[#All],Tabelle10[[#This Row],[Spalte1]]+14,Ranking!$AJ$2)</f>
        <v>88.762543186332877</v>
      </c>
    </row>
    <row r="566" spans="32:36" x14ac:dyDescent="0.25">
      <c r="AF566" s="29">
        <f>IF(IFERROR(Tabelle12[[#This Row],[Spiel]],0)=0,AF565+1,Tabelle12[[#This Row],[Spiel]])</f>
        <v>564</v>
      </c>
      <c r="AG566" s="29">
        <f>INDEX(Tabelle11[#All],Tabelle10[[#This Row],[Spalte1]]+14,Ranking!$AG$2)</f>
        <v>90.817185094326874</v>
      </c>
      <c r="AH566" s="29">
        <f>INDEX(Tabelle11[#All],Tabelle10[[#This Row],[Spalte1]]+14,$AH$2)</f>
        <v>96.700266280577438</v>
      </c>
      <c r="AI566" s="29">
        <f>INDEX(Tabelle11[#All],Tabelle10[[#This Row],[Spalte1]]+14,$AI$2)</f>
        <v>117.49978695184252</v>
      </c>
      <c r="AJ566" s="29">
        <f>INDEX(Tabelle11[#All],Tabelle10[[#This Row],[Spalte1]]+14,Ranking!$AJ$2)</f>
        <v>88.762543186332877</v>
      </c>
    </row>
    <row r="567" spans="32:36" x14ac:dyDescent="0.25">
      <c r="AF567" s="29">
        <f>IF(IFERROR(Tabelle12[[#This Row],[Spiel]],0)=0,AF566+1,Tabelle12[[#This Row],[Spiel]])</f>
        <v>565</v>
      </c>
      <c r="AG567" s="29">
        <f>INDEX(Tabelle11[#All],Tabelle10[[#This Row],[Spalte1]]+14,Ranking!$AG$2)</f>
        <v>90.817185094326874</v>
      </c>
      <c r="AH567" s="29">
        <f>INDEX(Tabelle11[#All],Tabelle10[[#This Row],[Spalte1]]+14,$AH$2)</f>
        <v>96.700266280577438</v>
      </c>
      <c r="AI567" s="29">
        <f>INDEX(Tabelle11[#All],Tabelle10[[#This Row],[Spalte1]]+14,$AI$2)</f>
        <v>117.49978695184252</v>
      </c>
      <c r="AJ567" s="29">
        <f>INDEX(Tabelle11[#All],Tabelle10[[#This Row],[Spalte1]]+14,Ranking!$AJ$2)</f>
        <v>88.762543186332877</v>
      </c>
    </row>
    <row r="568" spans="32:36" x14ac:dyDescent="0.25">
      <c r="AF568" s="29">
        <f>IF(IFERROR(Tabelle12[[#This Row],[Spiel]],0)=0,AF567+1,Tabelle12[[#This Row],[Spiel]])</f>
        <v>566</v>
      </c>
      <c r="AG568" s="29">
        <f>INDEX(Tabelle11[#All],Tabelle10[[#This Row],[Spalte1]]+14,Ranking!$AG$2)</f>
        <v>90.817185094326874</v>
      </c>
      <c r="AH568" s="29">
        <f>INDEX(Tabelle11[#All],Tabelle10[[#This Row],[Spalte1]]+14,$AH$2)</f>
        <v>96.700266280577438</v>
      </c>
      <c r="AI568" s="29">
        <f>INDEX(Tabelle11[#All],Tabelle10[[#This Row],[Spalte1]]+14,$AI$2)</f>
        <v>117.49978695184252</v>
      </c>
      <c r="AJ568" s="29">
        <f>INDEX(Tabelle11[#All],Tabelle10[[#This Row],[Spalte1]]+14,Ranking!$AJ$2)</f>
        <v>88.762543186332877</v>
      </c>
    </row>
    <row r="569" spans="32:36" x14ac:dyDescent="0.25">
      <c r="AF569" s="29">
        <f>IF(IFERROR(Tabelle12[[#This Row],[Spiel]],0)=0,AF568+1,Tabelle12[[#This Row],[Spiel]])</f>
        <v>567</v>
      </c>
      <c r="AG569" s="29">
        <f>INDEX(Tabelle11[#All],Tabelle10[[#This Row],[Spalte1]]+14,Ranking!$AG$2)</f>
        <v>90.817185094326874</v>
      </c>
      <c r="AH569" s="29">
        <f>INDEX(Tabelle11[#All],Tabelle10[[#This Row],[Spalte1]]+14,$AH$2)</f>
        <v>96.700266280577438</v>
      </c>
      <c r="AI569" s="29">
        <f>INDEX(Tabelle11[#All],Tabelle10[[#This Row],[Spalte1]]+14,$AI$2)</f>
        <v>117.49978695184252</v>
      </c>
      <c r="AJ569" s="29">
        <f>INDEX(Tabelle11[#All],Tabelle10[[#This Row],[Spalte1]]+14,Ranking!$AJ$2)</f>
        <v>88.762543186332877</v>
      </c>
    </row>
    <row r="570" spans="32:36" x14ac:dyDescent="0.25">
      <c r="AF570" s="29">
        <f>IF(IFERROR(Tabelle12[[#This Row],[Spiel]],0)=0,AF569+1,Tabelle12[[#This Row],[Spiel]])</f>
        <v>568</v>
      </c>
      <c r="AG570" s="29">
        <f>INDEX(Tabelle11[#All],Tabelle10[[#This Row],[Spalte1]]+14,Ranking!$AG$2)</f>
        <v>90.817185094326874</v>
      </c>
      <c r="AH570" s="29">
        <f>INDEX(Tabelle11[#All],Tabelle10[[#This Row],[Spalte1]]+14,$AH$2)</f>
        <v>96.700266280577438</v>
      </c>
      <c r="AI570" s="29">
        <f>INDEX(Tabelle11[#All],Tabelle10[[#This Row],[Spalte1]]+14,$AI$2)</f>
        <v>117.49978695184252</v>
      </c>
      <c r="AJ570" s="29">
        <f>INDEX(Tabelle11[#All],Tabelle10[[#This Row],[Spalte1]]+14,Ranking!$AJ$2)</f>
        <v>88.762543186332877</v>
      </c>
    </row>
    <row r="571" spans="32:36" x14ac:dyDescent="0.25">
      <c r="AF571" s="29">
        <f>IF(IFERROR(Tabelle12[[#This Row],[Spiel]],0)=0,AF570+1,Tabelle12[[#This Row],[Spiel]])</f>
        <v>569</v>
      </c>
      <c r="AG571" s="29">
        <f>INDEX(Tabelle11[#All],Tabelle10[[#This Row],[Spalte1]]+14,Ranking!$AG$2)</f>
        <v>90.817185094326874</v>
      </c>
      <c r="AH571" s="29">
        <f>INDEX(Tabelle11[#All],Tabelle10[[#This Row],[Spalte1]]+14,$AH$2)</f>
        <v>96.700266280577438</v>
      </c>
      <c r="AI571" s="29">
        <f>INDEX(Tabelle11[#All],Tabelle10[[#This Row],[Spalte1]]+14,$AI$2)</f>
        <v>117.49978695184252</v>
      </c>
      <c r="AJ571" s="29">
        <f>INDEX(Tabelle11[#All],Tabelle10[[#This Row],[Spalte1]]+14,Ranking!$AJ$2)</f>
        <v>88.762543186332877</v>
      </c>
    </row>
    <row r="572" spans="32:36" x14ac:dyDescent="0.25">
      <c r="AF572" s="29">
        <f>IF(IFERROR(Tabelle12[[#This Row],[Spiel]],0)=0,AF571+1,Tabelle12[[#This Row],[Spiel]])</f>
        <v>570</v>
      </c>
      <c r="AG572" s="29">
        <f>INDEX(Tabelle11[#All],Tabelle10[[#This Row],[Spalte1]]+14,Ranking!$AG$2)</f>
        <v>90.817185094326874</v>
      </c>
      <c r="AH572" s="29">
        <f>INDEX(Tabelle11[#All],Tabelle10[[#This Row],[Spalte1]]+14,$AH$2)</f>
        <v>96.700266280577438</v>
      </c>
      <c r="AI572" s="29">
        <f>INDEX(Tabelle11[#All],Tabelle10[[#This Row],[Spalte1]]+14,$AI$2)</f>
        <v>117.49978695184252</v>
      </c>
      <c r="AJ572" s="29">
        <f>INDEX(Tabelle11[#All],Tabelle10[[#This Row],[Spalte1]]+14,Ranking!$AJ$2)</f>
        <v>88.762543186332877</v>
      </c>
    </row>
    <row r="573" spans="32:36" x14ac:dyDescent="0.25">
      <c r="AF573" s="29">
        <f>IF(IFERROR(Tabelle12[[#This Row],[Spiel]],0)=0,AF572+1,Tabelle12[[#This Row],[Spiel]])</f>
        <v>571</v>
      </c>
      <c r="AG573" s="29">
        <f>INDEX(Tabelle11[#All],Tabelle10[[#This Row],[Spalte1]]+14,Ranking!$AG$2)</f>
        <v>90.817185094326874</v>
      </c>
      <c r="AH573" s="29">
        <f>INDEX(Tabelle11[#All],Tabelle10[[#This Row],[Spalte1]]+14,$AH$2)</f>
        <v>96.700266280577438</v>
      </c>
      <c r="AI573" s="29">
        <f>INDEX(Tabelle11[#All],Tabelle10[[#This Row],[Spalte1]]+14,$AI$2)</f>
        <v>117.49978695184252</v>
      </c>
      <c r="AJ573" s="29">
        <f>INDEX(Tabelle11[#All],Tabelle10[[#This Row],[Spalte1]]+14,Ranking!$AJ$2)</f>
        <v>88.762543186332877</v>
      </c>
    </row>
    <row r="574" spans="32:36" x14ac:dyDescent="0.25">
      <c r="AF574" s="29">
        <f>IF(IFERROR(Tabelle12[[#This Row],[Spiel]],0)=0,AF573+1,Tabelle12[[#This Row],[Spiel]])</f>
        <v>572</v>
      </c>
      <c r="AG574" s="29">
        <f>INDEX(Tabelle11[#All],Tabelle10[[#This Row],[Spalte1]]+14,Ranking!$AG$2)</f>
        <v>90.817185094326874</v>
      </c>
      <c r="AH574" s="29">
        <f>INDEX(Tabelle11[#All],Tabelle10[[#This Row],[Spalte1]]+14,$AH$2)</f>
        <v>96.700266280577438</v>
      </c>
      <c r="AI574" s="29">
        <f>INDEX(Tabelle11[#All],Tabelle10[[#This Row],[Spalte1]]+14,$AI$2)</f>
        <v>117.49978695184252</v>
      </c>
      <c r="AJ574" s="29">
        <f>INDEX(Tabelle11[#All],Tabelle10[[#This Row],[Spalte1]]+14,Ranking!$AJ$2)</f>
        <v>88.762543186332877</v>
      </c>
    </row>
    <row r="575" spans="32:36" x14ac:dyDescent="0.25">
      <c r="AF575" s="29">
        <f>IF(IFERROR(Tabelle12[[#This Row],[Spiel]],0)=0,AF574+1,Tabelle12[[#This Row],[Spiel]])</f>
        <v>573</v>
      </c>
      <c r="AG575" s="29">
        <f>INDEX(Tabelle11[#All],Tabelle10[[#This Row],[Spalte1]]+14,Ranking!$AG$2)</f>
        <v>90.817185094326874</v>
      </c>
      <c r="AH575" s="29">
        <f>INDEX(Tabelle11[#All],Tabelle10[[#This Row],[Spalte1]]+14,$AH$2)</f>
        <v>96.700266280577438</v>
      </c>
      <c r="AI575" s="29">
        <f>INDEX(Tabelle11[#All],Tabelle10[[#This Row],[Spalte1]]+14,$AI$2)</f>
        <v>117.49978695184252</v>
      </c>
      <c r="AJ575" s="29">
        <f>INDEX(Tabelle11[#All],Tabelle10[[#This Row],[Spalte1]]+14,Ranking!$AJ$2)</f>
        <v>88.762543186332877</v>
      </c>
    </row>
    <row r="576" spans="32:36" x14ac:dyDescent="0.25">
      <c r="AF576" s="29">
        <f>IF(IFERROR(Tabelle12[[#This Row],[Spiel]],0)=0,AF575+1,Tabelle12[[#This Row],[Spiel]])</f>
        <v>574</v>
      </c>
      <c r="AG576" s="29">
        <f>INDEX(Tabelle11[#All],Tabelle10[[#This Row],[Spalte1]]+14,Ranking!$AG$2)</f>
        <v>90.817185094326874</v>
      </c>
      <c r="AH576" s="29">
        <f>INDEX(Tabelle11[#All],Tabelle10[[#This Row],[Spalte1]]+14,$AH$2)</f>
        <v>96.700266280577438</v>
      </c>
      <c r="AI576" s="29">
        <f>INDEX(Tabelle11[#All],Tabelle10[[#This Row],[Spalte1]]+14,$AI$2)</f>
        <v>117.49978695184252</v>
      </c>
      <c r="AJ576" s="29">
        <f>INDEX(Tabelle11[#All],Tabelle10[[#This Row],[Spalte1]]+14,Ranking!$AJ$2)</f>
        <v>88.762543186332877</v>
      </c>
    </row>
    <row r="577" spans="32:36" x14ac:dyDescent="0.25">
      <c r="AF577" s="29">
        <f>IF(IFERROR(Tabelle12[[#This Row],[Spiel]],0)=0,AF576+1,Tabelle12[[#This Row],[Spiel]])</f>
        <v>575</v>
      </c>
      <c r="AG577" s="29">
        <f>INDEX(Tabelle11[#All],Tabelle10[[#This Row],[Spalte1]]+14,Ranking!$AG$2)</f>
        <v>90.817185094326874</v>
      </c>
      <c r="AH577" s="29">
        <f>INDEX(Tabelle11[#All],Tabelle10[[#This Row],[Spalte1]]+14,$AH$2)</f>
        <v>96.700266280577438</v>
      </c>
      <c r="AI577" s="29">
        <f>INDEX(Tabelle11[#All],Tabelle10[[#This Row],[Spalte1]]+14,$AI$2)</f>
        <v>117.49978695184252</v>
      </c>
      <c r="AJ577" s="29">
        <f>INDEX(Tabelle11[#All],Tabelle10[[#This Row],[Spalte1]]+14,Ranking!$AJ$2)</f>
        <v>88.762543186332877</v>
      </c>
    </row>
    <row r="578" spans="32:36" x14ac:dyDescent="0.25">
      <c r="AF578" s="29">
        <f>IF(IFERROR(Tabelle12[[#This Row],[Spiel]],0)=0,AF577+1,Tabelle12[[#This Row],[Spiel]])</f>
        <v>576</v>
      </c>
      <c r="AG578" s="29">
        <f>INDEX(Tabelle11[#All],Tabelle10[[#This Row],[Spalte1]]+14,Ranking!$AG$2)</f>
        <v>90.817185094326874</v>
      </c>
      <c r="AH578" s="29">
        <f>INDEX(Tabelle11[#All],Tabelle10[[#This Row],[Spalte1]]+14,$AH$2)</f>
        <v>96.700266280577438</v>
      </c>
      <c r="AI578" s="29">
        <f>INDEX(Tabelle11[#All],Tabelle10[[#This Row],[Spalte1]]+14,$AI$2)</f>
        <v>117.49978695184252</v>
      </c>
      <c r="AJ578" s="29">
        <f>INDEX(Tabelle11[#All],Tabelle10[[#This Row],[Spalte1]]+14,Ranking!$AJ$2)</f>
        <v>88.762543186332877</v>
      </c>
    </row>
    <row r="579" spans="32:36" x14ac:dyDescent="0.25">
      <c r="AF579" s="29">
        <f>IF(IFERROR(Tabelle12[[#This Row],[Spiel]],0)=0,AF578+1,Tabelle12[[#This Row],[Spiel]])</f>
        <v>577</v>
      </c>
      <c r="AG579" s="29">
        <f>INDEX(Tabelle11[#All],Tabelle10[[#This Row],[Spalte1]]+14,Ranking!$AG$2)</f>
        <v>90.817185094326874</v>
      </c>
      <c r="AH579" s="29">
        <f>INDEX(Tabelle11[#All],Tabelle10[[#This Row],[Spalte1]]+14,$AH$2)</f>
        <v>96.700266280577438</v>
      </c>
      <c r="AI579" s="29">
        <f>INDEX(Tabelle11[#All],Tabelle10[[#This Row],[Spalte1]]+14,$AI$2)</f>
        <v>117.49978695184252</v>
      </c>
      <c r="AJ579" s="29">
        <f>INDEX(Tabelle11[#All],Tabelle10[[#This Row],[Spalte1]]+14,Ranking!$AJ$2)</f>
        <v>88.762543186332877</v>
      </c>
    </row>
    <row r="580" spans="32:36" x14ac:dyDescent="0.25">
      <c r="AF580" s="29">
        <f>IF(IFERROR(Tabelle12[[#This Row],[Spiel]],0)=0,AF579+1,Tabelle12[[#This Row],[Spiel]])</f>
        <v>578</v>
      </c>
      <c r="AG580" s="29">
        <f>INDEX(Tabelle11[#All],Tabelle10[[#This Row],[Spalte1]]+14,Ranking!$AG$2)</f>
        <v>90.817185094326874</v>
      </c>
      <c r="AH580" s="29">
        <f>INDEX(Tabelle11[#All],Tabelle10[[#This Row],[Spalte1]]+14,$AH$2)</f>
        <v>96.700266280577438</v>
      </c>
      <c r="AI580" s="29">
        <f>INDEX(Tabelle11[#All],Tabelle10[[#This Row],[Spalte1]]+14,$AI$2)</f>
        <v>117.49978695184252</v>
      </c>
      <c r="AJ580" s="29">
        <f>INDEX(Tabelle11[#All],Tabelle10[[#This Row],[Spalte1]]+14,Ranking!$AJ$2)</f>
        <v>88.762543186332877</v>
      </c>
    </row>
    <row r="581" spans="32:36" x14ac:dyDescent="0.25">
      <c r="AF581" s="29">
        <f>IF(IFERROR(Tabelle12[[#This Row],[Spiel]],0)=0,AF580+1,Tabelle12[[#This Row],[Spiel]])</f>
        <v>579</v>
      </c>
      <c r="AG581" s="29">
        <f>INDEX(Tabelle11[#All],Tabelle10[[#This Row],[Spalte1]]+14,Ranking!$AG$2)</f>
        <v>90.817185094326874</v>
      </c>
      <c r="AH581" s="29">
        <f>INDEX(Tabelle11[#All],Tabelle10[[#This Row],[Spalte1]]+14,$AH$2)</f>
        <v>96.700266280577438</v>
      </c>
      <c r="AI581" s="29">
        <f>INDEX(Tabelle11[#All],Tabelle10[[#This Row],[Spalte1]]+14,$AI$2)</f>
        <v>117.49978695184252</v>
      </c>
      <c r="AJ581" s="29">
        <f>INDEX(Tabelle11[#All],Tabelle10[[#This Row],[Spalte1]]+14,Ranking!$AJ$2)</f>
        <v>88.762543186332877</v>
      </c>
    </row>
    <row r="582" spans="32:36" x14ac:dyDescent="0.25">
      <c r="AF582" s="29">
        <f>IF(IFERROR(Tabelle12[[#This Row],[Spiel]],0)=0,AF581+1,Tabelle12[[#This Row],[Spiel]])</f>
        <v>580</v>
      </c>
      <c r="AG582" s="29">
        <f>INDEX(Tabelle11[#All],Tabelle10[[#This Row],[Spalte1]]+14,Ranking!$AG$2)</f>
        <v>90.817185094326874</v>
      </c>
      <c r="AH582" s="29">
        <f>INDEX(Tabelle11[#All],Tabelle10[[#This Row],[Spalte1]]+14,$AH$2)</f>
        <v>96.700266280577438</v>
      </c>
      <c r="AI582" s="29">
        <f>INDEX(Tabelle11[#All],Tabelle10[[#This Row],[Spalte1]]+14,$AI$2)</f>
        <v>117.49978695184252</v>
      </c>
      <c r="AJ582" s="29">
        <f>INDEX(Tabelle11[#All],Tabelle10[[#This Row],[Spalte1]]+14,Ranking!$AJ$2)</f>
        <v>88.762543186332877</v>
      </c>
    </row>
    <row r="583" spans="32:36" x14ac:dyDescent="0.25">
      <c r="AF583" s="29">
        <f>IF(IFERROR(Tabelle12[[#This Row],[Spiel]],0)=0,AF582+1,Tabelle12[[#This Row],[Spiel]])</f>
        <v>581</v>
      </c>
      <c r="AG583" s="29">
        <f>INDEX(Tabelle11[#All],Tabelle10[[#This Row],[Spalte1]]+14,Ranking!$AG$2)</f>
        <v>90.817185094326874</v>
      </c>
      <c r="AH583" s="29">
        <f>INDEX(Tabelle11[#All],Tabelle10[[#This Row],[Spalte1]]+14,$AH$2)</f>
        <v>96.700266280577438</v>
      </c>
      <c r="AI583" s="29">
        <f>INDEX(Tabelle11[#All],Tabelle10[[#This Row],[Spalte1]]+14,$AI$2)</f>
        <v>117.49978695184252</v>
      </c>
      <c r="AJ583" s="29">
        <f>INDEX(Tabelle11[#All],Tabelle10[[#This Row],[Spalte1]]+14,Ranking!$AJ$2)</f>
        <v>88.762543186332877</v>
      </c>
    </row>
    <row r="584" spans="32:36" x14ac:dyDescent="0.25">
      <c r="AF584" s="29">
        <f>IF(IFERROR(Tabelle12[[#This Row],[Spiel]],0)=0,AF583+1,Tabelle12[[#This Row],[Spiel]])</f>
        <v>582</v>
      </c>
      <c r="AG584" s="29">
        <f>INDEX(Tabelle11[#All],Tabelle10[[#This Row],[Spalte1]]+14,Ranking!$AG$2)</f>
        <v>90.817185094326874</v>
      </c>
      <c r="AH584" s="29">
        <f>INDEX(Tabelle11[#All],Tabelle10[[#This Row],[Spalte1]]+14,$AH$2)</f>
        <v>96.700266280577438</v>
      </c>
      <c r="AI584" s="29">
        <f>INDEX(Tabelle11[#All],Tabelle10[[#This Row],[Spalte1]]+14,$AI$2)</f>
        <v>117.49978695184252</v>
      </c>
      <c r="AJ584" s="29">
        <f>INDEX(Tabelle11[#All],Tabelle10[[#This Row],[Spalte1]]+14,Ranking!$AJ$2)</f>
        <v>88.762543186332877</v>
      </c>
    </row>
    <row r="585" spans="32:36" x14ac:dyDescent="0.25">
      <c r="AF585" s="29">
        <f>IF(IFERROR(Tabelle12[[#This Row],[Spiel]],0)=0,AF584+1,Tabelle12[[#This Row],[Spiel]])</f>
        <v>583</v>
      </c>
      <c r="AG585" s="29">
        <f>INDEX(Tabelle11[#All],Tabelle10[[#This Row],[Spalte1]]+14,Ranking!$AG$2)</f>
        <v>90.817185094326874</v>
      </c>
      <c r="AH585" s="29">
        <f>INDEX(Tabelle11[#All],Tabelle10[[#This Row],[Spalte1]]+14,$AH$2)</f>
        <v>96.700266280577438</v>
      </c>
      <c r="AI585" s="29">
        <f>INDEX(Tabelle11[#All],Tabelle10[[#This Row],[Spalte1]]+14,$AI$2)</f>
        <v>117.49978695184252</v>
      </c>
      <c r="AJ585" s="29">
        <f>INDEX(Tabelle11[#All],Tabelle10[[#This Row],[Spalte1]]+14,Ranking!$AJ$2)</f>
        <v>88.762543186332877</v>
      </c>
    </row>
    <row r="586" spans="32:36" x14ac:dyDescent="0.25">
      <c r="AF586" s="29">
        <f>IF(IFERROR(Tabelle12[[#This Row],[Spiel]],0)=0,AF585+1,Tabelle12[[#This Row],[Spiel]])</f>
        <v>584</v>
      </c>
      <c r="AG586" s="29">
        <f>INDEX(Tabelle11[#All],Tabelle10[[#This Row],[Spalte1]]+14,Ranking!$AG$2)</f>
        <v>90.817185094326874</v>
      </c>
      <c r="AH586" s="29">
        <f>INDEX(Tabelle11[#All],Tabelle10[[#This Row],[Spalte1]]+14,$AH$2)</f>
        <v>96.700266280577438</v>
      </c>
      <c r="AI586" s="29">
        <f>INDEX(Tabelle11[#All],Tabelle10[[#This Row],[Spalte1]]+14,$AI$2)</f>
        <v>117.49978695184252</v>
      </c>
      <c r="AJ586" s="29">
        <f>INDEX(Tabelle11[#All],Tabelle10[[#This Row],[Spalte1]]+14,Ranking!$AJ$2)</f>
        <v>88.762543186332877</v>
      </c>
    </row>
    <row r="587" spans="32:36" x14ac:dyDescent="0.25">
      <c r="AF587" s="29">
        <f>IF(IFERROR(Tabelle12[[#This Row],[Spiel]],0)=0,AF586+1,Tabelle12[[#This Row],[Spiel]])</f>
        <v>585</v>
      </c>
      <c r="AG587" s="29">
        <f>INDEX(Tabelle11[#All],Tabelle10[[#This Row],[Spalte1]]+14,Ranking!$AG$2)</f>
        <v>90.817185094326874</v>
      </c>
      <c r="AH587" s="29">
        <f>INDEX(Tabelle11[#All],Tabelle10[[#This Row],[Spalte1]]+14,$AH$2)</f>
        <v>96.700266280577438</v>
      </c>
      <c r="AI587" s="29">
        <f>INDEX(Tabelle11[#All],Tabelle10[[#This Row],[Spalte1]]+14,$AI$2)</f>
        <v>117.49978695184252</v>
      </c>
      <c r="AJ587" s="29">
        <f>INDEX(Tabelle11[#All],Tabelle10[[#This Row],[Spalte1]]+14,Ranking!$AJ$2)</f>
        <v>88.762543186332877</v>
      </c>
    </row>
    <row r="588" spans="32:36" x14ac:dyDescent="0.25">
      <c r="AF588" s="29">
        <f>IF(IFERROR(Tabelle12[[#This Row],[Spiel]],0)=0,AF587+1,Tabelle12[[#This Row],[Spiel]])</f>
        <v>586</v>
      </c>
      <c r="AG588" s="29">
        <f>INDEX(Tabelle11[#All],Tabelle10[[#This Row],[Spalte1]]+14,Ranking!$AG$2)</f>
        <v>90.817185094326874</v>
      </c>
      <c r="AH588" s="29">
        <f>INDEX(Tabelle11[#All],Tabelle10[[#This Row],[Spalte1]]+14,$AH$2)</f>
        <v>96.700266280577438</v>
      </c>
      <c r="AI588" s="29">
        <f>INDEX(Tabelle11[#All],Tabelle10[[#This Row],[Spalte1]]+14,$AI$2)</f>
        <v>117.49978695184252</v>
      </c>
      <c r="AJ588" s="29">
        <f>INDEX(Tabelle11[#All],Tabelle10[[#This Row],[Spalte1]]+14,Ranking!$AJ$2)</f>
        <v>88.762543186332877</v>
      </c>
    </row>
    <row r="589" spans="32:36" x14ac:dyDescent="0.25">
      <c r="AF589" s="29">
        <f>IF(IFERROR(Tabelle12[[#This Row],[Spiel]],0)=0,AF588+1,Tabelle12[[#This Row],[Spiel]])</f>
        <v>587</v>
      </c>
      <c r="AG589" s="29">
        <f>INDEX(Tabelle11[#All],Tabelle10[[#This Row],[Spalte1]]+14,Ranking!$AG$2)</f>
        <v>90.817185094326874</v>
      </c>
      <c r="AH589" s="29">
        <f>INDEX(Tabelle11[#All],Tabelle10[[#This Row],[Spalte1]]+14,$AH$2)</f>
        <v>96.700266280577438</v>
      </c>
      <c r="AI589" s="29">
        <f>INDEX(Tabelle11[#All],Tabelle10[[#This Row],[Spalte1]]+14,$AI$2)</f>
        <v>117.49978695184252</v>
      </c>
      <c r="AJ589" s="29">
        <f>INDEX(Tabelle11[#All],Tabelle10[[#This Row],[Spalte1]]+14,Ranking!$AJ$2)</f>
        <v>88.762543186332877</v>
      </c>
    </row>
    <row r="590" spans="32:36" x14ac:dyDescent="0.25">
      <c r="AF590" s="29">
        <f>IF(IFERROR(Tabelle12[[#This Row],[Spiel]],0)=0,AF589+1,Tabelle12[[#This Row],[Spiel]])</f>
        <v>588</v>
      </c>
      <c r="AG590" s="29">
        <f>INDEX(Tabelle11[#All],Tabelle10[[#This Row],[Spalte1]]+14,Ranking!$AG$2)</f>
        <v>90.817185094326874</v>
      </c>
      <c r="AH590" s="29">
        <f>INDEX(Tabelle11[#All],Tabelle10[[#This Row],[Spalte1]]+14,$AH$2)</f>
        <v>96.700266280577438</v>
      </c>
      <c r="AI590" s="29">
        <f>INDEX(Tabelle11[#All],Tabelle10[[#This Row],[Spalte1]]+14,$AI$2)</f>
        <v>117.49978695184252</v>
      </c>
      <c r="AJ590" s="29">
        <f>INDEX(Tabelle11[#All],Tabelle10[[#This Row],[Spalte1]]+14,Ranking!$AJ$2)</f>
        <v>88.762543186332877</v>
      </c>
    </row>
    <row r="591" spans="32:36" x14ac:dyDescent="0.25">
      <c r="AF591" s="29">
        <f>IF(IFERROR(Tabelle12[[#This Row],[Spiel]],0)=0,AF590+1,Tabelle12[[#This Row],[Spiel]])</f>
        <v>589</v>
      </c>
      <c r="AG591" s="29">
        <f>INDEX(Tabelle11[#All],Tabelle10[[#This Row],[Spalte1]]+14,Ranking!$AG$2)</f>
        <v>90.817185094326874</v>
      </c>
      <c r="AH591" s="29">
        <f>INDEX(Tabelle11[#All],Tabelle10[[#This Row],[Spalte1]]+14,$AH$2)</f>
        <v>96.700266280577438</v>
      </c>
      <c r="AI591" s="29">
        <f>INDEX(Tabelle11[#All],Tabelle10[[#This Row],[Spalte1]]+14,$AI$2)</f>
        <v>117.49978695184252</v>
      </c>
      <c r="AJ591" s="29">
        <f>INDEX(Tabelle11[#All],Tabelle10[[#This Row],[Spalte1]]+14,Ranking!$AJ$2)</f>
        <v>88.762543186332877</v>
      </c>
    </row>
    <row r="592" spans="32:36" x14ac:dyDescent="0.25">
      <c r="AF592" s="29">
        <f>IF(IFERROR(Tabelle12[[#This Row],[Spiel]],0)=0,AF591+1,Tabelle12[[#This Row],[Spiel]])</f>
        <v>590</v>
      </c>
      <c r="AG592" s="29">
        <f>INDEX(Tabelle11[#All],Tabelle10[[#This Row],[Spalte1]]+14,Ranking!$AG$2)</f>
        <v>90.817185094326874</v>
      </c>
      <c r="AH592" s="29">
        <f>INDEX(Tabelle11[#All],Tabelle10[[#This Row],[Spalte1]]+14,$AH$2)</f>
        <v>96.700266280577438</v>
      </c>
      <c r="AI592" s="29">
        <f>INDEX(Tabelle11[#All],Tabelle10[[#This Row],[Spalte1]]+14,$AI$2)</f>
        <v>117.49978695184252</v>
      </c>
      <c r="AJ592" s="29">
        <f>INDEX(Tabelle11[#All],Tabelle10[[#This Row],[Spalte1]]+14,Ranking!$AJ$2)</f>
        <v>88.762543186332877</v>
      </c>
    </row>
    <row r="593" spans="32:36" x14ac:dyDescent="0.25">
      <c r="AF593" s="29">
        <f>IF(IFERROR(Tabelle12[[#This Row],[Spiel]],0)=0,AF592+1,Tabelle12[[#This Row],[Spiel]])</f>
        <v>591</v>
      </c>
      <c r="AG593" s="29">
        <f>INDEX(Tabelle11[#All],Tabelle10[[#This Row],[Spalte1]]+14,Ranking!$AG$2)</f>
        <v>90.817185094326874</v>
      </c>
      <c r="AH593" s="29">
        <f>INDEX(Tabelle11[#All],Tabelle10[[#This Row],[Spalte1]]+14,$AH$2)</f>
        <v>96.700266280577438</v>
      </c>
      <c r="AI593" s="29">
        <f>INDEX(Tabelle11[#All],Tabelle10[[#This Row],[Spalte1]]+14,$AI$2)</f>
        <v>117.49978695184252</v>
      </c>
      <c r="AJ593" s="29">
        <f>INDEX(Tabelle11[#All],Tabelle10[[#This Row],[Spalte1]]+14,Ranking!$AJ$2)</f>
        <v>88.762543186332877</v>
      </c>
    </row>
    <row r="594" spans="32:36" x14ac:dyDescent="0.25">
      <c r="AF594" s="29">
        <f>IF(IFERROR(Tabelle12[[#This Row],[Spiel]],0)=0,AF593+1,Tabelle12[[#This Row],[Spiel]])</f>
        <v>592</v>
      </c>
      <c r="AG594" s="29">
        <f>INDEX(Tabelle11[#All],Tabelle10[[#This Row],[Spalte1]]+14,Ranking!$AG$2)</f>
        <v>90.817185094326874</v>
      </c>
      <c r="AH594" s="29">
        <f>INDEX(Tabelle11[#All],Tabelle10[[#This Row],[Spalte1]]+14,$AH$2)</f>
        <v>96.700266280577438</v>
      </c>
      <c r="AI594" s="29">
        <f>INDEX(Tabelle11[#All],Tabelle10[[#This Row],[Spalte1]]+14,$AI$2)</f>
        <v>117.49978695184252</v>
      </c>
      <c r="AJ594" s="29">
        <f>INDEX(Tabelle11[#All],Tabelle10[[#This Row],[Spalte1]]+14,Ranking!$AJ$2)</f>
        <v>88.762543186332877</v>
      </c>
    </row>
    <row r="595" spans="32:36" x14ac:dyDescent="0.25">
      <c r="AF595" s="29">
        <f>IF(IFERROR(Tabelle12[[#This Row],[Spiel]],0)=0,AF594+1,Tabelle12[[#This Row],[Spiel]])</f>
        <v>593</v>
      </c>
      <c r="AG595" s="29">
        <f>INDEX(Tabelle11[#All],Tabelle10[[#This Row],[Spalte1]]+14,Ranking!$AG$2)</f>
        <v>90.817185094326874</v>
      </c>
      <c r="AH595" s="29">
        <f>INDEX(Tabelle11[#All],Tabelle10[[#This Row],[Spalte1]]+14,$AH$2)</f>
        <v>96.700266280577438</v>
      </c>
      <c r="AI595" s="29">
        <f>INDEX(Tabelle11[#All],Tabelle10[[#This Row],[Spalte1]]+14,$AI$2)</f>
        <v>117.49978695184252</v>
      </c>
      <c r="AJ595" s="29">
        <f>INDEX(Tabelle11[#All],Tabelle10[[#This Row],[Spalte1]]+14,Ranking!$AJ$2)</f>
        <v>88.762543186332877</v>
      </c>
    </row>
    <row r="596" spans="32:36" x14ac:dyDescent="0.25">
      <c r="AF596" s="29">
        <f>IF(IFERROR(Tabelle12[[#This Row],[Spiel]],0)=0,AF595+1,Tabelle12[[#This Row],[Spiel]])</f>
        <v>594</v>
      </c>
      <c r="AG596" s="29">
        <f>INDEX(Tabelle11[#All],Tabelle10[[#This Row],[Spalte1]]+14,Ranking!$AG$2)</f>
        <v>90.817185094326874</v>
      </c>
      <c r="AH596" s="29">
        <f>INDEX(Tabelle11[#All],Tabelle10[[#This Row],[Spalte1]]+14,$AH$2)</f>
        <v>96.700266280577438</v>
      </c>
      <c r="AI596" s="29">
        <f>INDEX(Tabelle11[#All],Tabelle10[[#This Row],[Spalte1]]+14,$AI$2)</f>
        <v>117.49978695184252</v>
      </c>
      <c r="AJ596" s="29">
        <f>INDEX(Tabelle11[#All],Tabelle10[[#This Row],[Spalte1]]+14,Ranking!$AJ$2)</f>
        <v>88.762543186332877</v>
      </c>
    </row>
    <row r="597" spans="32:36" x14ac:dyDescent="0.25">
      <c r="AF597" s="29">
        <f>IF(IFERROR(Tabelle12[[#This Row],[Spiel]],0)=0,AF596+1,Tabelle12[[#This Row],[Spiel]])</f>
        <v>595</v>
      </c>
      <c r="AG597" s="29">
        <f>INDEX(Tabelle11[#All],Tabelle10[[#This Row],[Spalte1]]+14,Ranking!$AG$2)</f>
        <v>90.817185094326874</v>
      </c>
      <c r="AH597" s="29">
        <f>INDEX(Tabelle11[#All],Tabelle10[[#This Row],[Spalte1]]+14,$AH$2)</f>
        <v>96.700266280577438</v>
      </c>
      <c r="AI597" s="29">
        <f>INDEX(Tabelle11[#All],Tabelle10[[#This Row],[Spalte1]]+14,$AI$2)</f>
        <v>117.49978695184252</v>
      </c>
      <c r="AJ597" s="29">
        <f>INDEX(Tabelle11[#All],Tabelle10[[#This Row],[Spalte1]]+14,Ranking!$AJ$2)</f>
        <v>88.762543186332877</v>
      </c>
    </row>
    <row r="598" spans="32:36" x14ac:dyDescent="0.25">
      <c r="AF598" s="29">
        <f>IF(IFERROR(Tabelle12[[#This Row],[Spiel]],0)=0,AF597+1,Tabelle12[[#This Row],[Spiel]])</f>
        <v>596</v>
      </c>
      <c r="AG598" s="29">
        <f>INDEX(Tabelle11[#All],Tabelle10[[#This Row],[Spalte1]]+14,Ranking!$AG$2)</f>
        <v>90.817185094326874</v>
      </c>
      <c r="AH598" s="29">
        <f>INDEX(Tabelle11[#All],Tabelle10[[#This Row],[Spalte1]]+14,$AH$2)</f>
        <v>96.700266280577438</v>
      </c>
      <c r="AI598" s="29">
        <f>INDEX(Tabelle11[#All],Tabelle10[[#This Row],[Spalte1]]+14,$AI$2)</f>
        <v>117.49978695184252</v>
      </c>
      <c r="AJ598" s="29">
        <f>INDEX(Tabelle11[#All],Tabelle10[[#This Row],[Spalte1]]+14,Ranking!$AJ$2)</f>
        <v>88.762543186332877</v>
      </c>
    </row>
    <row r="599" spans="32:36" x14ac:dyDescent="0.25">
      <c r="AF599" s="29">
        <f>IF(IFERROR(Tabelle12[[#This Row],[Spiel]],0)=0,AF598+1,Tabelle12[[#This Row],[Spiel]])</f>
        <v>597</v>
      </c>
      <c r="AG599" s="29">
        <f>INDEX(Tabelle11[#All],Tabelle10[[#This Row],[Spalte1]]+14,Ranking!$AG$2)</f>
        <v>90.817185094326874</v>
      </c>
      <c r="AH599" s="29">
        <f>INDEX(Tabelle11[#All],Tabelle10[[#This Row],[Spalte1]]+14,$AH$2)</f>
        <v>96.700266280577438</v>
      </c>
      <c r="AI599" s="29">
        <f>INDEX(Tabelle11[#All],Tabelle10[[#This Row],[Spalte1]]+14,$AI$2)</f>
        <v>117.49978695184252</v>
      </c>
      <c r="AJ599" s="29">
        <f>INDEX(Tabelle11[#All],Tabelle10[[#This Row],[Spalte1]]+14,Ranking!$AJ$2)</f>
        <v>88.762543186332877</v>
      </c>
    </row>
    <row r="600" spans="32:36" x14ac:dyDescent="0.25">
      <c r="AF600" s="29">
        <f>IF(IFERROR(Tabelle12[[#This Row],[Spiel]],0)=0,AF599+1,Tabelle12[[#This Row],[Spiel]])</f>
        <v>598</v>
      </c>
      <c r="AG600" s="29">
        <f>INDEX(Tabelle11[#All],Tabelle10[[#This Row],[Spalte1]]+14,Ranking!$AG$2)</f>
        <v>90.817185094326874</v>
      </c>
      <c r="AH600" s="29">
        <f>INDEX(Tabelle11[#All],Tabelle10[[#This Row],[Spalte1]]+14,$AH$2)</f>
        <v>96.700266280577438</v>
      </c>
      <c r="AI600" s="29">
        <f>INDEX(Tabelle11[#All],Tabelle10[[#This Row],[Spalte1]]+14,$AI$2)</f>
        <v>117.49978695184252</v>
      </c>
      <c r="AJ600" s="29">
        <f>INDEX(Tabelle11[#All],Tabelle10[[#This Row],[Spalte1]]+14,Ranking!$AJ$2)</f>
        <v>88.762543186332877</v>
      </c>
    </row>
    <row r="601" spans="32:36" x14ac:dyDescent="0.25">
      <c r="AF601" s="29">
        <f>IF(IFERROR(Tabelle12[[#This Row],[Spiel]],0)=0,AF600+1,Tabelle12[[#This Row],[Spiel]])</f>
        <v>599</v>
      </c>
      <c r="AG601" s="29">
        <f>INDEX(Tabelle11[#All],Tabelle10[[#This Row],[Spalte1]]+14,Ranking!$AG$2)</f>
        <v>90.817185094326874</v>
      </c>
      <c r="AH601" s="29">
        <f>INDEX(Tabelle11[#All],Tabelle10[[#This Row],[Spalte1]]+14,$AH$2)</f>
        <v>96.700266280577438</v>
      </c>
      <c r="AI601" s="29">
        <f>INDEX(Tabelle11[#All],Tabelle10[[#This Row],[Spalte1]]+14,$AI$2)</f>
        <v>117.49978695184252</v>
      </c>
      <c r="AJ601" s="29">
        <f>INDEX(Tabelle11[#All],Tabelle10[[#This Row],[Spalte1]]+14,Ranking!$AJ$2)</f>
        <v>88.762543186332877</v>
      </c>
    </row>
    <row r="602" spans="32:36" x14ac:dyDescent="0.25">
      <c r="AF602" s="29">
        <f>IF(IFERROR(Tabelle12[[#This Row],[Spiel]],0)=0,AF601+1,Tabelle12[[#This Row],[Spiel]])</f>
        <v>600</v>
      </c>
      <c r="AG602" s="29">
        <f>INDEX(Tabelle11[#All],Tabelle10[[#This Row],[Spalte1]]+14,Ranking!$AG$2)</f>
        <v>90.817185094326874</v>
      </c>
      <c r="AH602" s="29">
        <f>INDEX(Tabelle11[#All],Tabelle10[[#This Row],[Spalte1]]+14,$AH$2)</f>
        <v>96.700266280577438</v>
      </c>
      <c r="AI602" s="29">
        <f>INDEX(Tabelle11[#All],Tabelle10[[#This Row],[Spalte1]]+14,$AI$2)</f>
        <v>117.49978695184252</v>
      </c>
      <c r="AJ602" s="29">
        <f>INDEX(Tabelle11[#All],Tabelle10[[#This Row],[Spalte1]]+14,Ranking!$AJ$2)</f>
        <v>88.762543186332877</v>
      </c>
    </row>
    <row r="603" spans="32:36" x14ac:dyDescent="0.25">
      <c r="AF603" s="29">
        <f>IF(IFERROR(Tabelle12[[#This Row],[Spiel]],0)=0,AF602+1,Tabelle12[[#This Row],[Spiel]])</f>
        <v>601</v>
      </c>
      <c r="AG603" s="29">
        <f>INDEX(Tabelle11[#All],Tabelle10[[#This Row],[Spalte1]]+14,Ranking!$AG$2)</f>
        <v>90.817185094326874</v>
      </c>
      <c r="AH603" s="29">
        <f>INDEX(Tabelle11[#All],Tabelle10[[#This Row],[Spalte1]]+14,$AH$2)</f>
        <v>96.700266280577438</v>
      </c>
      <c r="AI603" s="29">
        <f>INDEX(Tabelle11[#All],Tabelle10[[#This Row],[Spalte1]]+14,$AI$2)</f>
        <v>117.49978695184252</v>
      </c>
      <c r="AJ603" s="29">
        <f>INDEX(Tabelle11[#All],Tabelle10[[#This Row],[Spalte1]]+14,Ranking!$AJ$2)</f>
        <v>88.762543186332877</v>
      </c>
    </row>
    <row r="604" spans="32:36" x14ac:dyDescent="0.25">
      <c r="AF604" s="29">
        <f>IF(IFERROR(Tabelle12[[#This Row],[Spiel]],0)=0,AF603+1,Tabelle12[[#This Row],[Spiel]])</f>
        <v>602</v>
      </c>
      <c r="AG604" s="29">
        <f>INDEX(Tabelle11[#All],Tabelle10[[#This Row],[Spalte1]]+14,Ranking!$AG$2)</f>
        <v>90.817185094326874</v>
      </c>
      <c r="AH604" s="29">
        <f>INDEX(Tabelle11[#All],Tabelle10[[#This Row],[Spalte1]]+14,$AH$2)</f>
        <v>96.700266280577438</v>
      </c>
      <c r="AI604" s="29">
        <f>INDEX(Tabelle11[#All],Tabelle10[[#This Row],[Spalte1]]+14,$AI$2)</f>
        <v>117.49978695184252</v>
      </c>
      <c r="AJ604" s="29">
        <f>INDEX(Tabelle11[#All],Tabelle10[[#This Row],[Spalte1]]+14,Ranking!$AJ$2)</f>
        <v>88.762543186332877</v>
      </c>
    </row>
    <row r="605" spans="32:36" x14ac:dyDescent="0.25">
      <c r="AF605" s="29">
        <f>IF(IFERROR(Tabelle12[[#This Row],[Spiel]],0)=0,AF604+1,Tabelle12[[#This Row],[Spiel]])</f>
        <v>603</v>
      </c>
      <c r="AG605" s="29">
        <f>INDEX(Tabelle11[#All],Tabelle10[[#This Row],[Spalte1]]+14,Ranking!$AG$2)</f>
        <v>90.817185094326874</v>
      </c>
      <c r="AH605" s="29">
        <f>INDEX(Tabelle11[#All],Tabelle10[[#This Row],[Spalte1]]+14,$AH$2)</f>
        <v>96.700266280577438</v>
      </c>
      <c r="AI605" s="29">
        <f>INDEX(Tabelle11[#All],Tabelle10[[#This Row],[Spalte1]]+14,$AI$2)</f>
        <v>117.49978695184252</v>
      </c>
      <c r="AJ605" s="29">
        <f>INDEX(Tabelle11[#All],Tabelle10[[#This Row],[Spalte1]]+14,Ranking!$AJ$2)</f>
        <v>88.762543186332877</v>
      </c>
    </row>
    <row r="606" spans="32:36" x14ac:dyDescent="0.25">
      <c r="AF606" s="29">
        <f>IF(IFERROR(Tabelle12[[#This Row],[Spiel]],0)=0,AF605+1,Tabelle12[[#This Row],[Spiel]])</f>
        <v>604</v>
      </c>
      <c r="AG606" s="29">
        <f>INDEX(Tabelle11[#All],Tabelle10[[#This Row],[Spalte1]]+14,Ranking!$AG$2)</f>
        <v>90.817185094326874</v>
      </c>
      <c r="AH606" s="29">
        <f>INDEX(Tabelle11[#All],Tabelle10[[#This Row],[Spalte1]]+14,$AH$2)</f>
        <v>96.700266280577438</v>
      </c>
      <c r="AI606" s="29">
        <f>INDEX(Tabelle11[#All],Tabelle10[[#This Row],[Spalte1]]+14,$AI$2)</f>
        <v>117.49978695184252</v>
      </c>
      <c r="AJ606" s="29">
        <f>INDEX(Tabelle11[#All],Tabelle10[[#This Row],[Spalte1]]+14,Ranking!$AJ$2)</f>
        <v>88.762543186332877</v>
      </c>
    </row>
    <row r="607" spans="32:36" x14ac:dyDescent="0.25">
      <c r="AF607" s="29">
        <f>IF(IFERROR(Tabelle12[[#This Row],[Spiel]],0)=0,AF606+1,Tabelle12[[#This Row],[Spiel]])</f>
        <v>605</v>
      </c>
      <c r="AG607" s="29">
        <f>INDEX(Tabelle11[#All],Tabelle10[[#This Row],[Spalte1]]+14,Ranking!$AG$2)</f>
        <v>90.817185094326874</v>
      </c>
      <c r="AH607" s="29">
        <f>INDEX(Tabelle11[#All],Tabelle10[[#This Row],[Spalte1]]+14,$AH$2)</f>
        <v>96.700266280577438</v>
      </c>
      <c r="AI607" s="29">
        <f>INDEX(Tabelle11[#All],Tabelle10[[#This Row],[Spalte1]]+14,$AI$2)</f>
        <v>117.49978695184252</v>
      </c>
      <c r="AJ607" s="29">
        <f>INDEX(Tabelle11[#All],Tabelle10[[#This Row],[Spalte1]]+14,Ranking!$AJ$2)</f>
        <v>88.762543186332877</v>
      </c>
    </row>
    <row r="608" spans="32:36" x14ac:dyDescent="0.25">
      <c r="AF608" s="29">
        <f>IF(IFERROR(Tabelle12[[#This Row],[Spiel]],0)=0,AF607+1,Tabelle12[[#This Row],[Spiel]])</f>
        <v>606</v>
      </c>
      <c r="AG608" s="29">
        <f>INDEX(Tabelle11[#All],Tabelle10[[#This Row],[Spalte1]]+14,Ranking!$AG$2)</f>
        <v>90.817185094326874</v>
      </c>
      <c r="AH608" s="29">
        <f>INDEX(Tabelle11[#All],Tabelle10[[#This Row],[Spalte1]]+14,$AH$2)</f>
        <v>96.700266280577438</v>
      </c>
      <c r="AI608" s="29">
        <f>INDEX(Tabelle11[#All],Tabelle10[[#This Row],[Spalte1]]+14,$AI$2)</f>
        <v>117.49978695184252</v>
      </c>
      <c r="AJ608" s="29">
        <f>INDEX(Tabelle11[#All],Tabelle10[[#This Row],[Spalte1]]+14,Ranking!$AJ$2)</f>
        <v>88.762543186332877</v>
      </c>
    </row>
    <row r="609" spans="32:36" x14ac:dyDescent="0.25">
      <c r="AF609" s="29">
        <f>IF(IFERROR(Tabelle12[[#This Row],[Spiel]],0)=0,AF608+1,Tabelle12[[#This Row],[Spiel]])</f>
        <v>607</v>
      </c>
      <c r="AG609" s="29">
        <f>INDEX(Tabelle11[#All],Tabelle10[[#This Row],[Spalte1]]+14,Ranking!$AG$2)</f>
        <v>90.817185094326874</v>
      </c>
      <c r="AH609" s="29">
        <f>INDEX(Tabelle11[#All],Tabelle10[[#This Row],[Spalte1]]+14,$AH$2)</f>
        <v>96.700266280577438</v>
      </c>
      <c r="AI609" s="29">
        <f>INDEX(Tabelle11[#All],Tabelle10[[#This Row],[Spalte1]]+14,$AI$2)</f>
        <v>117.49978695184252</v>
      </c>
      <c r="AJ609" s="29">
        <f>INDEX(Tabelle11[#All],Tabelle10[[#This Row],[Spalte1]]+14,Ranking!$AJ$2)</f>
        <v>88.762543186332877</v>
      </c>
    </row>
    <row r="610" spans="32:36" x14ac:dyDescent="0.25">
      <c r="AF610" s="29">
        <f>IF(IFERROR(Tabelle12[[#This Row],[Spiel]],0)=0,AF609+1,Tabelle12[[#This Row],[Spiel]])</f>
        <v>608</v>
      </c>
      <c r="AG610" s="29">
        <f>INDEX(Tabelle11[#All],Tabelle10[[#This Row],[Spalte1]]+14,Ranking!$AG$2)</f>
        <v>90.817185094326874</v>
      </c>
      <c r="AH610" s="29">
        <f>INDEX(Tabelle11[#All],Tabelle10[[#This Row],[Spalte1]]+14,$AH$2)</f>
        <v>96.700266280577438</v>
      </c>
      <c r="AI610" s="29">
        <f>INDEX(Tabelle11[#All],Tabelle10[[#This Row],[Spalte1]]+14,$AI$2)</f>
        <v>117.49978695184252</v>
      </c>
      <c r="AJ610" s="29">
        <f>INDEX(Tabelle11[#All],Tabelle10[[#This Row],[Spalte1]]+14,Ranking!$AJ$2)</f>
        <v>88.762543186332877</v>
      </c>
    </row>
    <row r="611" spans="32:36" x14ac:dyDescent="0.25">
      <c r="AF611" s="29">
        <f>IF(IFERROR(Tabelle12[[#This Row],[Spiel]],0)=0,AF610+1,Tabelle12[[#This Row],[Spiel]])</f>
        <v>609</v>
      </c>
      <c r="AG611" s="29">
        <f>INDEX(Tabelle11[#All],Tabelle10[[#This Row],[Spalte1]]+14,Ranking!$AG$2)</f>
        <v>90.817185094326874</v>
      </c>
      <c r="AH611" s="29">
        <f>INDEX(Tabelle11[#All],Tabelle10[[#This Row],[Spalte1]]+14,$AH$2)</f>
        <v>96.700266280577438</v>
      </c>
      <c r="AI611" s="29">
        <f>INDEX(Tabelle11[#All],Tabelle10[[#This Row],[Spalte1]]+14,$AI$2)</f>
        <v>117.49978695184252</v>
      </c>
      <c r="AJ611" s="29">
        <f>INDEX(Tabelle11[#All],Tabelle10[[#This Row],[Spalte1]]+14,Ranking!$AJ$2)</f>
        <v>88.762543186332877</v>
      </c>
    </row>
    <row r="612" spans="32:36" x14ac:dyDescent="0.25">
      <c r="AF612" s="29">
        <f>IF(IFERROR(Tabelle12[[#This Row],[Spiel]],0)=0,AF611+1,Tabelle12[[#This Row],[Spiel]])</f>
        <v>610</v>
      </c>
      <c r="AG612" s="29">
        <f>INDEX(Tabelle11[#All],Tabelle10[[#This Row],[Spalte1]]+14,Ranking!$AG$2)</f>
        <v>90.817185094326874</v>
      </c>
      <c r="AH612" s="29">
        <f>INDEX(Tabelle11[#All],Tabelle10[[#This Row],[Spalte1]]+14,$AH$2)</f>
        <v>96.700266280577438</v>
      </c>
      <c r="AI612" s="29">
        <f>INDEX(Tabelle11[#All],Tabelle10[[#This Row],[Spalte1]]+14,$AI$2)</f>
        <v>117.49978695184252</v>
      </c>
      <c r="AJ612" s="29">
        <f>INDEX(Tabelle11[#All],Tabelle10[[#This Row],[Spalte1]]+14,Ranking!$AJ$2)</f>
        <v>88.762543186332877</v>
      </c>
    </row>
    <row r="613" spans="32:36" x14ac:dyDescent="0.25">
      <c r="AF613" s="29">
        <f>IF(IFERROR(Tabelle12[[#This Row],[Spiel]],0)=0,AF612+1,Tabelle12[[#This Row],[Spiel]])</f>
        <v>611</v>
      </c>
      <c r="AG613" s="29">
        <f>INDEX(Tabelle11[#All],Tabelle10[[#This Row],[Spalte1]]+14,Ranking!$AG$2)</f>
        <v>90.817185094326874</v>
      </c>
      <c r="AH613" s="29">
        <f>INDEX(Tabelle11[#All],Tabelle10[[#This Row],[Spalte1]]+14,$AH$2)</f>
        <v>96.700266280577438</v>
      </c>
      <c r="AI613" s="29">
        <f>INDEX(Tabelle11[#All],Tabelle10[[#This Row],[Spalte1]]+14,$AI$2)</f>
        <v>117.49978695184252</v>
      </c>
      <c r="AJ613" s="29">
        <f>INDEX(Tabelle11[#All],Tabelle10[[#This Row],[Spalte1]]+14,Ranking!$AJ$2)</f>
        <v>88.762543186332877</v>
      </c>
    </row>
    <row r="614" spans="32:36" x14ac:dyDescent="0.25">
      <c r="AF614" s="29">
        <f>IF(IFERROR(Tabelle12[[#This Row],[Spiel]],0)=0,AF613+1,Tabelle12[[#This Row],[Spiel]])</f>
        <v>612</v>
      </c>
      <c r="AG614" s="29">
        <f>INDEX(Tabelle11[#All],Tabelle10[[#This Row],[Spalte1]]+14,Ranking!$AG$2)</f>
        <v>90.817185094326874</v>
      </c>
      <c r="AH614" s="29">
        <f>INDEX(Tabelle11[#All],Tabelle10[[#This Row],[Spalte1]]+14,$AH$2)</f>
        <v>96.700266280577438</v>
      </c>
      <c r="AI614" s="29">
        <f>INDEX(Tabelle11[#All],Tabelle10[[#This Row],[Spalte1]]+14,$AI$2)</f>
        <v>117.49978695184252</v>
      </c>
      <c r="AJ614" s="29">
        <f>INDEX(Tabelle11[#All],Tabelle10[[#This Row],[Spalte1]]+14,Ranking!$AJ$2)</f>
        <v>88.762543186332877</v>
      </c>
    </row>
    <row r="615" spans="32:36" x14ac:dyDescent="0.25">
      <c r="AF615" s="29">
        <f>IF(IFERROR(Tabelle12[[#This Row],[Spiel]],0)=0,AF614+1,Tabelle12[[#This Row],[Spiel]])</f>
        <v>613</v>
      </c>
      <c r="AG615" s="29">
        <f>INDEX(Tabelle11[#All],Tabelle10[[#This Row],[Spalte1]]+14,Ranking!$AG$2)</f>
        <v>90.817185094326874</v>
      </c>
      <c r="AH615" s="29">
        <f>INDEX(Tabelle11[#All],Tabelle10[[#This Row],[Spalte1]]+14,$AH$2)</f>
        <v>96.700266280577438</v>
      </c>
      <c r="AI615" s="29">
        <f>INDEX(Tabelle11[#All],Tabelle10[[#This Row],[Spalte1]]+14,$AI$2)</f>
        <v>117.49978695184252</v>
      </c>
      <c r="AJ615" s="29">
        <f>INDEX(Tabelle11[#All],Tabelle10[[#This Row],[Spalte1]]+14,Ranking!$AJ$2)</f>
        <v>88.762543186332877</v>
      </c>
    </row>
    <row r="616" spans="32:36" x14ac:dyDescent="0.25">
      <c r="AF616" s="29">
        <f>IF(IFERROR(Tabelle12[[#This Row],[Spiel]],0)=0,AF615+1,Tabelle12[[#This Row],[Spiel]])</f>
        <v>614</v>
      </c>
      <c r="AG616" s="29">
        <f>INDEX(Tabelle11[#All],Tabelle10[[#This Row],[Spalte1]]+14,Ranking!$AG$2)</f>
        <v>90.817185094326874</v>
      </c>
      <c r="AH616" s="29">
        <f>INDEX(Tabelle11[#All],Tabelle10[[#This Row],[Spalte1]]+14,$AH$2)</f>
        <v>96.700266280577438</v>
      </c>
      <c r="AI616" s="29">
        <f>INDEX(Tabelle11[#All],Tabelle10[[#This Row],[Spalte1]]+14,$AI$2)</f>
        <v>117.49978695184252</v>
      </c>
      <c r="AJ616" s="29">
        <f>INDEX(Tabelle11[#All],Tabelle10[[#This Row],[Spalte1]]+14,Ranking!$AJ$2)</f>
        <v>88.762543186332877</v>
      </c>
    </row>
    <row r="617" spans="32:36" x14ac:dyDescent="0.25">
      <c r="AF617" s="29">
        <f>IF(IFERROR(Tabelle12[[#This Row],[Spiel]],0)=0,AF616+1,Tabelle12[[#This Row],[Spiel]])</f>
        <v>615</v>
      </c>
      <c r="AG617" s="29">
        <f>INDEX(Tabelle11[#All],Tabelle10[[#This Row],[Spalte1]]+14,Ranking!$AG$2)</f>
        <v>90.817185094326874</v>
      </c>
      <c r="AH617" s="29">
        <f>INDEX(Tabelle11[#All],Tabelle10[[#This Row],[Spalte1]]+14,$AH$2)</f>
        <v>96.700266280577438</v>
      </c>
      <c r="AI617" s="29">
        <f>INDEX(Tabelle11[#All],Tabelle10[[#This Row],[Spalte1]]+14,$AI$2)</f>
        <v>117.49978695184252</v>
      </c>
      <c r="AJ617" s="29">
        <f>INDEX(Tabelle11[#All],Tabelle10[[#This Row],[Spalte1]]+14,Ranking!$AJ$2)</f>
        <v>88.762543186332877</v>
      </c>
    </row>
    <row r="618" spans="32:36" x14ac:dyDescent="0.25">
      <c r="AF618" s="29">
        <f>IF(IFERROR(Tabelle12[[#This Row],[Spiel]],0)=0,AF617+1,Tabelle12[[#This Row],[Spiel]])</f>
        <v>616</v>
      </c>
      <c r="AG618" s="29">
        <f>INDEX(Tabelle11[#All],Tabelle10[[#This Row],[Spalte1]]+14,Ranking!$AG$2)</f>
        <v>90.817185094326874</v>
      </c>
      <c r="AH618" s="29">
        <f>INDEX(Tabelle11[#All],Tabelle10[[#This Row],[Spalte1]]+14,$AH$2)</f>
        <v>96.700266280577438</v>
      </c>
      <c r="AI618" s="29">
        <f>INDEX(Tabelle11[#All],Tabelle10[[#This Row],[Spalte1]]+14,$AI$2)</f>
        <v>117.49978695184252</v>
      </c>
      <c r="AJ618" s="29">
        <f>INDEX(Tabelle11[#All],Tabelle10[[#This Row],[Spalte1]]+14,Ranking!$AJ$2)</f>
        <v>88.762543186332877</v>
      </c>
    </row>
    <row r="619" spans="32:36" x14ac:dyDescent="0.25">
      <c r="AF619" s="29">
        <f>IF(IFERROR(Tabelle12[[#This Row],[Spiel]],0)=0,AF618+1,Tabelle12[[#This Row],[Spiel]])</f>
        <v>617</v>
      </c>
      <c r="AG619" s="29">
        <f>INDEX(Tabelle11[#All],Tabelle10[[#This Row],[Spalte1]]+14,Ranking!$AG$2)</f>
        <v>90.817185094326874</v>
      </c>
      <c r="AH619" s="29">
        <f>INDEX(Tabelle11[#All],Tabelle10[[#This Row],[Spalte1]]+14,$AH$2)</f>
        <v>96.700266280577438</v>
      </c>
      <c r="AI619" s="29">
        <f>INDEX(Tabelle11[#All],Tabelle10[[#This Row],[Spalte1]]+14,$AI$2)</f>
        <v>117.49978695184252</v>
      </c>
      <c r="AJ619" s="29">
        <f>INDEX(Tabelle11[#All],Tabelle10[[#This Row],[Spalte1]]+14,Ranking!$AJ$2)</f>
        <v>88.762543186332877</v>
      </c>
    </row>
    <row r="620" spans="32:36" x14ac:dyDescent="0.25">
      <c r="AF620" s="29">
        <f>IF(IFERROR(Tabelle12[[#This Row],[Spiel]],0)=0,AF619+1,Tabelle12[[#This Row],[Spiel]])</f>
        <v>618</v>
      </c>
      <c r="AG620" s="29">
        <f>INDEX(Tabelle11[#All],Tabelle10[[#This Row],[Spalte1]]+14,Ranking!$AG$2)</f>
        <v>90.817185094326874</v>
      </c>
      <c r="AH620" s="29">
        <f>INDEX(Tabelle11[#All],Tabelle10[[#This Row],[Spalte1]]+14,$AH$2)</f>
        <v>96.700266280577438</v>
      </c>
      <c r="AI620" s="29">
        <f>INDEX(Tabelle11[#All],Tabelle10[[#This Row],[Spalte1]]+14,$AI$2)</f>
        <v>117.49978695184252</v>
      </c>
      <c r="AJ620" s="29">
        <f>INDEX(Tabelle11[#All],Tabelle10[[#This Row],[Spalte1]]+14,Ranking!$AJ$2)</f>
        <v>88.762543186332877</v>
      </c>
    </row>
    <row r="621" spans="32:36" x14ac:dyDescent="0.25">
      <c r="AF621" s="29">
        <f>IF(IFERROR(Tabelle12[[#This Row],[Spiel]],0)=0,AF620+1,Tabelle12[[#This Row],[Spiel]])</f>
        <v>619</v>
      </c>
      <c r="AG621" s="29">
        <f>INDEX(Tabelle11[#All],Tabelle10[[#This Row],[Spalte1]]+14,Ranking!$AG$2)</f>
        <v>90.817185094326874</v>
      </c>
      <c r="AH621" s="29">
        <f>INDEX(Tabelle11[#All],Tabelle10[[#This Row],[Spalte1]]+14,$AH$2)</f>
        <v>96.700266280577438</v>
      </c>
      <c r="AI621" s="29">
        <f>INDEX(Tabelle11[#All],Tabelle10[[#This Row],[Spalte1]]+14,$AI$2)</f>
        <v>117.49978695184252</v>
      </c>
      <c r="AJ621" s="29">
        <f>INDEX(Tabelle11[#All],Tabelle10[[#This Row],[Spalte1]]+14,Ranking!$AJ$2)</f>
        <v>88.762543186332877</v>
      </c>
    </row>
    <row r="622" spans="32:36" x14ac:dyDescent="0.25">
      <c r="AF622" s="29">
        <f>IF(IFERROR(Tabelle12[[#This Row],[Spiel]],0)=0,AF621+1,Tabelle12[[#This Row],[Spiel]])</f>
        <v>620</v>
      </c>
      <c r="AG622" s="29">
        <f>INDEX(Tabelle11[#All],Tabelle10[[#This Row],[Spalte1]]+14,Ranking!$AG$2)</f>
        <v>90.817185094326874</v>
      </c>
      <c r="AH622" s="29">
        <f>INDEX(Tabelle11[#All],Tabelle10[[#This Row],[Spalte1]]+14,$AH$2)</f>
        <v>96.700266280577438</v>
      </c>
      <c r="AI622" s="29">
        <f>INDEX(Tabelle11[#All],Tabelle10[[#This Row],[Spalte1]]+14,$AI$2)</f>
        <v>117.49978695184252</v>
      </c>
      <c r="AJ622" s="29">
        <f>INDEX(Tabelle11[#All],Tabelle10[[#This Row],[Spalte1]]+14,Ranking!$AJ$2)</f>
        <v>88.762543186332877</v>
      </c>
    </row>
    <row r="623" spans="32:36" x14ac:dyDescent="0.25">
      <c r="AF623" s="29">
        <f>IF(IFERROR(Tabelle12[[#This Row],[Spiel]],0)=0,AF622+1,Tabelle12[[#This Row],[Spiel]])</f>
        <v>621</v>
      </c>
      <c r="AG623" s="29">
        <f>INDEX(Tabelle11[#All],Tabelle10[[#This Row],[Spalte1]]+14,Ranking!$AG$2)</f>
        <v>90.817185094326874</v>
      </c>
      <c r="AH623" s="29">
        <f>INDEX(Tabelle11[#All],Tabelle10[[#This Row],[Spalte1]]+14,$AH$2)</f>
        <v>96.700266280577438</v>
      </c>
      <c r="AI623" s="29">
        <f>INDEX(Tabelle11[#All],Tabelle10[[#This Row],[Spalte1]]+14,$AI$2)</f>
        <v>117.49978695184252</v>
      </c>
      <c r="AJ623" s="29">
        <f>INDEX(Tabelle11[#All],Tabelle10[[#This Row],[Spalte1]]+14,Ranking!$AJ$2)</f>
        <v>88.762543186332877</v>
      </c>
    </row>
    <row r="624" spans="32:36" x14ac:dyDescent="0.25">
      <c r="AF624" s="29">
        <f>IF(IFERROR(Tabelle12[[#This Row],[Spiel]],0)=0,AF623+1,Tabelle12[[#This Row],[Spiel]])</f>
        <v>622</v>
      </c>
      <c r="AG624" s="29">
        <f>INDEX(Tabelle11[#All],Tabelle10[[#This Row],[Spalte1]]+14,Ranking!$AG$2)</f>
        <v>90.817185094326874</v>
      </c>
      <c r="AH624" s="29">
        <f>INDEX(Tabelle11[#All],Tabelle10[[#This Row],[Spalte1]]+14,$AH$2)</f>
        <v>96.700266280577438</v>
      </c>
      <c r="AI624" s="29">
        <f>INDEX(Tabelle11[#All],Tabelle10[[#This Row],[Spalte1]]+14,$AI$2)</f>
        <v>117.49978695184252</v>
      </c>
      <c r="AJ624" s="29">
        <f>INDEX(Tabelle11[#All],Tabelle10[[#This Row],[Spalte1]]+14,Ranking!$AJ$2)</f>
        <v>88.762543186332877</v>
      </c>
    </row>
    <row r="625" spans="32:36" x14ac:dyDescent="0.25">
      <c r="AF625" s="29">
        <f>IF(IFERROR(Tabelle12[[#This Row],[Spiel]],0)=0,AF624+1,Tabelle12[[#This Row],[Spiel]])</f>
        <v>623</v>
      </c>
      <c r="AG625" s="29">
        <f>INDEX(Tabelle11[#All],Tabelle10[[#This Row],[Spalte1]]+14,Ranking!$AG$2)</f>
        <v>90.817185094326874</v>
      </c>
      <c r="AH625" s="29">
        <f>INDEX(Tabelle11[#All],Tabelle10[[#This Row],[Spalte1]]+14,$AH$2)</f>
        <v>96.700266280577438</v>
      </c>
      <c r="AI625" s="29">
        <f>INDEX(Tabelle11[#All],Tabelle10[[#This Row],[Spalte1]]+14,$AI$2)</f>
        <v>117.49978695184252</v>
      </c>
      <c r="AJ625" s="29">
        <f>INDEX(Tabelle11[#All],Tabelle10[[#This Row],[Spalte1]]+14,Ranking!$AJ$2)</f>
        <v>88.762543186332877</v>
      </c>
    </row>
    <row r="626" spans="32:36" x14ac:dyDescent="0.25">
      <c r="AF626" s="29">
        <f>IF(IFERROR(Tabelle12[[#This Row],[Spiel]],0)=0,AF625+1,Tabelle12[[#This Row],[Spiel]])</f>
        <v>624</v>
      </c>
      <c r="AG626" s="29">
        <f>INDEX(Tabelle11[#All],Tabelle10[[#This Row],[Spalte1]]+14,Ranking!$AG$2)</f>
        <v>90.817185094326874</v>
      </c>
      <c r="AH626" s="29">
        <f>INDEX(Tabelle11[#All],Tabelle10[[#This Row],[Spalte1]]+14,$AH$2)</f>
        <v>96.700266280577438</v>
      </c>
      <c r="AI626" s="29">
        <f>INDEX(Tabelle11[#All],Tabelle10[[#This Row],[Spalte1]]+14,$AI$2)</f>
        <v>117.49978695184252</v>
      </c>
      <c r="AJ626" s="29">
        <f>INDEX(Tabelle11[#All],Tabelle10[[#This Row],[Spalte1]]+14,Ranking!$AJ$2)</f>
        <v>88.762543186332877</v>
      </c>
    </row>
    <row r="627" spans="32:36" x14ac:dyDescent="0.25">
      <c r="AF627" s="29">
        <f>IF(IFERROR(Tabelle12[[#This Row],[Spiel]],0)=0,AF626+1,Tabelle12[[#This Row],[Spiel]])</f>
        <v>625</v>
      </c>
      <c r="AG627" s="29">
        <f>INDEX(Tabelle11[#All],Tabelle10[[#This Row],[Spalte1]]+14,Ranking!$AG$2)</f>
        <v>90.817185094326874</v>
      </c>
      <c r="AH627" s="29">
        <f>INDEX(Tabelle11[#All],Tabelle10[[#This Row],[Spalte1]]+14,$AH$2)</f>
        <v>96.700266280577438</v>
      </c>
      <c r="AI627" s="29">
        <f>INDEX(Tabelle11[#All],Tabelle10[[#This Row],[Spalte1]]+14,$AI$2)</f>
        <v>117.49978695184252</v>
      </c>
      <c r="AJ627" s="29">
        <f>INDEX(Tabelle11[#All],Tabelle10[[#This Row],[Spalte1]]+14,Ranking!$AJ$2)</f>
        <v>88.762543186332877</v>
      </c>
    </row>
    <row r="628" spans="32:36" x14ac:dyDescent="0.25">
      <c r="AF628" s="29">
        <f>IF(IFERROR(Tabelle12[[#This Row],[Spiel]],0)=0,AF627+1,Tabelle12[[#This Row],[Spiel]])</f>
        <v>626</v>
      </c>
      <c r="AG628" s="29">
        <f>INDEX(Tabelle11[#All],Tabelle10[[#This Row],[Spalte1]]+14,Ranking!$AG$2)</f>
        <v>90.817185094326874</v>
      </c>
      <c r="AH628" s="29">
        <f>INDEX(Tabelle11[#All],Tabelle10[[#This Row],[Spalte1]]+14,$AH$2)</f>
        <v>96.700266280577438</v>
      </c>
      <c r="AI628" s="29">
        <f>INDEX(Tabelle11[#All],Tabelle10[[#This Row],[Spalte1]]+14,$AI$2)</f>
        <v>117.49978695184252</v>
      </c>
      <c r="AJ628" s="29">
        <f>INDEX(Tabelle11[#All],Tabelle10[[#This Row],[Spalte1]]+14,Ranking!$AJ$2)</f>
        <v>88.762543186332877</v>
      </c>
    </row>
    <row r="629" spans="32:36" x14ac:dyDescent="0.25">
      <c r="AF629" s="29">
        <f>IF(IFERROR(Tabelle12[[#This Row],[Spiel]],0)=0,AF628+1,Tabelle12[[#This Row],[Spiel]])</f>
        <v>627</v>
      </c>
      <c r="AG629" s="29">
        <f>INDEX(Tabelle11[#All],Tabelle10[[#This Row],[Spalte1]]+14,Ranking!$AG$2)</f>
        <v>90.817185094326874</v>
      </c>
      <c r="AH629" s="29">
        <f>INDEX(Tabelle11[#All],Tabelle10[[#This Row],[Spalte1]]+14,$AH$2)</f>
        <v>96.700266280577438</v>
      </c>
      <c r="AI629" s="29">
        <f>INDEX(Tabelle11[#All],Tabelle10[[#This Row],[Spalte1]]+14,$AI$2)</f>
        <v>117.49978695184252</v>
      </c>
      <c r="AJ629" s="29">
        <f>INDEX(Tabelle11[#All],Tabelle10[[#This Row],[Spalte1]]+14,Ranking!$AJ$2)</f>
        <v>88.762543186332877</v>
      </c>
    </row>
    <row r="630" spans="32:36" x14ac:dyDescent="0.25">
      <c r="AF630" s="29">
        <f>IF(IFERROR(Tabelle12[[#This Row],[Spiel]],0)=0,AF629+1,Tabelle12[[#This Row],[Spiel]])</f>
        <v>628</v>
      </c>
      <c r="AG630" s="29">
        <f>INDEX(Tabelle11[#All],Tabelle10[[#This Row],[Spalte1]]+14,Ranking!$AG$2)</f>
        <v>90.817185094326874</v>
      </c>
      <c r="AH630" s="29">
        <f>INDEX(Tabelle11[#All],Tabelle10[[#This Row],[Spalte1]]+14,$AH$2)</f>
        <v>96.700266280577438</v>
      </c>
      <c r="AI630" s="29">
        <f>INDEX(Tabelle11[#All],Tabelle10[[#This Row],[Spalte1]]+14,$AI$2)</f>
        <v>117.49978695184252</v>
      </c>
      <c r="AJ630" s="29">
        <f>INDEX(Tabelle11[#All],Tabelle10[[#This Row],[Spalte1]]+14,Ranking!$AJ$2)</f>
        <v>88.762543186332877</v>
      </c>
    </row>
    <row r="631" spans="32:36" x14ac:dyDescent="0.25">
      <c r="AF631" s="29">
        <f>IF(IFERROR(Tabelle12[[#This Row],[Spiel]],0)=0,AF630+1,Tabelle12[[#This Row],[Spiel]])</f>
        <v>629</v>
      </c>
      <c r="AG631" s="29">
        <f>INDEX(Tabelle11[#All],Tabelle10[[#This Row],[Spalte1]]+14,Ranking!$AG$2)</f>
        <v>90.817185094326874</v>
      </c>
      <c r="AH631" s="29">
        <f>INDEX(Tabelle11[#All],Tabelle10[[#This Row],[Spalte1]]+14,$AH$2)</f>
        <v>96.700266280577438</v>
      </c>
      <c r="AI631" s="29">
        <f>INDEX(Tabelle11[#All],Tabelle10[[#This Row],[Spalte1]]+14,$AI$2)</f>
        <v>117.49978695184252</v>
      </c>
      <c r="AJ631" s="29">
        <f>INDEX(Tabelle11[#All],Tabelle10[[#This Row],[Spalte1]]+14,Ranking!$AJ$2)</f>
        <v>88.762543186332877</v>
      </c>
    </row>
    <row r="632" spans="32:36" x14ac:dyDescent="0.25">
      <c r="AF632" s="29">
        <f>IF(IFERROR(Tabelle12[[#This Row],[Spiel]],0)=0,AF631+1,Tabelle12[[#This Row],[Spiel]])</f>
        <v>630</v>
      </c>
      <c r="AG632" s="29">
        <f>INDEX(Tabelle11[#All],Tabelle10[[#This Row],[Spalte1]]+14,Ranking!$AG$2)</f>
        <v>90.817185094326874</v>
      </c>
      <c r="AH632" s="29">
        <f>INDEX(Tabelle11[#All],Tabelle10[[#This Row],[Spalte1]]+14,$AH$2)</f>
        <v>96.700266280577438</v>
      </c>
      <c r="AI632" s="29">
        <f>INDEX(Tabelle11[#All],Tabelle10[[#This Row],[Spalte1]]+14,$AI$2)</f>
        <v>117.49978695184252</v>
      </c>
      <c r="AJ632" s="29">
        <f>INDEX(Tabelle11[#All],Tabelle10[[#This Row],[Spalte1]]+14,Ranking!$AJ$2)</f>
        <v>88.762543186332877</v>
      </c>
    </row>
    <row r="633" spans="32:36" x14ac:dyDescent="0.25">
      <c r="AF633" s="29">
        <f>IF(IFERROR(Tabelle12[[#This Row],[Spiel]],0)=0,AF632+1,Tabelle12[[#This Row],[Spiel]])</f>
        <v>631</v>
      </c>
      <c r="AG633" s="29">
        <f>INDEX(Tabelle11[#All],Tabelle10[[#This Row],[Spalte1]]+14,Ranking!$AG$2)</f>
        <v>90.817185094326874</v>
      </c>
      <c r="AH633" s="29">
        <f>INDEX(Tabelle11[#All],Tabelle10[[#This Row],[Spalte1]]+14,$AH$2)</f>
        <v>96.700266280577438</v>
      </c>
      <c r="AI633" s="29">
        <f>INDEX(Tabelle11[#All],Tabelle10[[#This Row],[Spalte1]]+14,$AI$2)</f>
        <v>117.49978695184252</v>
      </c>
      <c r="AJ633" s="29">
        <f>INDEX(Tabelle11[#All],Tabelle10[[#This Row],[Spalte1]]+14,Ranking!$AJ$2)</f>
        <v>88.762543186332877</v>
      </c>
    </row>
    <row r="634" spans="32:36" x14ac:dyDescent="0.25">
      <c r="AF634" s="29">
        <f>IF(IFERROR(Tabelle12[[#This Row],[Spiel]],0)=0,AF633+1,Tabelle12[[#This Row],[Spiel]])</f>
        <v>632</v>
      </c>
      <c r="AG634" s="29">
        <f>INDEX(Tabelle11[#All],Tabelle10[[#This Row],[Spalte1]]+14,Ranking!$AG$2)</f>
        <v>90.817185094326874</v>
      </c>
      <c r="AH634" s="29">
        <f>INDEX(Tabelle11[#All],Tabelle10[[#This Row],[Spalte1]]+14,$AH$2)</f>
        <v>96.700266280577438</v>
      </c>
      <c r="AI634" s="29">
        <f>INDEX(Tabelle11[#All],Tabelle10[[#This Row],[Spalte1]]+14,$AI$2)</f>
        <v>117.49978695184252</v>
      </c>
      <c r="AJ634" s="29">
        <f>INDEX(Tabelle11[#All],Tabelle10[[#This Row],[Spalte1]]+14,Ranking!$AJ$2)</f>
        <v>88.762543186332877</v>
      </c>
    </row>
    <row r="635" spans="32:36" x14ac:dyDescent="0.25">
      <c r="AF635" s="29">
        <f>IF(IFERROR(Tabelle12[[#This Row],[Spiel]],0)=0,AF634+1,Tabelle12[[#This Row],[Spiel]])</f>
        <v>633</v>
      </c>
      <c r="AG635" s="29">
        <f>INDEX(Tabelle11[#All],Tabelle10[[#This Row],[Spalte1]]+14,Ranking!$AG$2)</f>
        <v>90.817185094326874</v>
      </c>
      <c r="AH635" s="29">
        <f>INDEX(Tabelle11[#All],Tabelle10[[#This Row],[Spalte1]]+14,$AH$2)</f>
        <v>96.700266280577438</v>
      </c>
      <c r="AI635" s="29">
        <f>INDEX(Tabelle11[#All],Tabelle10[[#This Row],[Spalte1]]+14,$AI$2)</f>
        <v>117.49978695184252</v>
      </c>
      <c r="AJ635" s="29">
        <f>INDEX(Tabelle11[#All],Tabelle10[[#This Row],[Spalte1]]+14,Ranking!$AJ$2)</f>
        <v>88.762543186332877</v>
      </c>
    </row>
    <row r="636" spans="32:36" x14ac:dyDescent="0.25">
      <c r="AF636" s="29">
        <f>IF(IFERROR(Tabelle12[[#This Row],[Spiel]],0)=0,AF635+1,Tabelle12[[#This Row],[Spiel]])</f>
        <v>634</v>
      </c>
      <c r="AG636" s="29">
        <f>INDEX(Tabelle11[#All],Tabelle10[[#This Row],[Spalte1]]+14,Ranking!$AG$2)</f>
        <v>90.817185094326874</v>
      </c>
      <c r="AH636" s="29">
        <f>INDEX(Tabelle11[#All],Tabelle10[[#This Row],[Spalte1]]+14,$AH$2)</f>
        <v>96.700266280577438</v>
      </c>
      <c r="AI636" s="29">
        <f>INDEX(Tabelle11[#All],Tabelle10[[#This Row],[Spalte1]]+14,$AI$2)</f>
        <v>117.49978695184252</v>
      </c>
      <c r="AJ636" s="29">
        <f>INDEX(Tabelle11[#All],Tabelle10[[#This Row],[Spalte1]]+14,Ranking!$AJ$2)</f>
        <v>88.762543186332877</v>
      </c>
    </row>
    <row r="637" spans="32:36" x14ac:dyDescent="0.25">
      <c r="AF637" s="29">
        <f>IF(IFERROR(Tabelle12[[#This Row],[Spiel]],0)=0,AF636+1,Tabelle12[[#This Row],[Spiel]])</f>
        <v>635</v>
      </c>
      <c r="AG637" s="29">
        <f>INDEX(Tabelle11[#All],Tabelle10[[#This Row],[Spalte1]]+14,Ranking!$AG$2)</f>
        <v>90.817185094326874</v>
      </c>
      <c r="AH637" s="29">
        <f>INDEX(Tabelle11[#All],Tabelle10[[#This Row],[Spalte1]]+14,$AH$2)</f>
        <v>96.700266280577438</v>
      </c>
      <c r="AI637" s="29">
        <f>INDEX(Tabelle11[#All],Tabelle10[[#This Row],[Spalte1]]+14,$AI$2)</f>
        <v>117.49978695184252</v>
      </c>
      <c r="AJ637" s="29">
        <f>INDEX(Tabelle11[#All],Tabelle10[[#This Row],[Spalte1]]+14,Ranking!$AJ$2)</f>
        <v>88.762543186332877</v>
      </c>
    </row>
    <row r="638" spans="32:36" x14ac:dyDescent="0.25">
      <c r="AF638" s="29">
        <f>IF(IFERROR(Tabelle12[[#This Row],[Spiel]],0)=0,AF637+1,Tabelle12[[#This Row],[Spiel]])</f>
        <v>636</v>
      </c>
      <c r="AG638" s="29">
        <f>INDEX(Tabelle11[#All],Tabelle10[[#This Row],[Spalte1]]+14,Ranking!$AG$2)</f>
        <v>90.817185094326874</v>
      </c>
      <c r="AH638" s="29">
        <f>INDEX(Tabelle11[#All],Tabelle10[[#This Row],[Spalte1]]+14,$AH$2)</f>
        <v>96.700266280577438</v>
      </c>
      <c r="AI638" s="29">
        <f>INDEX(Tabelle11[#All],Tabelle10[[#This Row],[Spalte1]]+14,$AI$2)</f>
        <v>117.49978695184252</v>
      </c>
      <c r="AJ638" s="29">
        <f>INDEX(Tabelle11[#All],Tabelle10[[#This Row],[Spalte1]]+14,Ranking!$AJ$2)</f>
        <v>88.762543186332877</v>
      </c>
    </row>
    <row r="639" spans="32:36" x14ac:dyDescent="0.25">
      <c r="AF639" s="29">
        <f>IF(IFERROR(Tabelle12[[#This Row],[Spiel]],0)=0,AF638+1,Tabelle12[[#This Row],[Spiel]])</f>
        <v>637</v>
      </c>
      <c r="AG639" s="29">
        <f>INDEX(Tabelle11[#All],Tabelle10[[#This Row],[Spalte1]]+14,Ranking!$AG$2)</f>
        <v>90.817185094326874</v>
      </c>
      <c r="AH639" s="29">
        <f>INDEX(Tabelle11[#All],Tabelle10[[#This Row],[Spalte1]]+14,$AH$2)</f>
        <v>96.700266280577438</v>
      </c>
      <c r="AI639" s="29">
        <f>INDEX(Tabelle11[#All],Tabelle10[[#This Row],[Spalte1]]+14,$AI$2)</f>
        <v>117.49978695184252</v>
      </c>
      <c r="AJ639" s="29">
        <f>INDEX(Tabelle11[#All],Tabelle10[[#This Row],[Spalte1]]+14,Ranking!$AJ$2)</f>
        <v>88.762543186332877</v>
      </c>
    </row>
    <row r="640" spans="32:36" x14ac:dyDescent="0.25">
      <c r="AF640" s="29">
        <f>IF(IFERROR(Tabelle12[[#This Row],[Spiel]],0)=0,AF639+1,Tabelle12[[#This Row],[Spiel]])</f>
        <v>638</v>
      </c>
      <c r="AG640" s="29">
        <f>INDEX(Tabelle11[#All],Tabelle10[[#This Row],[Spalte1]]+14,Ranking!$AG$2)</f>
        <v>90.817185094326874</v>
      </c>
      <c r="AH640" s="29">
        <f>INDEX(Tabelle11[#All],Tabelle10[[#This Row],[Spalte1]]+14,$AH$2)</f>
        <v>96.700266280577438</v>
      </c>
      <c r="AI640" s="29">
        <f>INDEX(Tabelle11[#All],Tabelle10[[#This Row],[Spalte1]]+14,$AI$2)</f>
        <v>117.49978695184252</v>
      </c>
      <c r="AJ640" s="29">
        <f>INDEX(Tabelle11[#All],Tabelle10[[#This Row],[Spalte1]]+14,Ranking!$AJ$2)</f>
        <v>88.762543186332877</v>
      </c>
    </row>
    <row r="641" spans="32:36" x14ac:dyDescent="0.25">
      <c r="AF641" s="29">
        <f>IF(IFERROR(Tabelle12[[#This Row],[Spiel]],0)=0,AF640+1,Tabelle12[[#This Row],[Spiel]])</f>
        <v>639</v>
      </c>
      <c r="AG641" s="29">
        <f>INDEX(Tabelle11[#All],Tabelle10[[#This Row],[Spalte1]]+14,Ranking!$AG$2)</f>
        <v>90.817185094326874</v>
      </c>
      <c r="AH641" s="29">
        <f>INDEX(Tabelle11[#All],Tabelle10[[#This Row],[Spalte1]]+14,$AH$2)</f>
        <v>96.700266280577438</v>
      </c>
      <c r="AI641" s="29">
        <f>INDEX(Tabelle11[#All],Tabelle10[[#This Row],[Spalte1]]+14,$AI$2)</f>
        <v>117.49978695184252</v>
      </c>
      <c r="AJ641" s="29">
        <f>INDEX(Tabelle11[#All],Tabelle10[[#This Row],[Spalte1]]+14,Ranking!$AJ$2)</f>
        <v>88.762543186332877</v>
      </c>
    </row>
    <row r="642" spans="32:36" x14ac:dyDescent="0.25">
      <c r="AF642" s="29">
        <f>IF(IFERROR(Tabelle12[[#This Row],[Spiel]],0)=0,AF641+1,Tabelle12[[#This Row],[Spiel]])</f>
        <v>640</v>
      </c>
      <c r="AG642" s="29">
        <f>INDEX(Tabelle11[#All],Tabelle10[[#This Row],[Spalte1]]+14,Ranking!$AG$2)</f>
        <v>90.817185094326874</v>
      </c>
      <c r="AH642" s="29">
        <f>INDEX(Tabelle11[#All],Tabelle10[[#This Row],[Spalte1]]+14,$AH$2)</f>
        <v>96.700266280577438</v>
      </c>
      <c r="AI642" s="29">
        <f>INDEX(Tabelle11[#All],Tabelle10[[#This Row],[Spalte1]]+14,$AI$2)</f>
        <v>117.49978695184252</v>
      </c>
      <c r="AJ642" s="29">
        <f>INDEX(Tabelle11[#All],Tabelle10[[#This Row],[Spalte1]]+14,Ranking!$AJ$2)</f>
        <v>88.762543186332877</v>
      </c>
    </row>
    <row r="643" spans="32:36" x14ac:dyDescent="0.25">
      <c r="AF643" s="29">
        <f>IF(IFERROR(Tabelle12[[#This Row],[Spiel]],0)=0,AF642+1,Tabelle12[[#This Row],[Spiel]])</f>
        <v>641</v>
      </c>
      <c r="AG643" s="29">
        <f>INDEX(Tabelle11[#All],Tabelle10[[#This Row],[Spalte1]]+14,Ranking!$AG$2)</f>
        <v>90.817185094326874</v>
      </c>
      <c r="AH643" s="29">
        <f>INDEX(Tabelle11[#All],Tabelle10[[#This Row],[Spalte1]]+14,$AH$2)</f>
        <v>96.700266280577438</v>
      </c>
      <c r="AI643" s="29">
        <f>INDEX(Tabelle11[#All],Tabelle10[[#This Row],[Spalte1]]+14,$AI$2)</f>
        <v>117.49978695184252</v>
      </c>
      <c r="AJ643" s="29">
        <f>INDEX(Tabelle11[#All],Tabelle10[[#This Row],[Spalte1]]+14,Ranking!$AJ$2)</f>
        <v>88.762543186332877</v>
      </c>
    </row>
    <row r="644" spans="32:36" x14ac:dyDescent="0.25">
      <c r="AF644" s="29">
        <f>IF(IFERROR(Tabelle12[[#This Row],[Spiel]],0)=0,AF643+1,Tabelle12[[#This Row],[Spiel]])</f>
        <v>642</v>
      </c>
      <c r="AG644" s="29">
        <f>INDEX(Tabelle11[#All],Tabelle10[[#This Row],[Spalte1]]+14,Ranking!$AG$2)</f>
        <v>90.817185094326874</v>
      </c>
      <c r="AH644" s="29">
        <f>INDEX(Tabelle11[#All],Tabelle10[[#This Row],[Spalte1]]+14,$AH$2)</f>
        <v>96.700266280577438</v>
      </c>
      <c r="AI644" s="29">
        <f>INDEX(Tabelle11[#All],Tabelle10[[#This Row],[Spalte1]]+14,$AI$2)</f>
        <v>117.49978695184252</v>
      </c>
      <c r="AJ644" s="29">
        <f>INDEX(Tabelle11[#All],Tabelle10[[#This Row],[Spalte1]]+14,Ranking!$AJ$2)</f>
        <v>88.762543186332877</v>
      </c>
    </row>
    <row r="645" spans="32:36" x14ac:dyDescent="0.25">
      <c r="AF645" s="29">
        <f>IF(IFERROR(Tabelle12[[#This Row],[Spiel]],0)=0,AF644+1,Tabelle12[[#This Row],[Spiel]])</f>
        <v>643</v>
      </c>
      <c r="AG645" s="29" t="e">
        <f>INDEX(Tabelle11[#All],Tabelle10[[#This Row],[Spalte1]]+14,Ranking!$AG$2)</f>
        <v>#REF!</v>
      </c>
      <c r="AH645" s="29" t="e">
        <f>INDEX(Tabelle11[#All],Tabelle10[[#This Row],[Spalte1]]+14,$AH$2)</f>
        <v>#REF!</v>
      </c>
      <c r="AI645" s="29" t="e">
        <f>INDEX(Tabelle11[#All],Tabelle10[[#This Row],[Spalte1]]+14,$AI$2)</f>
        <v>#REF!</v>
      </c>
      <c r="AJ645" s="29" t="e">
        <f>INDEX(Tabelle11[#All],Tabelle10[[#This Row],[Spalte1]]+14,Ranking!$AJ$2)</f>
        <v>#REF!</v>
      </c>
    </row>
    <row r="646" spans="32:36" x14ac:dyDescent="0.25">
      <c r="AF646" s="29">
        <f>IF(IFERROR(Tabelle12[[#This Row],[Spiel]],0)=0,AF645+1,Tabelle12[[#This Row],[Spiel]])</f>
        <v>644</v>
      </c>
      <c r="AG646" s="29" t="e">
        <f>INDEX(Tabelle11[#All],Tabelle10[[#This Row],[Spalte1]]+14,Ranking!$AG$2)</f>
        <v>#REF!</v>
      </c>
      <c r="AH646" s="29" t="e">
        <f>INDEX(Tabelle11[#All],Tabelle10[[#This Row],[Spalte1]]+14,$AH$2)</f>
        <v>#REF!</v>
      </c>
      <c r="AI646" s="29" t="e">
        <f>INDEX(Tabelle11[#All],Tabelle10[[#This Row],[Spalte1]]+14,$AI$2)</f>
        <v>#REF!</v>
      </c>
      <c r="AJ646" s="29" t="e">
        <f>INDEX(Tabelle11[#All],Tabelle10[[#This Row],[Spalte1]]+14,Ranking!$AJ$2)</f>
        <v>#REF!</v>
      </c>
    </row>
    <row r="647" spans="32:36" x14ac:dyDescent="0.25">
      <c r="AF647" s="29">
        <f>IF(IFERROR(Tabelle12[[#This Row],[Spiel]],0)=0,AF646+1,Tabelle12[[#This Row],[Spiel]])</f>
        <v>645</v>
      </c>
      <c r="AG647" s="29" t="e">
        <f>INDEX(Tabelle11[#All],Tabelle10[[#This Row],[Spalte1]]+14,Ranking!$AG$2)</f>
        <v>#REF!</v>
      </c>
      <c r="AH647" s="29" t="e">
        <f>INDEX(Tabelle11[#All],Tabelle10[[#This Row],[Spalte1]]+14,$AH$2)</f>
        <v>#REF!</v>
      </c>
      <c r="AI647" s="29" t="e">
        <f>INDEX(Tabelle11[#All],Tabelle10[[#This Row],[Spalte1]]+14,$AI$2)</f>
        <v>#REF!</v>
      </c>
      <c r="AJ647" s="29" t="e">
        <f>INDEX(Tabelle11[#All],Tabelle10[[#This Row],[Spalte1]]+14,Ranking!$AJ$2)</f>
        <v>#REF!</v>
      </c>
    </row>
    <row r="648" spans="32:36" x14ac:dyDescent="0.25">
      <c r="AF648" s="29">
        <f>IF(IFERROR(Tabelle12[[#This Row],[Spiel]],0)=0,AF647+1,Tabelle12[[#This Row],[Spiel]])</f>
        <v>646</v>
      </c>
      <c r="AG648" s="29" t="e">
        <f>INDEX(Tabelle11[#All],Tabelle10[[#This Row],[Spalte1]]+14,Ranking!$AG$2)</f>
        <v>#REF!</v>
      </c>
      <c r="AH648" s="29" t="e">
        <f>INDEX(Tabelle11[#All],Tabelle10[[#This Row],[Spalte1]]+14,$AH$2)</f>
        <v>#REF!</v>
      </c>
      <c r="AI648" s="29" t="e">
        <f>INDEX(Tabelle11[#All],Tabelle10[[#This Row],[Spalte1]]+14,$AI$2)</f>
        <v>#REF!</v>
      </c>
      <c r="AJ648" s="29" t="e">
        <f>INDEX(Tabelle11[#All],Tabelle10[[#This Row],[Spalte1]]+14,Ranking!$AJ$2)</f>
        <v>#REF!</v>
      </c>
    </row>
    <row r="649" spans="32:36" x14ac:dyDescent="0.25">
      <c r="AF649" s="29">
        <f>IF(IFERROR(Tabelle12[[#This Row],[Spiel]],0)=0,AF648+1,Tabelle12[[#This Row],[Spiel]])</f>
        <v>647</v>
      </c>
      <c r="AG649" s="29" t="e">
        <f>INDEX(Tabelle11[#All],Tabelle10[[#This Row],[Spalte1]]+14,Ranking!$AG$2)</f>
        <v>#REF!</v>
      </c>
      <c r="AH649" s="29" t="e">
        <f>INDEX(Tabelle11[#All],Tabelle10[[#This Row],[Spalte1]]+14,$AH$2)</f>
        <v>#REF!</v>
      </c>
      <c r="AI649" s="29" t="e">
        <f>INDEX(Tabelle11[#All],Tabelle10[[#This Row],[Spalte1]]+14,$AI$2)</f>
        <v>#REF!</v>
      </c>
      <c r="AJ649" s="29" t="e">
        <f>INDEX(Tabelle11[#All],Tabelle10[[#This Row],[Spalte1]]+14,Ranking!$AJ$2)</f>
        <v>#REF!</v>
      </c>
    </row>
    <row r="650" spans="32:36" x14ac:dyDescent="0.25">
      <c r="AF650" s="29">
        <f>IF(IFERROR(Tabelle12[[#This Row],[Spiel]],0)=0,AF649+1,Tabelle12[[#This Row],[Spiel]])</f>
        <v>648</v>
      </c>
      <c r="AG650" s="29" t="e">
        <f>INDEX(Tabelle11[#All],Tabelle10[[#This Row],[Spalte1]]+14,Ranking!$AG$2)</f>
        <v>#REF!</v>
      </c>
      <c r="AH650" s="29" t="e">
        <f>INDEX(Tabelle11[#All],Tabelle10[[#This Row],[Spalte1]]+14,$AH$2)</f>
        <v>#REF!</v>
      </c>
      <c r="AI650" s="29" t="e">
        <f>INDEX(Tabelle11[#All],Tabelle10[[#This Row],[Spalte1]]+14,$AI$2)</f>
        <v>#REF!</v>
      </c>
      <c r="AJ650" s="29" t="e">
        <f>INDEX(Tabelle11[#All],Tabelle10[[#This Row],[Spalte1]]+14,Ranking!$AJ$2)</f>
        <v>#REF!</v>
      </c>
    </row>
    <row r="651" spans="32:36" x14ac:dyDescent="0.25">
      <c r="AF651" s="29">
        <f>IF(IFERROR(Tabelle12[[#This Row],[Spiel]],0)=0,AF650+1,Tabelle12[[#This Row],[Spiel]])</f>
        <v>649</v>
      </c>
      <c r="AG651" s="29" t="e">
        <f>INDEX(Tabelle11[#All],Tabelle10[[#This Row],[Spalte1]]+14,Ranking!$AG$2)</f>
        <v>#REF!</v>
      </c>
      <c r="AH651" s="29" t="e">
        <f>INDEX(Tabelle11[#All],Tabelle10[[#This Row],[Spalte1]]+14,$AH$2)</f>
        <v>#REF!</v>
      </c>
      <c r="AI651" s="29" t="e">
        <f>INDEX(Tabelle11[#All],Tabelle10[[#This Row],[Spalte1]]+14,$AI$2)</f>
        <v>#REF!</v>
      </c>
      <c r="AJ651" s="29" t="e">
        <f>INDEX(Tabelle11[#All],Tabelle10[[#This Row],[Spalte1]]+14,Ranking!$AJ$2)</f>
        <v>#REF!</v>
      </c>
    </row>
    <row r="652" spans="32:36" x14ac:dyDescent="0.25">
      <c r="AF652" s="29">
        <f>IF(IFERROR(Tabelle12[[#This Row],[Spiel]],0)=0,AF651+1,Tabelle12[[#This Row],[Spiel]])</f>
        <v>650</v>
      </c>
      <c r="AG652" s="29" t="e">
        <f>INDEX(Tabelle11[#All],Tabelle10[[#This Row],[Spalte1]]+14,Ranking!$AG$2)</f>
        <v>#REF!</v>
      </c>
      <c r="AH652" s="29" t="e">
        <f>INDEX(Tabelle11[#All],Tabelle10[[#This Row],[Spalte1]]+14,$AH$2)</f>
        <v>#REF!</v>
      </c>
      <c r="AI652" s="29" t="e">
        <f>INDEX(Tabelle11[#All],Tabelle10[[#This Row],[Spalte1]]+14,$AI$2)</f>
        <v>#REF!</v>
      </c>
      <c r="AJ652" s="29" t="e">
        <f>INDEX(Tabelle11[#All],Tabelle10[[#This Row],[Spalte1]]+14,Ranking!$AJ$2)</f>
        <v>#REF!</v>
      </c>
    </row>
    <row r="653" spans="32:36" x14ac:dyDescent="0.25">
      <c r="AF653" s="29">
        <f>IF(IFERROR(Tabelle12[[#This Row],[Spiel]],0)=0,AF652+1,Tabelle12[[#This Row],[Spiel]])</f>
        <v>651</v>
      </c>
      <c r="AG653" s="29" t="e">
        <f>INDEX(Tabelle11[#All],Tabelle10[[#This Row],[Spalte1]]+14,Ranking!$AG$2)</f>
        <v>#REF!</v>
      </c>
      <c r="AH653" s="29" t="e">
        <f>INDEX(Tabelle11[#All],Tabelle10[[#This Row],[Spalte1]]+14,$AH$2)</f>
        <v>#REF!</v>
      </c>
      <c r="AI653" s="29" t="e">
        <f>INDEX(Tabelle11[#All],Tabelle10[[#This Row],[Spalte1]]+14,$AI$2)</f>
        <v>#REF!</v>
      </c>
      <c r="AJ653" s="29" t="e">
        <f>INDEX(Tabelle11[#All],Tabelle10[[#This Row],[Spalte1]]+14,Ranking!$AJ$2)</f>
        <v>#REF!</v>
      </c>
    </row>
    <row r="654" spans="32:36" x14ac:dyDescent="0.25">
      <c r="AF654" s="29">
        <f>IF(IFERROR(Tabelle12[[#This Row],[Spiel]],0)=0,AF653+1,Tabelle12[[#This Row],[Spiel]])</f>
        <v>652</v>
      </c>
      <c r="AG654" s="29" t="e">
        <f>INDEX(Tabelle11[#All],Tabelle10[[#This Row],[Spalte1]]+14,Ranking!$AG$2)</f>
        <v>#REF!</v>
      </c>
      <c r="AH654" s="29" t="e">
        <f>INDEX(Tabelle11[#All],Tabelle10[[#This Row],[Spalte1]]+14,$AH$2)</f>
        <v>#REF!</v>
      </c>
      <c r="AI654" s="29" t="e">
        <f>INDEX(Tabelle11[#All],Tabelle10[[#This Row],[Spalte1]]+14,$AI$2)</f>
        <v>#REF!</v>
      </c>
      <c r="AJ654" s="29" t="e">
        <f>INDEX(Tabelle11[#All],Tabelle10[[#This Row],[Spalte1]]+14,Ranking!$AJ$2)</f>
        <v>#REF!</v>
      </c>
    </row>
    <row r="655" spans="32:36" x14ac:dyDescent="0.25">
      <c r="AF655" s="29">
        <f>IF(IFERROR(Tabelle12[[#This Row],[Spiel]],0)=0,AF654+1,Tabelle12[[#This Row],[Spiel]])</f>
        <v>653</v>
      </c>
      <c r="AG655" s="29" t="e">
        <f>INDEX(Tabelle11[#All],Tabelle10[[#This Row],[Spalte1]]+14,Ranking!$AG$2)</f>
        <v>#REF!</v>
      </c>
      <c r="AH655" s="29" t="e">
        <f>INDEX(Tabelle11[#All],Tabelle10[[#This Row],[Spalte1]]+14,$AH$2)</f>
        <v>#REF!</v>
      </c>
      <c r="AI655" s="29" t="e">
        <f>INDEX(Tabelle11[#All],Tabelle10[[#This Row],[Spalte1]]+14,$AI$2)</f>
        <v>#REF!</v>
      </c>
      <c r="AJ655" s="29" t="e">
        <f>INDEX(Tabelle11[#All],Tabelle10[[#This Row],[Spalte1]]+14,Ranking!$AJ$2)</f>
        <v>#REF!</v>
      </c>
    </row>
    <row r="656" spans="32:36" x14ac:dyDescent="0.25">
      <c r="AF656" s="29">
        <f>IF(IFERROR(Tabelle12[[#This Row],[Spiel]],0)=0,AF655+1,Tabelle12[[#This Row],[Spiel]])</f>
        <v>654</v>
      </c>
      <c r="AG656" s="29" t="e">
        <f>INDEX(Tabelle11[#All],Tabelle10[[#This Row],[Spalte1]]+14,Ranking!$AG$2)</f>
        <v>#REF!</v>
      </c>
      <c r="AH656" s="29" t="e">
        <f>INDEX(Tabelle11[#All],Tabelle10[[#This Row],[Spalte1]]+14,$AH$2)</f>
        <v>#REF!</v>
      </c>
      <c r="AI656" s="29" t="e">
        <f>INDEX(Tabelle11[#All],Tabelle10[[#This Row],[Spalte1]]+14,$AI$2)</f>
        <v>#REF!</v>
      </c>
      <c r="AJ656" s="29" t="e">
        <f>INDEX(Tabelle11[#All],Tabelle10[[#This Row],[Spalte1]]+14,Ranking!$AJ$2)</f>
        <v>#REF!</v>
      </c>
    </row>
    <row r="657" spans="32:36" x14ac:dyDescent="0.25">
      <c r="AF657" s="29">
        <f>IF(IFERROR(Tabelle12[[#This Row],[Spiel]],0)=0,AF656+1,Tabelle12[[#This Row],[Spiel]])</f>
        <v>655</v>
      </c>
      <c r="AG657" s="29" t="e">
        <f>INDEX(Tabelle11[#All],Tabelle10[[#This Row],[Spalte1]]+14,Ranking!$AG$2)</f>
        <v>#REF!</v>
      </c>
      <c r="AH657" s="29" t="e">
        <f>INDEX(Tabelle11[#All],Tabelle10[[#This Row],[Spalte1]]+14,$AH$2)</f>
        <v>#REF!</v>
      </c>
      <c r="AI657" s="29" t="e">
        <f>INDEX(Tabelle11[#All],Tabelle10[[#This Row],[Spalte1]]+14,$AI$2)</f>
        <v>#REF!</v>
      </c>
      <c r="AJ657" s="29" t="e">
        <f>INDEX(Tabelle11[#All],Tabelle10[[#This Row],[Spalte1]]+14,Ranking!$AJ$2)</f>
        <v>#REF!</v>
      </c>
    </row>
    <row r="658" spans="32:36" x14ac:dyDescent="0.25">
      <c r="AF658" s="29">
        <f>IF(IFERROR(Tabelle12[[#This Row],[Spiel]],0)=0,AF657+1,Tabelle12[[#This Row],[Spiel]])</f>
        <v>656</v>
      </c>
      <c r="AG658" s="29" t="e">
        <f>INDEX(Tabelle11[#All],Tabelle10[[#This Row],[Spalte1]]+14,Ranking!$AG$2)</f>
        <v>#REF!</v>
      </c>
      <c r="AH658" s="29" t="e">
        <f>INDEX(Tabelle11[#All],Tabelle10[[#This Row],[Spalte1]]+14,$AH$2)</f>
        <v>#REF!</v>
      </c>
      <c r="AI658" s="29" t="e">
        <f>INDEX(Tabelle11[#All],Tabelle10[[#This Row],[Spalte1]]+14,$AI$2)</f>
        <v>#REF!</v>
      </c>
      <c r="AJ658" s="29" t="e">
        <f>INDEX(Tabelle11[#All],Tabelle10[[#This Row],[Spalte1]]+14,Ranking!$AJ$2)</f>
        <v>#REF!</v>
      </c>
    </row>
    <row r="659" spans="32:36" x14ac:dyDescent="0.25">
      <c r="AF659" s="29">
        <f>IF(IFERROR(Tabelle12[[#This Row],[Spiel]],0)=0,AF658+1,Tabelle12[[#This Row],[Spiel]])</f>
        <v>657</v>
      </c>
      <c r="AG659" s="29" t="e">
        <f>INDEX(Tabelle11[#All],Tabelle10[[#This Row],[Spalte1]]+14,Ranking!$AG$2)</f>
        <v>#REF!</v>
      </c>
      <c r="AH659" s="29" t="e">
        <f>INDEX(Tabelle11[#All],Tabelle10[[#This Row],[Spalte1]]+14,$AH$2)</f>
        <v>#REF!</v>
      </c>
      <c r="AI659" s="29" t="e">
        <f>INDEX(Tabelle11[#All],Tabelle10[[#This Row],[Spalte1]]+14,$AI$2)</f>
        <v>#REF!</v>
      </c>
      <c r="AJ659" s="29" t="e">
        <f>INDEX(Tabelle11[#All],Tabelle10[[#This Row],[Spalte1]]+14,Ranking!$AJ$2)</f>
        <v>#REF!</v>
      </c>
    </row>
    <row r="660" spans="32:36" x14ac:dyDescent="0.25">
      <c r="AF660" s="29">
        <f>IF(IFERROR(Tabelle12[[#This Row],[Spiel]],0)=0,AF659+1,Tabelle12[[#This Row],[Spiel]])</f>
        <v>658</v>
      </c>
      <c r="AG660" s="29" t="e">
        <f>INDEX(Tabelle11[#All],Tabelle10[[#This Row],[Spalte1]]+14,Ranking!$AG$2)</f>
        <v>#REF!</v>
      </c>
      <c r="AH660" s="29" t="e">
        <f>INDEX(Tabelle11[#All],Tabelle10[[#This Row],[Spalte1]]+14,$AH$2)</f>
        <v>#REF!</v>
      </c>
      <c r="AI660" s="29" t="e">
        <f>INDEX(Tabelle11[#All],Tabelle10[[#This Row],[Spalte1]]+14,$AI$2)</f>
        <v>#REF!</v>
      </c>
      <c r="AJ660" s="29" t="e">
        <f>INDEX(Tabelle11[#All],Tabelle10[[#This Row],[Spalte1]]+14,Ranking!$AJ$2)</f>
        <v>#REF!</v>
      </c>
    </row>
    <row r="661" spans="32:36" x14ac:dyDescent="0.25">
      <c r="AF661" s="29">
        <f>IF(IFERROR(Tabelle12[[#This Row],[Spiel]],0)=0,AF660+1,Tabelle12[[#This Row],[Spiel]])</f>
        <v>659</v>
      </c>
      <c r="AG661" s="29" t="e">
        <f>INDEX(Tabelle11[#All],Tabelle10[[#This Row],[Spalte1]]+14,Ranking!$AG$2)</f>
        <v>#REF!</v>
      </c>
      <c r="AH661" s="29" t="e">
        <f>INDEX(Tabelle11[#All],Tabelle10[[#This Row],[Spalte1]]+14,$AH$2)</f>
        <v>#REF!</v>
      </c>
      <c r="AI661" s="29" t="e">
        <f>INDEX(Tabelle11[#All],Tabelle10[[#This Row],[Spalte1]]+14,$AI$2)</f>
        <v>#REF!</v>
      </c>
      <c r="AJ661" s="29" t="e">
        <f>INDEX(Tabelle11[#All],Tabelle10[[#This Row],[Spalte1]]+14,Ranking!$AJ$2)</f>
        <v>#REF!</v>
      </c>
    </row>
    <row r="662" spans="32:36" x14ac:dyDescent="0.25">
      <c r="AF662" s="29">
        <f>IF(IFERROR(Tabelle12[[#This Row],[Spiel]],0)=0,AF661+1,Tabelle12[[#This Row],[Spiel]])</f>
        <v>660</v>
      </c>
      <c r="AG662" s="29" t="e">
        <f>INDEX(Tabelle11[#All],Tabelle10[[#This Row],[Spalte1]]+14,Ranking!$AG$2)</f>
        <v>#REF!</v>
      </c>
      <c r="AH662" s="29" t="e">
        <f>INDEX(Tabelle11[#All],Tabelle10[[#This Row],[Spalte1]]+14,$AH$2)</f>
        <v>#REF!</v>
      </c>
      <c r="AI662" s="29" t="e">
        <f>INDEX(Tabelle11[#All],Tabelle10[[#This Row],[Spalte1]]+14,$AI$2)</f>
        <v>#REF!</v>
      </c>
      <c r="AJ662" s="29" t="e">
        <f>INDEX(Tabelle11[#All],Tabelle10[[#This Row],[Spalte1]]+14,Ranking!$AJ$2)</f>
        <v>#REF!</v>
      </c>
    </row>
    <row r="663" spans="32:36" x14ac:dyDescent="0.25">
      <c r="AF663" s="29">
        <f>IF(IFERROR(Tabelle12[[#This Row],[Spiel]],0)=0,AF662+1,Tabelle12[[#This Row],[Spiel]])</f>
        <v>661</v>
      </c>
      <c r="AG663" s="29" t="e">
        <f>INDEX(Tabelle11[#All],Tabelle10[[#This Row],[Spalte1]]+14,Ranking!$AG$2)</f>
        <v>#REF!</v>
      </c>
      <c r="AH663" s="29" t="e">
        <f>INDEX(Tabelle11[#All],Tabelle10[[#This Row],[Spalte1]]+14,$AH$2)</f>
        <v>#REF!</v>
      </c>
      <c r="AI663" s="29" t="e">
        <f>INDEX(Tabelle11[#All],Tabelle10[[#This Row],[Spalte1]]+14,$AI$2)</f>
        <v>#REF!</v>
      </c>
      <c r="AJ663" s="29" t="e">
        <f>INDEX(Tabelle11[#All],Tabelle10[[#This Row],[Spalte1]]+14,Ranking!$AJ$2)</f>
        <v>#REF!</v>
      </c>
    </row>
    <row r="664" spans="32:36" x14ac:dyDescent="0.25">
      <c r="AF664" s="29">
        <f>IF(IFERROR(Tabelle12[[#This Row],[Spiel]],0)=0,AF663+1,Tabelle12[[#This Row],[Spiel]])</f>
        <v>662</v>
      </c>
      <c r="AG664" s="29" t="e">
        <f>INDEX(Tabelle11[#All],Tabelle10[[#This Row],[Spalte1]]+14,Ranking!$AG$2)</f>
        <v>#REF!</v>
      </c>
      <c r="AH664" s="29" t="e">
        <f>INDEX(Tabelle11[#All],Tabelle10[[#This Row],[Spalte1]]+14,$AH$2)</f>
        <v>#REF!</v>
      </c>
      <c r="AI664" s="29" t="e">
        <f>INDEX(Tabelle11[#All],Tabelle10[[#This Row],[Spalte1]]+14,$AI$2)</f>
        <v>#REF!</v>
      </c>
      <c r="AJ664" s="29" t="e">
        <f>INDEX(Tabelle11[#All],Tabelle10[[#This Row],[Spalte1]]+14,Ranking!$AJ$2)</f>
        <v>#REF!</v>
      </c>
    </row>
    <row r="665" spans="32:36" x14ac:dyDescent="0.25">
      <c r="AF665" s="29">
        <f>IF(IFERROR(Tabelle12[[#This Row],[Spiel]],0)=0,AF664+1,Tabelle12[[#This Row],[Spiel]])</f>
        <v>663</v>
      </c>
      <c r="AG665" s="29" t="e">
        <f>INDEX(Tabelle11[#All],Tabelle10[[#This Row],[Spalte1]]+14,Ranking!$AG$2)</f>
        <v>#REF!</v>
      </c>
      <c r="AH665" s="29" t="e">
        <f>INDEX(Tabelle11[#All],Tabelle10[[#This Row],[Spalte1]]+14,$AH$2)</f>
        <v>#REF!</v>
      </c>
      <c r="AI665" s="29" t="e">
        <f>INDEX(Tabelle11[#All],Tabelle10[[#This Row],[Spalte1]]+14,$AI$2)</f>
        <v>#REF!</v>
      </c>
      <c r="AJ665" s="29" t="e">
        <f>INDEX(Tabelle11[#All],Tabelle10[[#This Row],[Spalte1]]+14,Ranking!$AJ$2)</f>
        <v>#REF!</v>
      </c>
    </row>
    <row r="666" spans="32:36" x14ac:dyDescent="0.25">
      <c r="AF666" s="29">
        <f>IF(IFERROR(Tabelle12[[#This Row],[Spiel]],0)=0,AF665+1,Tabelle12[[#This Row],[Spiel]])</f>
        <v>664</v>
      </c>
      <c r="AG666" s="29" t="e">
        <f>INDEX(Tabelle11[#All],Tabelle10[[#This Row],[Spalte1]]+14,Ranking!$AG$2)</f>
        <v>#REF!</v>
      </c>
      <c r="AH666" s="29" t="e">
        <f>INDEX(Tabelle11[#All],Tabelle10[[#This Row],[Spalte1]]+14,$AH$2)</f>
        <v>#REF!</v>
      </c>
      <c r="AI666" s="29" t="e">
        <f>INDEX(Tabelle11[#All],Tabelle10[[#This Row],[Spalte1]]+14,$AI$2)</f>
        <v>#REF!</v>
      </c>
      <c r="AJ666" s="29" t="e">
        <f>INDEX(Tabelle11[#All],Tabelle10[[#This Row],[Spalte1]]+14,Ranking!$AJ$2)</f>
        <v>#REF!</v>
      </c>
    </row>
    <row r="667" spans="32:36" x14ac:dyDescent="0.25">
      <c r="AF667" s="29">
        <f>IF(IFERROR(Tabelle12[[#This Row],[Spiel]],0)=0,AF666+1,Tabelle12[[#This Row],[Spiel]])</f>
        <v>665</v>
      </c>
      <c r="AG667" s="29" t="e">
        <f>INDEX(Tabelle11[#All],Tabelle10[[#This Row],[Spalte1]]+14,Ranking!$AG$2)</f>
        <v>#REF!</v>
      </c>
      <c r="AH667" s="29" t="e">
        <f>INDEX(Tabelle11[#All],Tabelle10[[#This Row],[Spalte1]]+14,$AH$2)</f>
        <v>#REF!</v>
      </c>
      <c r="AI667" s="29" t="e">
        <f>INDEX(Tabelle11[#All],Tabelle10[[#This Row],[Spalte1]]+14,$AI$2)</f>
        <v>#REF!</v>
      </c>
      <c r="AJ667" s="29" t="e">
        <f>INDEX(Tabelle11[#All],Tabelle10[[#This Row],[Spalte1]]+14,Ranking!$AJ$2)</f>
        <v>#REF!</v>
      </c>
    </row>
    <row r="668" spans="32:36" x14ac:dyDescent="0.25">
      <c r="AF668" s="29">
        <f>IF(IFERROR(Tabelle12[[#This Row],[Spiel]],0)=0,AF667+1,Tabelle12[[#This Row],[Spiel]])</f>
        <v>666</v>
      </c>
      <c r="AG668" s="29" t="e">
        <f>INDEX(Tabelle11[#All],Tabelle10[[#This Row],[Spalte1]]+14,Ranking!$AG$2)</f>
        <v>#REF!</v>
      </c>
      <c r="AH668" s="29" t="e">
        <f>INDEX(Tabelle11[#All],Tabelle10[[#This Row],[Spalte1]]+14,$AH$2)</f>
        <v>#REF!</v>
      </c>
      <c r="AI668" s="29" t="e">
        <f>INDEX(Tabelle11[#All],Tabelle10[[#This Row],[Spalte1]]+14,$AI$2)</f>
        <v>#REF!</v>
      </c>
      <c r="AJ668" s="29" t="e">
        <f>INDEX(Tabelle11[#All],Tabelle10[[#This Row],[Spalte1]]+14,Ranking!$AJ$2)</f>
        <v>#REF!</v>
      </c>
    </row>
    <row r="669" spans="32:36" x14ac:dyDescent="0.25">
      <c r="AF669" s="29">
        <f>IF(IFERROR(Tabelle12[[#This Row],[Spiel]],0)=0,AF668+1,Tabelle12[[#This Row],[Spiel]])</f>
        <v>667</v>
      </c>
      <c r="AG669" s="29" t="e">
        <f>INDEX(Tabelle11[#All],Tabelle10[[#This Row],[Spalte1]]+14,Ranking!$AG$2)</f>
        <v>#REF!</v>
      </c>
      <c r="AH669" s="29" t="e">
        <f>INDEX(Tabelle11[#All],Tabelle10[[#This Row],[Spalte1]]+14,$AH$2)</f>
        <v>#REF!</v>
      </c>
      <c r="AI669" s="29" t="e">
        <f>INDEX(Tabelle11[#All],Tabelle10[[#This Row],[Spalte1]]+14,$AI$2)</f>
        <v>#REF!</v>
      </c>
      <c r="AJ669" s="29" t="e">
        <f>INDEX(Tabelle11[#All],Tabelle10[[#This Row],[Spalte1]]+14,Ranking!$AJ$2)</f>
        <v>#REF!</v>
      </c>
    </row>
    <row r="670" spans="32:36" x14ac:dyDescent="0.25">
      <c r="AF670" s="29">
        <f>IF(IFERROR(Tabelle12[[#This Row],[Spiel]],0)=0,AF669+1,Tabelle12[[#This Row],[Spiel]])</f>
        <v>668</v>
      </c>
      <c r="AG670" s="29" t="e">
        <f>INDEX(Tabelle11[#All],Tabelle10[[#This Row],[Spalte1]]+14,Ranking!$AG$2)</f>
        <v>#REF!</v>
      </c>
      <c r="AH670" s="29" t="e">
        <f>INDEX(Tabelle11[#All],Tabelle10[[#This Row],[Spalte1]]+14,$AH$2)</f>
        <v>#REF!</v>
      </c>
      <c r="AI670" s="29" t="e">
        <f>INDEX(Tabelle11[#All],Tabelle10[[#This Row],[Spalte1]]+14,$AI$2)</f>
        <v>#REF!</v>
      </c>
      <c r="AJ670" s="29" t="e">
        <f>INDEX(Tabelle11[#All],Tabelle10[[#This Row],[Spalte1]]+14,Ranking!$AJ$2)</f>
        <v>#REF!</v>
      </c>
    </row>
    <row r="671" spans="32:36" x14ac:dyDescent="0.25">
      <c r="AF671" s="29">
        <f>IF(IFERROR(Tabelle12[[#This Row],[Spiel]],0)=0,AF670+1,Tabelle12[[#This Row],[Spiel]])</f>
        <v>669</v>
      </c>
      <c r="AG671" s="29" t="e">
        <f>INDEX(Tabelle11[#All],Tabelle10[[#This Row],[Spalte1]]+14,Ranking!$AG$2)</f>
        <v>#REF!</v>
      </c>
      <c r="AH671" s="29" t="e">
        <f>INDEX(Tabelle11[#All],Tabelle10[[#This Row],[Spalte1]]+14,$AH$2)</f>
        <v>#REF!</v>
      </c>
      <c r="AI671" s="29" t="e">
        <f>INDEX(Tabelle11[#All],Tabelle10[[#This Row],[Spalte1]]+14,$AI$2)</f>
        <v>#REF!</v>
      </c>
      <c r="AJ671" s="29" t="e">
        <f>INDEX(Tabelle11[#All],Tabelle10[[#This Row],[Spalte1]]+14,Ranking!$AJ$2)</f>
        <v>#REF!</v>
      </c>
    </row>
    <row r="672" spans="32:36" x14ac:dyDescent="0.25">
      <c r="AF672" s="29">
        <f>IF(IFERROR(Tabelle12[[#This Row],[Spiel]],0)=0,AF671+1,Tabelle12[[#This Row],[Spiel]])</f>
        <v>670</v>
      </c>
      <c r="AG672" s="29" t="e">
        <f>INDEX(Tabelle11[#All],Tabelle10[[#This Row],[Spalte1]]+14,Ranking!$AG$2)</f>
        <v>#REF!</v>
      </c>
      <c r="AH672" s="29" t="e">
        <f>INDEX(Tabelle11[#All],Tabelle10[[#This Row],[Spalte1]]+14,$AH$2)</f>
        <v>#REF!</v>
      </c>
      <c r="AI672" s="29" t="e">
        <f>INDEX(Tabelle11[#All],Tabelle10[[#This Row],[Spalte1]]+14,$AI$2)</f>
        <v>#REF!</v>
      </c>
      <c r="AJ672" s="29" t="e">
        <f>INDEX(Tabelle11[#All],Tabelle10[[#This Row],[Spalte1]]+14,Ranking!$AJ$2)</f>
        <v>#REF!</v>
      </c>
    </row>
    <row r="673" spans="32:36" x14ac:dyDescent="0.25">
      <c r="AF673" s="29">
        <f>IF(IFERROR(Tabelle12[[#This Row],[Spiel]],0)=0,AF672+1,Tabelle12[[#This Row],[Spiel]])</f>
        <v>671</v>
      </c>
      <c r="AG673" s="29" t="e">
        <f>INDEX(Tabelle11[#All],Tabelle10[[#This Row],[Spalte1]]+14,Ranking!$AG$2)</f>
        <v>#REF!</v>
      </c>
      <c r="AH673" s="29" t="e">
        <f>INDEX(Tabelle11[#All],Tabelle10[[#This Row],[Spalte1]]+14,$AH$2)</f>
        <v>#REF!</v>
      </c>
      <c r="AI673" s="29" t="e">
        <f>INDEX(Tabelle11[#All],Tabelle10[[#This Row],[Spalte1]]+14,$AI$2)</f>
        <v>#REF!</v>
      </c>
      <c r="AJ673" s="29" t="e">
        <f>INDEX(Tabelle11[#All],Tabelle10[[#This Row],[Spalte1]]+14,Ranking!$AJ$2)</f>
        <v>#REF!</v>
      </c>
    </row>
    <row r="674" spans="32:36" x14ac:dyDescent="0.25">
      <c r="AF674" s="29">
        <f>IF(IFERROR(Tabelle12[[#This Row],[Spiel]],0)=0,AF673+1,Tabelle12[[#This Row],[Spiel]])</f>
        <v>672</v>
      </c>
      <c r="AG674" s="29" t="e">
        <f>INDEX(Tabelle11[#All],Tabelle10[[#This Row],[Spalte1]]+14,Ranking!$AG$2)</f>
        <v>#REF!</v>
      </c>
      <c r="AH674" s="29" t="e">
        <f>INDEX(Tabelle11[#All],Tabelle10[[#This Row],[Spalte1]]+14,$AH$2)</f>
        <v>#REF!</v>
      </c>
      <c r="AI674" s="29" t="e">
        <f>INDEX(Tabelle11[#All],Tabelle10[[#This Row],[Spalte1]]+14,$AI$2)</f>
        <v>#REF!</v>
      </c>
      <c r="AJ674" s="29" t="e">
        <f>INDEX(Tabelle11[#All],Tabelle10[[#This Row],[Spalte1]]+14,Ranking!$AJ$2)</f>
        <v>#REF!</v>
      </c>
    </row>
    <row r="675" spans="32:36" x14ac:dyDescent="0.25">
      <c r="AF675" s="29">
        <f>IF(IFERROR(Tabelle12[[#This Row],[Spiel]],0)=0,AF674+1,Tabelle12[[#This Row],[Spiel]])</f>
        <v>673</v>
      </c>
      <c r="AG675" s="29" t="e">
        <f>INDEX(Tabelle11[#All],Tabelle10[[#This Row],[Spalte1]]+14,Ranking!$AG$2)</f>
        <v>#REF!</v>
      </c>
      <c r="AH675" s="29" t="e">
        <f>INDEX(Tabelle11[#All],Tabelle10[[#This Row],[Spalte1]]+14,$AH$2)</f>
        <v>#REF!</v>
      </c>
      <c r="AI675" s="29" t="e">
        <f>INDEX(Tabelle11[#All],Tabelle10[[#This Row],[Spalte1]]+14,$AI$2)</f>
        <v>#REF!</v>
      </c>
      <c r="AJ675" s="29" t="e">
        <f>INDEX(Tabelle11[#All],Tabelle10[[#This Row],[Spalte1]]+14,Ranking!$AJ$2)</f>
        <v>#REF!</v>
      </c>
    </row>
    <row r="676" spans="32:36" x14ac:dyDescent="0.25">
      <c r="AF676" s="29">
        <f>IF(IFERROR(Tabelle12[[#This Row],[Spiel]],0)=0,AF675+1,Tabelle12[[#This Row],[Spiel]])</f>
        <v>674</v>
      </c>
      <c r="AG676" s="29" t="e">
        <f>INDEX(Tabelle11[#All],Tabelle10[[#This Row],[Spalte1]]+14,Ranking!$AG$2)</f>
        <v>#REF!</v>
      </c>
      <c r="AH676" s="29" t="e">
        <f>INDEX(Tabelle11[#All],Tabelle10[[#This Row],[Spalte1]]+14,$AH$2)</f>
        <v>#REF!</v>
      </c>
      <c r="AI676" s="29" t="e">
        <f>INDEX(Tabelle11[#All],Tabelle10[[#This Row],[Spalte1]]+14,$AI$2)</f>
        <v>#REF!</v>
      </c>
      <c r="AJ676" s="29" t="e">
        <f>INDEX(Tabelle11[#All],Tabelle10[[#This Row],[Spalte1]]+14,Ranking!$AJ$2)</f>
        <v>#REF!</v>
      </c>
    </row>
    <row r="677" spans="32:36" x14ac:dyDescent="0.25">
      <c r="AF677" s="29">
        <f>IF(IFERROR(Tabelle12[[#This Row],[Spiel]],0)=0,AF676+1,Tabelle12[[#This Row],[Spiel]])</f>
        <v>675</v>
      </c>
      <c r="AG677" s="29" t="e">
        <f>INDEX(Tabelle11[#All],Tabelle10[[#This Row],[Spalte1]]+14,Ranking!$AG$2)</f>
        <v>#REF!</v>
      </c>
      <c r="AH677" s="29" t="e">
        <f>INDEX(Tabelle11[#All],Tabelle10[[#This Row],[Spalte1]]+14,$AH$2)</f>
        <v>#REF!</v>
      </c>
      <c r="AI677" s="29" t="e">
        <f>INDEX(Tabelle11[#All],Tabelle10[[#This Row],[Spalte1]]+14,$AI$2)</f>
        <v>#REF!</v>
      </c>
      <c r="AJ677" s="29" t="e">
        <f>INDEX(Tabelle11[#All],Tabelle10[[#This Row],[Spalte1]]+14,Ranking!$AJ$2)</f>
        <v>#REF!</v>
      </c>
    </row>
    <row r="678" spans="32:36" x14ac:dyDescent="0.25">
      <c r="AF678" s="29">
        <f>IF(IFERROR(Tabelle12[[#This Row],[Spiel]],0)=0,AF677+1,Tabelle12[[#This Row],[Spiel]])</f>
        <v>676</v>
      </c>
      <c r="AG678" s="29" t="e">
        <f>INDEX(Tabelle11[#All],Tabelle10[[#This Row],[Spalte1]]+14,Ranking!$AG$2)</f>
        <v>#REF!</v>
      </c>
      <c r="AH678" s="29" t="e">
        <f>INDEX(Tabelle11[#All],Tabelle10[[#This Row],[Spalte1]]+14,$AH$2)</f>
        <v>#REF!</v>
      </c>
      <c r="AI678" s="29" t="e">
        <f>INDEX(Tabelle11[#All],Tabelle10[[#This Row],[Spalte1]]+14,$AI$2)</f>
        <v>#REF!</v>
      </c>
      <c r="AJ678" s="29" t="e">
        <f>INDEX(Tabelle11[#All],Tabelle10[[#This Row],[Spalte1]]+14,Ranking!$AJ$2)</f>
        <v>#REF!</v>
      </c>
    </row>
    <row r="679" spans="32:36" x14ac:dyDescent="0.25">
      <c r="AF679" s="29">
        <f>IF(IFERROR(Tabelle12[[#This Row],[Spiel]],0)=0,AF678+1,Tabelle12[[#This Row],[Spiel]])</f>
        <v>677</v>
      </c>
      <c r="AG679" s="29" t="e">
        <f>INDEX(Tabelle11[#All],Tabelle10[[#This Row],[Spalte1]]+14,Ranking!$AG$2)</f>
        <v>#REF!</v>
      </c>
      <c r="AH679" s="29" t="e">
        <f>INDEX(Tabelle11[#All],Tabelle10[[#This Row],[Spalte1]]+14,$AH$2)</f>
        <v>#REF!</v>
      </c>
      <c r="AI679" s="29" t="e">
        <f>INDEX(Tabelle11[#All],Tabelle10[[#This Row],[Spalte1]]+14,$AI$2)</f>
        <v>#REF!</v>
      </c>
      <c r="AJ679" s="29" t="e">
        <f>INDEX(Tabelle11[#All],Tabelle10[[#This Row],[Spalte1]]+14,Ranking!$AJ$2)</f>
        <v>#REF!</v>
      </c>
    </row>
    <row r="680" spans="32:36" x14ac:dyDescent="0.25">
      <c r="AF680" s="29">
        <f>IF(IFERROR(Tabelle12[[#This Row],[Spiel]],0)=0,AF679+1,Tabelle12[[#This Row],[Spiel]])</f>
        <v>678</v>
      </c>
      <c r="AG680" s="29" t="e">
        <f>INDEX(Tabelle11[#All],Tabelle10[[#This Row],[Spalte1]]+14,Ranking!$AG$2)</f>
        <v>#REF!</v>
      </c>
      <c r="AH680" s="29" t="e">
        <f>INDEX(Tabelle11[#All],Tabelle10[[#This Row],[Spalte1]]+14,$AH$2)</f>
        <v>#REF!</v>
      </c>
      <c r="AI680" s="29" t="e">
        <f>INDEX(Tabelle11[#All],Tabelle10[[#This Row],[Spalte1]]+14,$AI$2)</f>
        <v>#REF!</v>
      </c>
      <c r="AJ680" s="29" t="e">
        <f>INDEX(Tabelle11[#All],Tabelle10[[#This Row],[Spalte1]]+14,Ranking!$AJ$2)</f>
        <v>#REF!</v>
      </c>
    </row>
    <row r="681" spans="32:36" x14ac:dyDescent="0.25">
      <c r="AF681" s="29">
        <f>IF(IFERROR(Tabelle12[[#This Row],[Spiel]],0)=0,AF680+1,Tabelle12[[#This Row],[Spiel]])</f>
        <v>679</v>
      </c>
      <c r="AG681" s="29" t="e">
        <f>INDEX(Tabelle11[#All],Tabelle10[[#This Row],[Spalte1]]+14,Ranking!$AG$2)</f>
        <v>#REF!</v>
      </c>
      <c r="AH681" s="29" t="e">
        <f>INDEX(Tabelle11[#All],Tabelle10[[#This Row],[Spalte1]]+14,$AH$2)</f>
        <v>#REF!</v>
      </c>
      <c r="AI681" s="29" t="e">
        <f>INDEX(Tabelle11[#All],Tabelle10[[#This Row],[Spalte1]]+14,$AI$2)</f>
        <v>#REF!</v>
      </c>
      <c r="AJ681" s="29" t="e">
        <f>INDEX(Tabelle11[#All],Tabelle10[[#This Row],[Spalte1]]+14,Ranking!$AJ$2)</f>
        <v>#REF!</v>
      </c>
    </row>
    <row r="682" spans="32:36" x14ac:dyDescent="0.25">
      <c r="AF682" s="29">
        <f>IF(IFERROR(Tabelle12[[#This Row],[Spiel]],0)=0,AF681+1,Tabelle12[[#This Row],[Spiel]])</f>
        <v>680</v>
      </c>
      <c r="AG682" s="29" t="e">
        <f>INDEX(Tabelle11[#All],Tabelle10[[#This Row],[Spalte1]]+14,Ranking!$AG$2)</f>
        <v>#REF!</v>
      </c>
      <c r="AH682" s="29" t="e">
        <f>INDEX(Tabelle11[#All],Tabelle10[[#This Row],[Spalte1]]+14,$AH$2)</f>
        <v>#REF!</v>
      </c>
      <c r="AI682" s="29" t="e">
        <f>INDEX(Tabelle11[#All],Tabelle10[[#This Row],[Spalte1]]+14,$AI$2)</f>
        <v>#REF!</v>
      </c>
      <c r="AJ682" s="29" t="e">
        <f>INDEX(Tabelle11[#All],Tabelle10[[#This Row],[Spalte1]]+14,Ranking!$AJ$2)</f>
        <v>#REF!</v>
      </c>
    </row>
    <row r="683" spans="32:36" x14ac:dyDescent="0.25">
      <c r="AF683" s="29">
        <f>IF(IFERROR(Tabelle12[[#This Row],[Spiel]],0)=0,AF682+1,Tabelle12[[#This Row],[Spiel]])</f>
        <v>681</v>
      </c>
      <c r="AG683" s="29" t="e">
        <f>INDEX(Tabelle11[#All],Tabelle10[[#This Row],[Spalte1]]+14,Ranking!$AG$2)</f>
        <v>#REF!</v>
      </c>
      <c r="AH683" s="29" t="e">
        <f>INDEX(Tabelle11[#All],Tabelle10[[#This Row],[Spalte1]]+14,$AH$2)</f>
        <v>#REF!</v>
      </c>
      <c r="AI683" s="29" t="e">
        <f>INDEX(Tabelle11[#All],Tabelle10[[#This Row],[Spalte1]]+14,$AI$2)</f>
        <v>#REF!</v>
      </c>
      <c r="AJ683" s="29" t="e">
        <f>INDEX(Tabelle11[#All],Tabelle10[[#This Row],[Spalte1]]+14,Ranking!$AJ$2)</f>
        <v>#REF!</v>
      </c>
    </row>
    <row r="684" spans="32:36" x14ac:dyDescent="0.25">
      <c r="AF684" s="29">
        <f>IF(IFERROR(Tabelle12[[#This Row],[Spiel]],0)=0,AF683+1,Tabelle12[[#This Row],[Spiel]])</f>
        <v>682</v>
      </c>
      <c r="AG684" s="29" t="e">
        <f>INDEX(Tabelle11[#All],Tabelle10[[#This Row],[Spalte1]]+14,Ranking!$AG$2)</f>
        <v>#REF!</v>
      </c>
      <c r="AH684" s="29" t="e">
        <f>INDEX(Tabelle11[#All],Tabelle10[[#This Row],[Spalte1]]+14,$AH$2)</f>
        <v>#REF!</v>
      </c>
      <c r="AI684" s="29" t="e">
        <f>INDEX(Tabelle11[#All],Tabelle10[[#This Row],[Spalte1]]+14,$AI$2)</f>
        <v>#REF!</v>
      </c>
      <c r="AJ684" s="29" t="e">
        <f>INDEX(Tabelle11[#All],Tabelle10[[#This Row],[Spalte1]]+14,Ranking!$AJ$2)</f>
        <v>#REF!</v>
      </c>
    </row>
    <row r="685" spans="32:36" x14ac:dyDescent="0.25">
      <c r="AF685" s="29">
        <f>IF(IFERROR(Tabelle12[[#This Row],[Spiel]],0)=0,AF684+1,Tabelle12[[#This Row],[Spiel]])</f>
        <v>683</v>
      </c>
      <c r="AG685" s="29" t="e">
        <f>INDEX(Tabelle11[#All],Tabelle10[[#This Row],[Spalte1]]+14,Ranking!$AG$2)</f>
        <v>#REF!</v>
      </c>
      <c r="AH685" s="29" t="e">
        <f>INDEX(Tabelle11[#All],Tabelle10[[#This Row],[Spalte1]]+14,$AH$2)</f>
        <v>#REF!</v>
      </c>
      <c r="AI685" s="29" t="e">
        <f>INDEX(Tabelle11[#All],Tabelle10[[#This Row],[Spalte1]]+14,$AI$2)</f>
        <v>#REF!</v>
      </c>
      <c r="AJ685" s="29" t="e">
        <f>INDEX(Tabelle11[#All],Tabelle10[[#This Row],[Spalte1]]+14,Ranking!$AJ$2)</f>
        <v>#REF!</v>
      </c>
    </row>
    <row r="686" spans="32:36" x14ac:dyDescent="0.25">
      <c r="AF686" s="29">
        <f>IF(IFERROR(Tabelle12[[#This Row],[Spiel]],0)=0,AF685+1,Tabelle12[[#This Row],[Spiel]])</f>
        <v>684</v>
      </c>
      <c r="AG686" s="29" t="e">
        <f>INDEX(Tabelle11[#All],Tabelle10[[#This Row],[Spalte1]]+14,Ranking!$AG$2)</f>
        <v>#REF!</v>
      </c>
      <c r="AH686" s="29" t="e">
        <f>INDEX(Tabelle11[#All],Tabelle10[[#This Row],[Spalte1]]+14,$AH$2)</f>
        <v>#REF!</v>
      </c>
      <c r="AI686" s="29" t="e">
        <f>INDEX(Tabelle11[#All],Tabelle10[[#This Row],[Spalte1]]+14,$AI$2)</f>
        <v>#REF!</v>
      </c>
      <c r="AJ686" s="29" t="e">
        <f>INDEX(Tabelle11[#All],Tabelle10[[#This Row],[Spalte1]]+14,Ranking!$AJ$2)</f>
        <v>#REF!</v>
      </c>
    </row>
    <row r="687" spans="32:36" x14ac:dyDescent="0.25">
      <c r="AF687" s="29">
        <f>IF(IFERROR(Tabelle12[[#This Row],[Spiel]],0)=0,AF686+1,Tabelle12[[#This Row],[Spiel]])</f>
        <v>685</v>
      </c>
      <c r="AG687" s="29" t="e">
        <f>INDEX(Tabelle11[#All],Tabelle10[[#This Row],[Spalte1]]+14,Ranking!$AG$2)</f>
        <v>#REF!</v>
      </c>
      <c r="AH687" s="29" t="e">
        <f>INDEX(Tabelle11[#All],Tabelle10[[#This Row],[Spalte1]]+14,$AH$2)</f>
        <v>#REF!</v>
      </c>
      <c r="AI687" s="29" t="e">
        <f>INDEX(Tabelle11[#All],Tabelle10[[#This Row],[Spalte1]]+14,$AI$2)</f>
        <v>#REF!</v>
      </c>
      <c r="AJ687" s="29" t="e">
        <f>INDEX(Tabelle11[#All],Tabelle10[[#This Row],[Spalte1]]+14,Ranking!$AJ$2)</f>
        <v>#REF!</v>
      </c>
    </row>
    <row r="688" spans="32:36" x14ac:dyDescent="0.25">
      <c r="AF688" s="29">
        <f>IF(IFERROR(Tabelle12[[#This Row],[Spiel]],0)=0,AF687+1,Tabelle12[[#This Row],[Spiel]])</f>
        <v>686</v>
      </c>
      <c r="AG688" s="29" t="e">
        <f>INDEX(Tabelle11[#All],Tabelle10[[#This Row],[Spalte1]]+14,Ranking!$AG$2)</f>
        <v>#REF!</v>
      </c>
      <c r="AH688" s="29" t="e">
        <f>INDEX(Tabelle11[#All],Tabelle10[[#This Row],[Spalte1]]+14,$AH$2)</f>
        <v>#REF!</v>
      </c>
      <c r="AI688" s="29" t="e">
        <f>INDEX(Tabelle11[#All],Tabelle10[[#This Row],[Spalte1]]+14,$AI$2)</f>
        <v>#REF!</v>
      </c>
      <c r="AJ688" s="29" t="e">
        <f>INDEX(Tabelle11[#All],Tabelle10[[#This Row],[Spalte1]]+14,Ranking!$AJ$2)</f>
        <v>#REF!</v>
      </c>
    </row>
    <row r="689" spans="32:36" x14ac:dyDescent="0.25">
      <c r="AF689" s="29">
        <f>IF(IFERROR(Tabelle12[[#This Row],[Spiel]],0)=0,AF688+1,Tabelle12[[#This Row],[Spiel]])</f>
        <v>687</v>
      </c>
      <c r="AG689" s="29" t="e">
        <f>INDEX(Tabelle11[#All],Tabelle10[[#This Row],[Spalte1]]+14,Ranking!$AG$2)</f>
        <v>#REF!</v>
      </c>
      <c r="AH689" s="29" t="e">
        <f>INDEX(Tabelle11[#All],Tabelle10[[#This Row],[Spalte1]]+14,$AH$2)</f>
        <v>#REF!</v>
      </c>
      <c r="AI689" s="29" t="e">
        <f>INDEX(Tabelle11[#All],Tabelle10[[#This Row],[Spalte1]]+14,$AI$2)</f>
        <v>#REF!</v>
      </c>
      <c r="AJ689" s="29" t="e">
        <f>INDEX(Tabelle11[#All],Tabelle10[[#This Row],[Spalte1]]+14,Ranking!$AJ$2)</f>
        <v>#REF!</v>
      </c>
    </row>
    <row r="690" spans="32:36" x14ac:dyDescent="0.25">
      <c r="AF690" s="29">
        <f>IF(IFERROR(Tabelle12[[#This Row],[Spiel]],0)=0,AF689+1,Tabelle12[[#This Row],[Spiel]])</f>
        <v>688</v>
      </c>
      <c r="AG690" s="29" t="e">
        <f>INDEX(Tabelle11[#All],Tabelle10[[#This Row],[Spalte1]]+14,Ranking!$AG$2)</f>
        <v>#REF!</v>
      </c>
      <c r="AH690" s="29" t="e">
        <f>INDEX(Tabelle11[#All],Tabelle10[[#This Row],[Spalte1]]+14,$AH$2)</f>
        <v>#REF!</v>
      </c>
      <c r="AI690" s="29" t="e">
        <f>INDEX(Tabelle11[#All],Tabelle10[[#This Row],[Spalte1]]+14,$AI$2)</f>
        <v>#REF!</v>
      </c>
      <c r="AJ690" s="29" t="e">
        <f>INDEX(Tabelle11[#All],Tabelle10[[#This Row],[Spalte1]]+14,Ranking!$AJ$2)</f>
        <v>#REF!</v>
      </c>
    </row>
    <row r="691" spans="32:36" x14ac:dyDescent="0.25">
      <c r="AF691" s="29">
        <f>IF(IFERROR(Tabelle12[[#This Row],[Spiel]],0)=0,AF690+1,Tabelle12[[#This Row],[Spiel]])</f>
        <v>689</v>
      </c>
      <c r="AG691" s="29" t="e">
        <f>INDEX(Tabelle11[#All],Tabelle10[[#This Row],[Spalte1]]+14,Ranking!$AG$2)</f>
        <v>#REF!</v>
      </c>
      <c r="AH691" s="29" t="e">
        <f>INDEX(Tabelle11[#All],Tabelle10[[#This Row],[Spalte1]]+14,$AH$2)</f>
        <v>#REF!</v>
      </c>
      <c r="AI691" s="29" t="e">
        <f>INDEX(Tabelle11[#All],Tabelle10[[#This Row],[Spalte1]]+14,$AI$2)</f>
        <v>#REF!</v>
      </c>
      <c r="AJ691" s="29" t="e">
        <f>INDEX(Tabelle11[#All],Tabelle10[[#This Row],[Spalte1]]+14,Ranking!$AJ$2)</f>
        <v>#REF!</v>
      </c>
    </row>
    <row r="692" spans="32:36" x14ac:dyDescent="0.25">
      <c r="AF692" s="29">
        <f>IF(IFERROR(Tabelle12[[#This Row],[Spiel]],0)=0,AF691+1,Tabelle12[[#This Row],[Spiel]])</f>
        <v>690</v>
      </c>
      <c r="AG692" s="29" t="e">
        <f>INDEX(Tabelle11[#All],Tabelle10[[#This Row],[Spalte1]]+14,Ranking!$AG$2)</f>
        <v>#REF!</v>
      </c>
      <c r="AH692" s="29" t="e">
        <f>INDEX(Tabelle11[#All],Tabelle10[[#This Row],[Spalte1]]+14,$AH$2)</f>
        <v>#REF!</v>
      </c>
      <c r="AI692" s="29" t="e">
        <f>INDEX(Tabelle11[#All],Tabelle10[[#This Row],[Spalte1]]+14,$AI$2)</f>
        <v>#REF!</v>
      </c>
      <c r="AJ692" s="29" t="e">
        <f>INDEX(Tabelle11[#All],Tabelle10[[#This Row],[Spalte1]]+14,Ranking!$AJ$2)</f>
        <v>#REF!</v>
      </c>
    </row>
    <row r="693" spans="32:36" x14ac:dyDescent="0.25">
      <c r="AF693" s="29">
        <f>IF(IFERROR(Tabelle12[[#This Row],[Spiel]],0)=0,AF692+1,Tabelle12[[#This Row],[Spiel]])</f>
        <v>691</v>
      </c>
      <c r="AG693" s="29" t="e">
        <f>INDEX(Tabelle11[#All],Tabelle10[[#This Row],[Spalte1]]+14,Ranking!$AG$2)</f>
        <v>#REF!</v>
      </c>
      <c r="AH693" s="29" t="e">
        <f>INDEX(Tabelle11[#All],Tabelle10[[#This Row],[Spalte1]]+14,$AH$2)</f>
        <v>#REF!</v>
      </c>
      <c r="AI693" s="29" t="e">
        <f>INDEX(Tabelle11[#All],Tabelle10[[#This Row],[Spalte1]]+14,$AI$2)</f>
        <v>#REF!</v>
      </c>
      <c r="AJ693" s="29" t="e">
        <f>INDEX(Tabelle11[#All],Tabelle10[[#This Row],[Spalte1]]+14,Ranking!$AJ$2)</f>
        <v>#REF!</v>
      </c>
    </row>
    <row r="694" spans="32:36" x14ac:dyDescent="0.25">
      <c r="AF694" s="29">
        <f>IF(IFERROR(Tabelle12[[#This Row],[Spiel]],0)=0,AF693+1,Tabelle12[[#This Row],[Spiel]])</f>
        <v>692</v>
      </c>
      <c r="AG694" s="29" t="e">
        <f>INDEX(Tabelle11[#All],Tabelle10[[#This Row],[Spalte1]]+14,Ranking!$AG$2)</f>
        <v>#REF!</v>
      </c>
      <c r="AH694" s="29" t="e">
        <f>INDEX(Tabelle11[#All],Tabelle10[[#This Row],[Spalte1]]+14,$AH$2)</f>
        <v>#REF!</v>
      </c>
      <c r="AI694" s="29" t="e">
        <f>INDEX(Tabelle11[#All],Tabelle10[[#This Row],[Spalte1]]+14,$AI$2)</f>
        <v>#REF!</v>
      </c>
      <c r="AJ694" s="29" t="e">
        <f>INDEX(Tabelle11[#All],Tabelle10[[#This Row],[Spalte1]]+14,Ranking!$AJ$2)</f>
        <v>#REF!</v>
      </c>
    </row>
    <row r="695" spans="32:36" x14ac:dyDescent="0.25">
      <c r="AF695" s="29">
        <f>IF(IFERROR(Tabelle12[[#This Row],[Spiel]],0)=0,AF694+1,Tabelle12[[#This Row],[Spiel]])</f>
        <v>693</v>
      </c>
      <c r="AG695" s="29" t="e">
        <f>INDEX(Tabelle11[#All],Tabelle10[[#This Row],[Spalte1]]+14,Ranking!$AG$2)</f>
        <v>#REF!</v>
      </c>
      <c r="AH695" s="29" t="e">
        <f>INDEX(Tabelle11[#All],Tabelle10[[#This Row],[Spalte1]]+14,$AH$2)</f>
        <v>#REF!</v>
      </c>
      <c r="AI695" s="29" t="e">
        <f>INDEX(Tabelle11[#All],Tabelle10[[#This Row],[Spalte1]]+14,$AI$2)</f>
        <v>#REF!</v>
      </c>
      <c r="AJ695" s="29" t="e">
        <f>INDEX(Tabelle11[#All],Tabelle10[[#This Row],[Spalte1]]+14,Ranking!$AJ$2)</f>
        <v>#REF!</v>
      </c>
    </row>
    <row r="696" spans="32:36" x14ac:dyDescent="0.25">
      <c r="AF696" s="29">
        <f>IF(IFERROR(Tabelle12[[#This Row],[Spiel]],0)=0,AF695+1,Tabelle12[[#This Row],[Spiel]])</f>
        <v>694</v>
      </c>
      <c r="AG696" s="29" t="e">
        <f>INDEX(Tabelle11[#All],Tabelle10[[#This Row],[Spalte1]]+14,Ranking!$AG$2)</f>
        <v>#REF!</v>
      </c>
      <c r="AH696" s="29" t="e">
        <f>INDEX(Tabelle11[#All],Tabelle10[[#This Row],[Spalte1]]+14,$AH$2)</f>
        <v>#REF!</v>
      </c>
      <c r="AI696" s="29" t="e">
        <f>INDEX(Tabelle11[#All],Tabelle10[[#This Row],[Spalte1]]+14,$AI$2)</f>
        <v>#REF!</v>
      </c>
      <c r="AJ696" s="29" t="e">
        <f>INDEX(Tabelle11[#All],Tabelle10[[#This Row],[Spalte1]]+14,Ranking!$AJ$2)</f>
        <v>#REF!</v>
      </c>
    </row>
    <row r="697" spans="32:36" x14ac:dyDescent="0.25">
      <c r="AF697" s="29">
        <f>IF(IFERROR(Tabelle12[[#This Row],[Spiel]],0)=0,AF696+1,Tabelle12[[#This Row],[Spiel]])</f>
        <v>695</v>
      </c>
      <c r="AG697" s="29" t="e">
        <f>INDEX(Tabelle11[#All],Tabelle10[[#This Row],[Spalte1]]+14,Ranking!$AG$2)</f>
        <v>#REF!</v>
      </c>
      <c r="AH697" s="29" t="e">
        <f>INDEX(Tabelle11[#All],Tabelle10[[#This Row],[Spalte1]]+14,$AH$2)</f>
        <v>#REF!</v>
      </c>
      <c r="AI697" s="29" t="e">
        <f>INDEX(Tabelle11[#All],Tabelle10[[#This Row],[Spalte1]]+14,$AI$2)</f>
        <v>#REF!</v>
      </c>
      <c r="AJ697" s="29" t="e">
        <f>INDEX(Tabelle11[#All],Tabelle10[[#This Row],[Spalte1]]+14,Ranking!$AJ$2)</f>
        <v>#REF!</v>
      </c>
    </row>
    <row r="698" spans="32:36" x14ac:dyDescent="0.25">
      <c r="AF698" s="29">
        <f>IF(IFERROR(Tabelle12[[#This Row],[Spiel]],0)=0,AF697+1,Tabelle12[[#This Row],[Spiel]])</f>
        <v>696</v>
      </c>
      <c r="AG698" s="29" t="e">
        <f>INDEX(Tabelle11[#All],Tabelle10[[#This Row],[Spalte1]]+14,Ranking!$AG$2)</f>
        <v>#REF!</v>
      </c>
      <c r="AH698" s="29" t="e">
        <f>INDEX(Tabelle11[#All],Tabelle10[[#This Row],[Spalte1]]+14,$AH$2)</f>
        <v>#REF!</v>
      </c>
      <c r="AI698" s="29" t="e">
        <f>INDEX(Tabelle11[#All],Tabelle10[[#This Row],[Spalte1]]+14,$AI$2)</f>
        <v>#REF!</v>
      </c>
      <c r="AJ698" s="29" t="e">
        <f>INDEX(Tabelle11[#All],Tabelle10[[#This Row],[Spalte1]]+14,Ranking!$AJ$2)</f>
        <v>#REF!</v>
      </c>
    </row>
    <row r="699" spans="32:36" x14ac:dyDescent="0.25">
      <c r="AF699" s="29">
        <f>IF(IFERROR(Tabelle12[[#This Row],[Spiel]],0)=0,AF698+1,Tabelle12[[#This Row],[Spiel]])</f>
        <v>697</v>
      </c>
      <c r="AG699" s="29" t="e">
        <f>INDEX(Tabelle11[#All],Tabelle10[[#This Row],[Spalte1]]+14,Ranking!$AG$2)</f>
        <v>#REF!</v>
      </c>
      <c r="AH699" s="29" t="e">
        <f>INDEX(Tabelle11[#All],Tabelle10[[#This Row],[Spalte1]]+14,$AH$2)</f>
        <v>#REF!</v>
      </c>
      <c r="AI699" s="29" t="e">
        <f>INDEX(Tabelle11[#All],Tabelle10[[#This Row],[Spalte1]]+14,$AI$2)</f>
        <v>#REF!</v>
      </c>
      <c r="AJ699" s="29" t="e">
        <f>INDEX(Tabelle11[#All],Tabelle10[[#This Row],[Spalte1]]+14,Ranking!$AJ$2)</f>
        <v>#REF!</v>
      </c>
    </row>
    <row r="700" spans="32:36" x14ac:dyDescent="0.25">
      <c r="AF700" s="29">
        <f>IF(IFERROR(Tabelle12[[#This Row],[Spiel]],0)=0,AF699+1,Tabelle12[[#This Row],[Spiel]])</f>
        <v>698</v>
      </c>
      <c r="AG700" s="29" t="e">
        <f>INDEX(Tabelle11[#All],Tabelle10[[#This Row],[Spalte1]]+14,Ranking!$AG$2)</f>
        <v>#REF!</v>
      </c>
      <c r="AH700" s="29" t="e">
        <f>INDEX(Tabelle11[#All],Tabelle10[[#This Row],[Spalte1]]+14,$AH$2)</f>
        <v>#REF!</v>
      </c>
      <c r="AI700" s="29" t="e">
        <f>INDEX(Tabelle11[#All],Tabelle10[[#This Row],[Spalte1]]+14,$AI$2)</f>
        <v>#REF!</v>
      </c>
      <c r="AJ700" s="29" t="e">
        <f>INDEX(Tabelle11[#All],Tabelle10[[#This Row],[Spalte1]]+14,Ranking!$AJ$2)</f>
        <v>#REF!</v>
      </c>
    </row>
    <row r="701" spans="32:36" x14ac:dyDescent="0.25">
      <c r="AF701" s="29">
        <f>IF(IFERROR(Tabelle12[[#This Row],[Spiel]],0)=0,AF700+1,Tabelle12[[#This Row],[Spiel]])</f>
        <v>699</v>
      </c>
      <c r="AG701" s="29" t="e">
        <f>INDEX(Tabelle11[#All],Tabelle10[[#This Row],[Spalte1]]+14,Ranking!$AG$2)</f>
        <v>#REF!</v>
      </c>
      <c r="AH701" s="29" t="e">
        <f>INDEX(Tabelle11[#All],Tabelle10[[#This Row],[Spalte1]]+14,$AH$2)</f>
        <v>#REF!</v>
      </c>
      <c r="AI701" s="29" t="e">
        <f>INDEX(Tabelle11[#All],Tabelle10[[#This Row],[Spalte1]]+14,$AI$2)</f>
        <v>#REF!</v>
      </c>
      <c r="AJ701" s="29" t="e">
        <f>INDEX(Tabelle11[#All],Tabelle10[[#This Row],[Spalte1]]+14,Ranking!$AJ$2)</f>
        <v>#REF!</v>
      </c>
    </row>
    <row r="702" spans="32:36" x14ac:dyDescent="0.25">
      <c r="AF702" s="29">
        <f>IF(IFERROR(Tabelle12[[#This Row],[Spiel]],0)=0,AF701+1,Tabelle12[[#This Row],[Spiel]])</f>
        <v>700</v>
      </c>
      <c r="AG702" s="29" t="e">
        <f>INDEX(Tabelle11[#All],Tabelle10[[#This Row],[Spalte1]]+14,Ranking!$AG$2)</f>
        <v>#REF!</v>
      </c>
      <c r="AH702" s="29" t="e">
        <f>INDEX(Tabelle11[#All],Tabelle10[[#This Row],[Spalte1]]+14,$AH$2)</f>
        <v>#REF!</v>
      </c>
      <c r="AI702" s="29" t="e">
        <f>INDEX(Tabelle11[#All],Tabelle10[[#This Row],[Spalte1]]+14,$AI$2)</f>
        <v>#REF!</v>
      </c>
      <c r="AJ702" s="29" t="e">
        <f>INDEX(Tabelle11[#All],Tabelle10[[#This Row],[Spalte1]]+14,Ranking!$AJ$2)</f>
        <v>#REF!</v>
      </c>
    </row>
    <row r="703" spans="32:36" x14ac:dyDescent="0.25">
      <c r="AF703" s="29">
        <f>IF(IFERROR(Tabelle12[[#This Row],[Spiel]],0)=0,AF702+1,Tabelle12[[#This Row],[Spiel]])</f>
        <v>701</v>
      </c>
      <c r="AG703" s="29" t="e">
        <f>INDEX(Tabelle11[#All],Tabelle10[[#This Row],[Spalte1]]+14,Ranking!$AG$2)</f>
        <v>#REF!</v>
      </c>
      <c r="AH703" s="29" t="e">
        <f>INDEX(Tabelle11[#All],Tabelle10[[#This Row],[Spalte1]]+14,$AH$2)</f>
        <v>#REF!</v>
      </c>
      <c r="AI703" s="29" t="e">
        <f>INDEX(Tabelle11[#All],Tabelle10[[#This Row],[Spalte1]]+14,$AI$2)</f>
        <v>#REF!</v>
      </c>
      <c r="AJ703" s="29" t="e">
        <f>INDEX(Tabelle11[#All],Tabelle10[[#This Row],[Spalte1]]+14,Ranking!$AJ$2)</f>
        <v>#REF!</v>
      </c>
    </row>
    <row r="704" spans="32:36" x14ac:dyDescent="0.25">
      <c r="AF704" s="29">
        <f>IF(IFERROR(Tabelle12[[#This Row],[Spiel]],0)=0,AF703+1,Tabelle12[[#This Row],[Spiel]])</f>
        <v>702</v>
      </c>
      <c r="AG704" s="29" t="e">
        <f>INDEX(Tabelle11[#All],Tabelle10[[#This Row],[Spalte1]]+14,Ranking!$AG$2)</f>
        <v>#REF!</v>
      </c>
      <c r="AH704" s="29" t="e">
        <f>INDEX(Tabelle11[#All],Tabelle10[[#This Row],[Spalte1]]+14,$AH$2)</f>
        <v>#REF!</v>
      </c>
      <c r="AI704" s="29" t="e">
        <f>INDEX(Tabelle11[#All],Tabelle10[[#This Row],[Spalte1]]+14,$AI$2)</f>
        <v>#REF!</v>
      </c>
      <c r="AJ704" s="29" t="e">
        <f>INDEX(Tabelle11[#All],Tabelle10[[#This Row],[Spalte1]]+14,Ranking!$AJ$2)</f>
        <v>#REF!</v>
      </c>
    </row>
    <row r="705" spans="32:36" x14ac:dyDescent="0.25">
      <c r="AF705" s="29">
        <f>IF(IFERROR(Tabelle12[[#This Row],[Spiel]],0)=0,AF704+1,Tabelle12[[#This Row],[Spiel]])</f>
        <v>703</v>
      </c>
      <c r="AG705" s="29" t="e">
        <f>INDEX(Tabelle11[#All],Tabelle10[[#This Row],[Spalte1]]+14,Ranking!$AG$2)</f>
        <v>#REF!</v>
      </c>
      <c r="AH705" s="29" t="e">
        <f>INDEX(Tabelle11[#All],Tabelle10[[#This Row],[Spalte1]]+14,$AH$2)</f>
        <v>#REF!</v>
      </c>
      <c r="AI705" s="29" t="e">
        <f>INDEX(Tabelle11[#All],Tabelle10[[#This Row],[Spalte1]]+14,$AI$2)</f>
        <v>#REF!</v>
      </c>
      <c r="AJ705" s="29" t="e">
        <f>INDEX(Tabelle11[#All],Tabelle10[[#This Row],[Spalte1]]+14,Ranking!$AJ$2)</f>
        <v>#REF!</v>
      </c>
    </row>
    <row r="706" spans="32:36" x14ac:dyDescent="0.25">
      <c r="AF706" s="29">
        <f>IF(IFERROR(Tabelle12[[#This Row],[Spiel]],0)=0,AF705+1,Tabelle12[[#This Row],[Spiel]])</f>
        <v>704</v>
      </c>
      <c r="AG706" s="29" t="e">
        <f>INDEX(Tabelle11[#All],Tabelle10[[#This Row],[Spalte1]]+14,Ranking!$AG$2)</f>
        <v>#REF!</v>
      </c>
      <c r="AH706" s="29" t="e">
        <f>INDEX(Tabelle11[#All],Tabelle10[[#This Row],[Spalte1]]+14,$AH$2)</f>
        <v>#REF!</v>
      </c>
      <c r="AI706" s="29" t="e">
        <f>INDEX(Tabelle11[#All],Tabelle10[[#This Row],[Spalte1]]+14,$AI$2)</f>
        <v>#REF!</v>
      </c>
      <c r="AJ706" s="29" t="e">
        <f>INDEX(Tabelle11[#All],Tabelle10[[#This Row],[Spalte1]]+14,Ranking!$AJ$2)</f>
        <v>#REF!</v>
      </c>
    </row>
    <row r="707" spans="32:36" x14ac:dyDescent="0.25">
      <c r="AF707" s="29">
        <f>IF(IFERROR(Tabelle12[[#This Row],[Spiel]],0)=0,AF706+1,Tabelle12[[#This Row],[Spiel]])</f>
        <v>705</v>
      </c>
      <c r="AG707" s="29" t="e">
        <f>INDEX(Tabelle11[#All],Tabelle10[[#This Row],[Spalte1]]+14,Ranking!$AG$2)</f>
        <v>#REF!</v>
      </c>
      <c r="AH707" s="29" t="e">
        <f>INDEX(Tabelle11[#All],Tabelle10[[#This Row],[Spalte1]]+14,$AH$2)</f>
        <v>#REF!</v>
      </c>
      <c r="AI707" s="29" t="e">
        <f>INDEX(Tabelle11[#All],Tabelle10[[#This Row],[Spalte1]]+14,$AI$2)</f>
        <v>#REF!</v>
      </c>
      <c r="AJ707" s="29" t="e">
        <f>INDEX(Tabelle11[#All],Tabelle10[[#This Row],[Spalte1]]+14,Ranking!$AJ$2)</f>
        <v>#REF!</v>
      </c>
    </row>
    <row r="708" spans="32:36" x14ac:dyDescent="0.25">
      <c r="AF708" s="29">
        <f>IF(IFERROR(Tabelle12[[#This Row],[Spiel]],0)=0,AF707+1,Tabelle12[[#This Row],[Spiel]])</f>
        <v>706</v>
      </c>
      <c r="AG708" s="29" t="e">
        <f>INDEX(Tabelle11[#All],Tabelle10[[#This Row],[Spalte1]]+14,Ranking!$AG$2)</f>
        <v>#REF!</v>
      </c>
      <c r="AH708" s="29" t="e">
        <f>INDEX(Tabelle11[#All],Tabelle10[[#This Row],[Spalte1]]+14,$AH$2)</f>
        <v>#REF!</v>
      </c>
      <c r="AI708" s="29" t="e">
        <f>INDEX(Tabelle11[#All],Tabelle10[[#This Row],[Spalte1]]+14,$AI$2)</f>
        <v>#REF!</v>
      </c>
      <c r="AJ708" s="29" t="e">
        <f>INDEX(Tabelle11[#All],Tabelle10[[#This Row],[Spalte1]]+14,Ranking!$AJ$2)</f>
        <v>#REF!</v>
      </c>
    </row>
    <row r="709" spans="32:36" x14ac:dyDescent="0.25">
      <c r="AF709" s="29">
        <f>IF(IFERROR(Tabelle12[[#This Row],[Spiel]],0)=0,AF708+1,Tabelle12[[#This Row],[Spiel]])</f>
        <v>707</v>
      </c>
      <c r="AG709" s="29" t="e">
        <f>INDEX(Tabelle11[#All],Tabelle10[[#This Row],[Spalte1]]+14,Ranking!$AG$2)</f>
        <v>#REF!</v>
      </c>
      <c r="AH709" s="29" t="e">
        <f>INDEX(Tabelle11[#All],Tabelle10[[#This Row],[Spalte1]]+14,$AH$2)</f>
        <v>#REF!</v>
      </c>
      <c r="AI709" s="29" t="e">
        <f>INDEX(Tabelle11[#All],Tabelle10[[#This Row],[Spalte1]]+14,$AI$2)</f>
        <v>#REF!</v>
      </c>
      <c r="AJ709" s="29" t="e">
        <f>INDEX(Tabelle11[#All],Tabelle10[[#This Row],[Spalte1]]+14,Ranking!$AJ$2)</f>
        <v>#REF!</v>
      </c>
    </row>
    <row r="710" spans="32:36" x14ac:dyDescent="0.25">
      <c r="AF710" s="29">
        <f>IF(IFERROR(Tabelle12[[#This Row],[Spiel]],0)=0,AF709+1,Tabelle12[[#This Row],[Spiel]])</f>
        <v>708</v>
      </c>
      <c r="AG710" s="29" t="e">
        <f>INDEX(Tabelle11[#All],Tabelle10[[#This Row],[Spalte1]]+14,Ranking!$AG$2)</f>
        <v>#REF!</v>
      </c>
      <c r="AH710" s="29" t="e">
        <f>INDEX(Tabelle11[#All],Tabelle10[[#This Row],[Spalte1]]+14,$AH$2)</f>
        <v>#REF!</v>
      </c>
      <c r="AI710" s="29" t="e">
        <f>INDEX(Tabelle11[#All],Tabelle10[[#This Row],[Spalte1]]+14,$AI$2)</f>
        <v>#REF!</v>
      </c>
      <c r="AJ710" s="29" t="e">
        <f>INDEX(Tabelle11[#All],Tabelle10[[#This Row],[Spalte1]]+14,Ranking!$AJ$2)</f>
        <v>#REF!</v>
      </c>
    </row>
    <row r="711" spans="32:36" x14ac:dyDescent="0.25">
      <c r="AF711" s="29">
        <f>IF(IFERROR(Tabelle12[[#This Row],[Spiel]],0)=0,AF710+1,Tabelle12[[#This Row],[Spiel]])</f>
        <v>709</v>
      </c>
      <c r="AG711" s="29" t="e">
        <f>INDEX(Tabelle11[#All],Tabelle10[[#This Row],[Spalte1]]+14,Ranking!$AG$2)</f>
        <v>#REF!</v>
      </c>
      <c r="AH711" s="29" t="e">
        <f>INDEX(Tabelle11[#All],Tabelle10[[#This Row],[Spalte1]]+14,$AH$2)</f>
        <v>#REF!</v>
      </c>
      <c r="AI711" s="29" t="e">
        <f>INDEX(Tabelle11[#All],Tabelle10[[#This Row],[Spalte1]]+14,$AI$2)</f>
        <v>#REF!</v>
      </c>
      <c r="AJ711" s="29" t="e">
        <f>INDEX(Tabelle11[#All],Tabelle10[[#This Row],[Spalte1]]+14,Ranking!$AJ$2)</f>
        <v>#REF!</v>
      </c>
    </row>
    <row r="712" spans="32:36" x14ac:dyDescent="0.25">
      <c r="AF712" s="29">
        <f>IF(IFERROR(Tabelle12[[#This Row],[Spiel]],0)=0,AF711+1,Tabelle12[[#This Row],[Spiel]])</f>
        <v>710</v>
      </c>
      <c r="AG712" s="29" t="e">
        <f>INDEX(Tabelle11[#All],Tabelle10[[#This Row],[Spalte1]]+14,Ranking!$AG$2)</f>
        <v>#REF!</v>
      </c>
      <c r="AH712" s="29" t="e">
        <f>INDEX(Tabelle11[#All],Tabelle10[[#This Row],[Spalte1]]+14,$AH$2)</f>
        <v>#REF!</v>
      </c>
      <c r="AI712" s="29" t="e">
        <f>INDEX(Tabelle11[#All],Tabelle10[[#This Row],[Spalte1]]+14,$AI$2)</f>
        <v>#REF!</v>
      </c>
      <c r="AJ712" s="29" t="e">
        <f>INDEX(Tabelle11[#All],Tabelle10[[#This Row],[Spalte1]]+14,Ranking!$AJ$2)</f>
        <v>#REF!</v>
      </c>
    </row>
    <row r="713" spans="32:36" x14ac:dyDescent="0.25">
      <c r="AF713" s="29">
        <f>IF(IFERROR(Tabelle12[[#This Row],[Spiel]],0)=0,AF712+1,Tabelle12[[#This Row],[Spiel]])</f>
        <v>711</v>
      </c>
      <c r="AG713" s="29" t="e">
        <f>INDEX(Tabelle11[#All],Tabelle10[[#This Row],[Spalte1]]+14,Ranking!$AG$2)</f>
        <v>#REF!</v>
      </c>
      <c r="AH713" s="29" t="e">
        <f>INDEX(Tabelle11[#All],Tabelle10[[#This Row],[Spalte1]]+14,$AH$2)</f>
        <v>#REF!</v>
      </c>
      <c r="AI713" s="29" t="e">
        <f>INDEX(Tabelle11[#All],Tabelle10[[#This Row],[Spalte1]]+14,$AI$2)</f>
        <v>#REF!</v>
      </c>
      <c r="AJ713" s="29" t="e">
        <f>INDEX(Tabelle11[#All],Tabelle10[[#This Row],[Spalte1]]+14,Ranking!$AJ$2)</f>
        <v>#REF!</v>
      </c>
    </row>
    <row r="714" spans="32:36" x14ac:dyDescent="0.25">
      <c r="AF714" s="29">
        <f>IF(IFERROR(Tabelle12[[#This Row],[Spiel]],0)=0,AF713+1,Tabelle12[[#This Row],[Spiel]])</f>
        <v>712</v>
      </c>
      <c r="AG714" s="29" t="e">
        <f>INDEX(Tabelle11[#All],Tabelle10[[#This Row],[Spalte1]]+14,Ranking!$AG$2)</f>
        <v>#REF!</v>
      </c>
      <c r="AH714" s="29" t="e">
        <f>INDEX(Tabelle11[#All],Tabelle10[[#This Row],[Spalte1]]+14,$AH$2)</f>
        <v>#REF!</v>
      </c>
      <c r="AI714" s="29" t="e">
        <f>INDEX(Tabelle11[#All],Tabelle10[[#This Row],[Spalte1]]+14,$AI$2)</f>
        <v>#REF!</v>
      </c>
      <c r="AJ714" s="29" t="e">
        <f>INDEX(Tabelle11[#All],Tabelle10[[#This Row],[Spalte1]]+14,Ranking!$AJ$2)</f>
        <v>#REF!</v>
      </c>
    </row>
    <row r="715" spans="32:36" x14ac:dyDescent="0.25">
      <c r="AF715" s="29">
        <f>IF(IFERROR(Tabelle12[[#This Row],[Spiel]],0)=0,AF714+1,Tabelle12[[#This Row],[Spiel]])</f>
        <v>713</v>
      </c>
      <c r="AG715" s="29" t="e">
        <f>INDEX(Tabelle11[#All],Tabelle10[[#This Row],[Spalte1]]+14,Ranking!$AG$2)</f>
        <v>#REF!</v>
      </c>
      <c r="AH715" s="29" t="e">
        <f>INDEX(Tabelle11[#All],Tabelle10[[#This Row],[Spalte1]]+14,$AH$2)</f>
        <v>#REF!</v>
      </c>
      <c r="AI715" s="29" t="e">
        <f>INDEX(Tabelle11[#All],Tabelle10[[#This Row],[Spalte1]]+14,$AI$2)</f>
        <v>#REF!</v>
      </c>
      <c r="AJ715" s="29" t="e">
        <f>INDEX(Tabelle11[#All],Tabelle10[[#This Row],[Spalte1]]+14,Ranking!$AJ$2)</f>
        <v>#REF!</v>
      </c>
    </row>
    <row r="716" spans="32:36" x14ac:dyDescent="0.25">
      <c r="AF716" s="29">
        <f>IF(IFERROR(Tabelle12[[#This Row],[Spiel]],0)=0,AF715+1,Tabelle12[[#This Row],[Spiel]])</f>
        <v>714</v>
      </c>
      <c r="AG716" s="29" t="e">
        <f>INDEX(Tabelle11[#All],Tabelle10[[#This Row],[Spalte1]]+14,Ranking!$AG$2)</f>
        <v>#REF!</v>
      </c>
      <c r="AH716" s="29" t="e">
        <f>INDEX(Tabelle11[#All],Tabelle10[[#This Row],[Spalte1]]+14,$AH$2)</f>
        <v>#REF!</v>
      </c>
      <c r="AI716" s="29" t="e">
        <f>INDEX(Tabelle11[#All],Tabelle10[[#This Row],[Spalte1]]+14,$AI$2)</f>
        <v>#REF!</v>
      </c>
      <c r="AJ716" s="29" t="e">
        <f>INDEX(Tabelle11[#All],Tabelle10[[#This Row],[Spalte1]]+14,Ranking!$AJ$2)</f>
        <v>#REF!</v>
      </c>
    </row>
    <row r="717" spans="32:36" x14ac:dyDescent="0.25">
      <c r="AF717" s="29">
        <f>IF(IFERROR(Tabelle12[[#This Row],[Spiel]],0)=0,AF716+1,Tabelle12[[#This Row],[Spiel]])</f>
        <v>715</v>
      </c>
      <c r="AG717" s="29" t="e">
        <f>INDEX(Tabelle11[#All],Tabelle10[[#This Row],[Spalte1]]+14,Ranking!$AG$2)</f>
        <v>#REF!</v>
      </c>
      <c r="AH717" s="29" t="e">
        <f>INDEX(Tabelle11[#All],Tabelle10[[#This Row],[Spalte1]]+14,$AH$2)</f>
        <v>#REF!</v>
      </c>
      <c r="AI717" s="29" t="e">
        <f>INDEX(Tabelle11[#All],Tabelle10[[#This Row],[Spalte1]]+14,$AI$2)</f>
        <v>#REF!</v>
      </c>
      <c r="AJ717" s="29" t="e">
        <f>INDEX(Tabelle11[#All],Tabelle10[[#This Row],[Spalte1]]+14,Ranking!$AJ$2)</f>
        <v>#REF!</v>
      </c>
    </row>
    <row r="718" spans="32:36" x14ac:dyDescent="0.25">
      <c r="AF718" s="29">
        <f>IF(IFERROR(Tabelle12[[#This Row],[Spiel]],0)=0,AF717+1,Tabelle12[[#This Row],[Spiel]])</f>
        <v>716</v>
      </c>
      <c r="AG718" s="29" t="e">
        <f>INDEX(Tabelle11[#All],Tabelle10[[#This Row],[Spalte1]]+14,Ranking!$AG$2)</f>
        <v>#REF!</v>
      </c>
      <c r="AH718" s="29" t="e">
        <f>INDEX(Tabelle11[#All],Tabelle10[[#This Row],[Spalte1]]+14,$AH$2)</f>
        <v>#REF!</v>
      </c>
      <c r="AI718" s="29" t="e">
        <f>INDEX(Tabelle11[#All],Tabelle10[[#This Row],[Spalte1]]+14,$AI$2)</f>
        <v>#REF!</v>
      </c>
      <c r="AJ718" s="29" t="e">
        <f>INDEX(Tabelle11[#All],Tabelle10[[#This Row],[Spalte1]]+14,Ranking!$AJ$2)</f>
        <v>#REF!</v>
      </c>
    </row>
    <row r="719" spans="32:36" x14ac:dyDescent="0.25">
      <c r="AF719" s="29">
        <f>IF(IFERROR(Tabelle12[[#This Row],[Spiel]],0)=0,AF718+1,Tabelle12[[#This Row],[Spiel]])</f>
        <v>717</v>
      </c>
      <c r="AG719" s="29" t="e">
        <f>INDEX(Tabelle11[#All],Tabelle10[[#This Row],[Spalte1]]+14,Ranking!$AG$2)</f>
        <v>#REF!</v>
      </c>
      <c r="AH719" s="29" t="e">
        <f>INDEX(Tabelle11[#All],Tabelle10[[#This Row],[Spalte1]]+14,$AH$2)</f>
        <v>#REF!</v>
      </c>
      <c r="AI719" s="29" t="e">
        <f>INDEX(Tabelle11[#All],Tabelle10[[#This Row],[Spalte1]]+14,$AI$2)</f>
        <v>#REF!</v>
      </c>
      <c r="AJ719" s="29" t="e">
        <f>INDEX(Tabelle11[#All],Tabelle10[[#This Row],[Spalte1]]+14,Ranking!$AJ$2)</f>
        <v>#REF!</v>
      </c>
    </row>
    <row r="720" spans="32:36" x14ac:dyDescent="0.25">
      <c r="AF720" s="29">
        <f>IF(IFERROR(Tabelle12[[#This Row],[Spiel]],0)=0,AF719+1,Tabelle12[[#This Row],[Spiel]])</f>
        <v>718</v>
      </c>
      <c r="AG720" s="29" t="e">
        <f>INDEX(Tabelle11[#All],Tabelle10[[#This Row],[Spalte1]]+14,Ranking!$AG$2)</f>
        <v>#REF!</v>
      </c>
      <c r="AH720" s="29" t="e">
        <f>INDEX(Tabelle11[#All],Tabelle10[[#This Row],[Spalte1]]+14,$AH$2)</f>
        <v>#REF!</v>
      </c>
      <c r="AI720" s="29" t="e">
        <f>INDEX(Tabelle11[#All],Tabelle10[[#This Row],[Spalte1]]+14,$AI$2)</f>
        <v>#REF!</v>
      </c>
      <c r="AJ720" s="29" t="e">
        <f>INDEX(Tabelle11[#All],Tabelle10[[#This Row],[Spalte1]]+14,Ranking!$AJ$2)</f>
        <v>#REF!</v>
      </c>
    </row>
    <row r="721" spans="32:36" x14ac:dyDescent="0.25">
      <c r="AF721" s="29">
        <f>IF(IFERROR(Tabelle12[[#This Row],[Spiel]],0)=0,AF720+1,Tabelle12[[#This Row],[Spiel]])</f>
        <v>719</v>
      </c>
      <c r="AG721" s="29" t="e">
        <f>INDEX(Tabelle11[#All],Tabelle10[[#This Row],[Spalte1]]+14,Ranking!$AG$2)</f>
        <v>#REF!</v>
      </c>
      <c r="AH721" s="29" t="e">
        <f>INDEX(Tabelle11[#All],Tabelle10[[#This Row],[Spalte1]]+14,$AH$2)</f>
        <v>#REF!</v>
      </c>
      <c r="AI721" s="29" t="e">
        <f>INDEX(Tabelle11[#All],Tabelle10[[#This Row],[Spalte1]]+14,$AI$2)</f>
        <v>#REF!</v>
      </c>
      <c r="AJ721" s="29" t="e">
        <f>INDEX(Tabelle11[#All],Tabelle10[[#This Row],[Spalte1]]+14,Ranking!$AJ$2)</f>
        <v>#REF!</v>
      </c>
    </row>
    <row r="722" spans="32:36" x14ac:dyDescent="0.25">
      <c r="AF722" s="29">
        <f>IF(IFERROR(Tabelle12[[#This Row],[Spiel]],0)=0,AF721+1,Tabelle12[[#This Row],[Spiel]])</f>
        <v>720</v>
      </c>
      <c r="AG722" s="29" t="e">
        <f>INDEX(Tabelle11[#All],Tabelle10[[#This Row],[Spalte1]]+14,Ranking!$AG$2)</f>
        <v>#REF!</v>
      </c>
      <c r="AH722" s="29" t="e">
        <f>INDEX(Tabelle11[#All],Tabelle10[[#This Row],[Spalte1]]+14,$AH$2)</f>
        <v>#REF!</v>
      </c>
      <c r="AI722" s="29" t="e">
        <f>INDEX(Tabelle11[#All],Tabelle10[[#This Row],[Spalte1]]+14,$AI$2)</f>
        <v>#REF!</v>
      </c>
      <c r="AJ722" s="29" t="e">
        <f>INDEX(Tabelle11[#All],Tabelle10[[#This Row],[Spalte1]]+14,Ranking!$AJ$2)</f>
        <v>#REF!</v>
      </c>
    </row>
    <row r="723" spans="32:36" x14ac:dyDescent="0.25">
      <c r="AF723" s="29">
        <f>IF(IFERROR(Tabelle12[[#This Row],[Spiel]],0)=0,AF722+1,Tabelle12[[#This Row],[Spiel]])</f>
        <v>721</v>
      </c>
      <c r="AG723" s="29" t="e">
        <f>INDEX(Tabelle11[#All],Tabelle10[[#This Row],[Spalte1]]+14,Ranking!$AG$2)</f>
        <v>#REF!</v>
      </c>
      <c r="AH723" s="29" t="e">
        <f>INDEX(Tabelle11[#All],Tabelle10[[#This Row],[Spalte1]]+14,$AH$2)</f>
        <v>#REF!</v>
      </c>
      <c r="AI723" s="29" t="e">
        <f>INDEX(Tabelle11[#All],Tabelle10[[#This Row],[Spalte1]]+14,$AI$2)</f>
        <v>#REF!</v>
      </c>
      <c r="AJ723" s="29" t="e">
        <f>INDEX(Tabelle11[#All],Tabelle10[[#This Row],[Spalte1]]+14,Ranking!$AJ$2)</f>
        <v>#REF!</v>
      </c>
    </row>
    <row r="724" spans="32:36" x14ac:dyDescent="0.25">
      <c r="AF724" s="29">
        <f>IF(IFERROR(Tabelle12[[#This Row],[Spiel]],0)=0,AF723+1,Tabelle12[[#This Row],[Spiel]])</f>
        <v>722</v>
      </c>
      <c r="AG724" s="29" t="e">
        <f>INDEX(Tabelle11[#All],Tabelle10[[#This Row],[Spalte1]]+14,Ranking!$AG$2)</f>
        <v>#REF!</v>
      </c>
      <c r="AH724" s="29" t="e">
        <f>INDEX(Tabelle11[#All],Tabelle10[[#This Row],[Spalte1]]+14,$AH$2)</f>
        <v>#REF!</v>
      </c>
      <c r="AI724" s="29" t="e">
        <f>INDEX(Tabelle11[#All],Tabelle10[[#This Row],[Spalte1]]+14,$AI$2)</f>
        <v>#REF!</v>
      </c>
      <c r="AJ724" s="29" t="e">
        <f>INDEX(Tabelle11[#All],Tabelle10[[#This Row],[Spalte1]]+14,Ranking!$AJ$2)</f>
        <v>#REF!</v>
      </c>
    </row>
    <row r="725" spans="32:36" x14ac:dyDescent="0.25">
      <c r="AF725" s="29">
        <f>IF(IFERROR(Tabelle12[[#This Row],[Spiel]],0)=0,AF724+1,Tabelle12[[#This Row],[Spiel]])</f>
        <v>723</v>
      </c>
      <c r="AG725" s="29" t="e">
        <f>INDEX(Tabelle11[#All],Tabelle10[[#This Row],[Spalte1]]+14,Ranking!$AG$2)</f>
        <v>#REF!</v>
      </c>
      <c r="AH725" s="29" t="e">
        <f>INDEX(Tabelle11[#All],Tabelle10[[#This Row],[Spalte1]]+14,$AH$2)</f>
        <v>#REF!</v>
      </c>
      <c r="AI725" s="29" t="e">
        <f>INDEX(Tabelle11[#All],Tabelle10[[#This Row],[Spalte1]]+14,$AI$2)</f>
        <v>#REF!</v>
      </c>
      <c r="AJ725" s="29" t="e">
        <f>INDEX(Tabelle11[#All],Tabelle10[[#This Row],[Spalte1]]+14,Ranking!$AJ$2)</f>
        <v>#REF!</v>
      </c>
    </row>
    <row r="726" spans="32:36" x14ac:dyDescent="0.25">
      <c r="AF726" s="29">
        <f>IF(IFERROR(Tabelle12[[#This Row],[Spiel]],0)=0,AF725+1,Tabelle12[[#This Row],[Spiel]])</f>
        <v>724</v>
      </c>
      <c r="AG726" s="29" t="e">
        <f>INDEX(Tabelle11[#All],Tabelle10[[#This Row],[Spalte1]]+14,Ranking!$AG$2)</f>
        <v>#REF!</v>
      </c>
      <c r="AH726" s="29" t="e">
        <f>INDEX(Tabelle11[#All],Tabelle10[[#This Row],[Spalte1]]+14,$AH$2)</f>
        <v>#REF!</v>
      </c>
      <c r="AI726" s="29" t="e">
        <f>INDEX(Tabelle11[#All],Tabelle10[[#This Row],[Spalte1]]+14,$AI$2)</f>
        <v>#REF!</v>
      </c>
      <c r="AJ726" s="29" t="e">
        <f>INDEX(Tabelle11[#All],Tabelle10[[#This Row],[Spalte1]]+14,Ranking!$AJ$2)</f>
        <v>#REF!</v>
      </c>
    </row>
    <row r="727" spans="32:36" x14ac:dyDescent="0.25">
      <c r="AF727" s="29">
        <f>IF(IFERROR(Tabelle12[[#This Row],[Spiel]],0)=0,AF726+1,Tabelle12[[#This Row],[Spiel]])</f>
        <v>725</v>
      </c>
      <c r="AG727" s="29" t="e">
        <f>INDEX(Tabelle11[#All],Tabelle10[[#This Row],[Spalte1]]+14,Ranking!$AG$2)</f>
        <v>#REF!</v>
      </c>
      <c r="AH727" s="29" t="e">
        <f>INDEX(Tabelle11[#All],Tabelle10[[#This Row],[Spalte1]]+14,$AH$2)</f>
        <v>#REF!</v>
      </c>
      <c r="AI727" s="29" t="e">
        <f>INDEX(Tabelle11[#All],Tabelle10[[#This Row],[Spalte1]]+14,$AI$2)</f>
        <v>#REF!</v>
      </c>
      <c r="AJ727" s="29" t="e">
        <f>INDEX(Tabelle11[#All],Tabelle10[[#This Row],[Spalte1]]+14,Ranking!$AJ$2)</f>
        <v>#REF!</v>
      </c>
    </row>
    <row r="728" spans="32:36" x14ac:dyDescent="0.25">
      <c r="AF728" s="29">
        <f>IF(IFERROR(Tabelle12[[#This Row],[Spiel]],0)=0,AF727+1,Tabelle12[[#This Row],[Spiel]])</f>
        <v>726</v>
      </c>
      <c r="AG728" s="29" t="e">
        <f>INDEX(Tabelle11[#All],Tabelle10[[#This Row],[Spalte1]]+14,Ranking!$AG$2)</f>
        <v>#REF!</v>
      </c>
      <c r="AH728" s="29" t="e">
        <f>INDEX(Tabelle11[#All],Tabelle10[[#This Row],[Spalte1]]+14,$AH$2)</f>
        <v>#REF!</v>
      </c>
      <c r="AI728" s="29" t="e">
        <f>INDEX(Tabelle11[#All],Tabelle10[[#This Row],[Spalte1]]+14,$AI$2)</f>
        <v>#REF!</v>
      </c>
      <c r="AJ728" s="29" t="e">
        <f>INDEX(Tabelle11[#All],Tabelle10[[#This Row],[Spalte1]]+14,Ranking!$AJ$2)</f>
        <v>#REF!</v>
      </c>
    </row>
    <row r="729" spans="32:36" x14ac:dyDescent="0.25">
      <c r="AF729" s="29">
        <f>IF(IFERROR(Tabelle12[[#This Row],[Spiel]],0)=0,AF728+1,Tabelle12[[#This Row],[Spiel]])</f>
        <v>727</v>
      </c>
      <c r="AG729" s="29" t="e">
        <f>INDEX(Tabelle11[#All],Tabelle10[[#This Row],[Spalte1]]+14,Ranking!$AG$2)</f>
        <v>#REF!</v>
      </c>
      <c r="AH729" s="29" t="e">
        <f>INDEX(Tabelle11[#All],Tabelle10[[#This Row],[Spalte1]]+14,$AH$2)</f>
        <v>#REF!</v>
      </c>
      <c r="AI729" s="29" t="e">
        <f>INDEX(Tabelle11[#All],Tabelle10[[#This Row],[Spalte1]]+14,$AI$2)</f>
        <v>#REF!</v>
      </c>
      <c r="AJ729" s="29" t="e">
        <f>INDEX(Tabelle11[#All],Tabelle10[[#This Row],[Spalte1]]+14,Ranking!$AJ$2)</f>
        <v>#REF!</v>
      </c>
    </row>
    <row r="730" spans="32:36" x14ac:dyDescent="0.25">
      <c r="AF730" s="29">
        <f>IF(IFERROR(Tabelle12[[#This Row],[Spiel]],0)=0,AF729+1,Tabelle12[[#This Row],[Spiel]])</f>
        <v>728</v>
      </c>
      <c r="AG730" s="29" t="e">
        <f>INDEX(Tabelle11[#All],Tabelle10[[#This Row],[Spalte1]]+14,Ranking!$AG$2)</f>
        <v>#REF!</v>
      </c>
      <c r="AH730" s="29" t="e">
        <f>INDEX(Tabelle11[#All],Tabelle10[[#This Row],[Spalte1]]+14,$AH$2)</f>
        <v>#REF!</v>
      </c>
      <c r="AI730" s="29" t="e">
        <f>INDEX(Tabelle11[#All],Tabelle10[[#This Row],[Spalte1]]+14,$AI$2)</f>
        <v>#REF!</v>
      </c>
      <c r="AJ730" s="29" t="e">
        <f>INDEX(Tabelle11[#All],Tabelle10[[#This Row],[Spalte1]]+14,Ranking!$AJ$2)</f>
        <v>#REF!</v>
      </c>
    </row>
    <row r="731" spans="32:36" x14ac:dyDescent="0.25">
      <c r="AF731" s="29">
        <f>IF(IFERROR(Tabelle12[[#This Row],[Spiel]],0)=0,AF730+1,Tabelle12[[#This Row],[Spiel]])</f>
        <v>729</v>
      </c>
      <c r="AG731" s="29" t="e">
        <f>INDEX(Tabelle11[#All],Tabelle10[[#This Row],[Spalte1]]+14,Ranking!$AG$2)</f>
        <v>#REF!</v>
      </c>
      <c r="AH731" s="29" t="e">
        <f>INDEX(Tabelle11[#All],Tabelle10[[#This Row],[Spalte1]]+14,$AH$2)</f>
        <v>#REF!</v>
      </c>
      <c r="AI731" s="29" t="e">
        <f>INDEX(Tabelle11[#All],Tabelle10[[#This Row],[Spalte1]]+14,$AI$2)</f>
        <v>#REF!</v>
      </c>
      <c r="AJ731" s="29" t="e">
        <f>INDEX(Tabelle11[#All],Tabelle10[[#This Row],[Spalte1]]+14,Ranking!$AJ$2)</f>
        <v>#REF!</v>
      </c>
    </row>
    <row r="732" spans="32:36" x14ac:dyDescent="0.25">
      <c r="AF732" s="29">
        <f>IF(IFERROR(Tabelle12[[#This Row],[Spiel]],0)=0,AF731+1,Tabelle12[[#This Row],[Spiel]])</f>
        <v>730</v>
      </c>
      <c r="AG732" s="29" t="e">
        <f>INDEX(Tabelle11[#All],Tabelle10[[#This Row],[Spalte1]]+14,Ranking!$AG$2)</f>
        <v>#REF!</v>
      </c>
      <c r="AH732" s="29" t="e">
        <f>INDEX(Tabelle11[#All],Tabelle10[[#This Row],[Spalte1]]+14,$AH$2)</f>
        <v>#REF!</v>
      </c>
      <c r="AI732" s="29" t="e">
        <f>INDEX(Tabelle11[#All],Tabelle10[[#This Row],[Spalte1]]+14,$AI$2)</f>
        <v>#REF!</v>
      </c>
      <c r="AJ732" s="29" t="e">
        <f>INDEX(Tabelle11[#All],Tabelle10[[#This Row],[Spalte1]]+14,Ranking!$AJ$2)</f>
        <v>#REF!</v>
      </c>
    </row>
  </sheetData>
  <sortState ref="D70:D115">
    <sortCondition ref="D70"/>
  </sortState>
  <conditionalFormatting sqref="J3 L3:W3">
    <cfRule type="expression" dxfId="25" priority="62">
      <formula>$X3&gt;9</formula>
    </cfRule>
    <cfRule type="expression" dxfId="24" priority="63">
      <formula>$X3&gt;7</formula>
    </cfRule>
    <cfRule type="expression" dxfId="23" priority="64">
      <formula>$X3&gt;5</formula>
    </cfRule>
    <cfRule type="expression" dxfId="22" priority="70">
      <formula>$X3&gt;3</formula>
    </cfRule>
    <cfRule type="expression" dxfId="21" priority="73">
      <formula>$X3&gt;0</formula>
    </cfRule>
  </conditionalFormatting>
  <conditionalFormatting sqref="J4:J12 L4:W12">
    <cfRule type="expression" dxfId="20" priority="57">
      <formula>$X4&gt;9</formula>
    </cfRule>
    <cfRule type="expression" dxfId="19" priority="58">
      <formula>$X4&gt;7</formula>
    </cfRule>
    <cfRule type="expression" dxfId="18" priority="59">
      <formula>$X4&gt;5</formula>
    </cfRule>
    <cfRule type="expression" dxfId="17" priority="60">
      <formula>$X4&gt;2</formula>
    </cfRule>
    <cfRule type="expression" dxfId="16" priority="61">
      <formula>$X4&gt;0</formula>
    </cfRule>
  </conditionalFormatting>
  <conditionalFormatting sqref="B3:B1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50">
    <cfRule type="cellIs" dxfId="15" priority="15" operator="equal">
      <formula>$R$3</formula>
    </cfRule>
    <cfRule type="cellIs" dxfId="14" priority="16" operator="equal">
      <formula>$P$3</formula>
    </cfRule>
    <cfRule type="cellIs" dxfId="13" priority="17" operator="equal">
      <formula>$M$3</formula>
    </cfRule>
    <cfRule type="cellIs" dxfId="12" priority="18" operator="equal">
      <formula>$K$3</formula>
    </cfRule>
  </conditionalFormatting>
  <conditionalFormatting sqref="D3:D4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4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4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">
    <cfRule type="expression" dxfId="11" priority="6">
      <formula>$X3&gt;9</formula>
    </cfRule>
    <cfRule type="expression" dxfId="10" priority="7">
      <formula>$X3&gt;7</formula>
    </cfRule>
    <cfRule type="expression" dxfId="9" priority="8">
      <formula>$X3&gt;5</formula>
    </cfRule>
    <cfRule type="expression" dxfId="8" priority="9">
      <formula>$X3&gt;3</formula>
    </cfRule>
    <cfRule type="expression" dxfId="7" priority="10">
      <formula>$X3&gt;0</formula>
    </cfRule>
  </conditionalFormatting>
  <conditionalFormatting sqref="K4:K12">
    <cfRule type="expression" dxfId="6" priority="1">
      <formula>$X4&gt;9</formula>
    </cfRule>
    <cfRule type="expression" dxfId="5" priority="2">
      <formula>$X4&gt;7</formula>
    </cfRule>
    <cfRule type="expression" dxfId="4" priority="3">
      <formula>$X4&gt;5</formula>
    </cfRule>
    <cfRule type="expression" dxfId="3" priority="4">
      <formula>$X4&gt;2</formula>
    </cfRule>
    <cfRule type="expression" dxfId="2" priority="5">
      <formula>$X4&gt;0</formula>
    </cfRule>
  </conditionalFormatting>
  <pageMargins left="0.7" right="0.7" top="0.78740157499999996" bottom="0.78740157499999996" header="0.3" footer="0.3"/>
  <pageSetup paperSize="9" orientation="portrait" horizontalDpi="0" verticalDpi="0" r:id="rId1"/>
  <drawing r:id="rId2"/>
  <tableParts count="4"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0"/>
  <sheetViews>
    <sheetView workbookViewId="0">
      <selection activeCell="C4" sqref="C4"/>
    </sheetView>
  </sheetViews>
  <sheetFormatPr baseColWidth="10" defaultRowHeight="15" x14ac:dyDescent="0.25"/>
  <cols>
    <col min="2" max="2" width="14" bestFit="1" customWidth="1"/>
  </cols>
  <sheetData>
    <row r="2" spans="2:18" x14ac:dyDescent="0.25">
      <c r="F2" s="1"/>
    </row>
    <row r="3" spans="2:18" x14ac:dyDescent="0.25">
      <c r="B3" t="s">
        <v>160</v>
      </c>
      <c r="C3">
        <v>529</v>
      </c>
      <c r="E3" s="30" t="s">
        <v>38</v>
      </c>
      <c r="F3" s="30" t="s">
        <v>158</v>
      </c>
      <c r="G3" s="30" t="s">
        <v>157</v>
      </c>
      <c r="H3" s="30">
        <v>10</v>
      </c>
      <c r="I3" s="30">
        <v>0</v>
      </c>
      <c r="J3" s="30" t="s">
        <v>39</v>
      </c>
      <c r="K3" s="30" t="s">
        <v>43</v>
      </c>
      <c r="L3" s="30" t="s">
        <v>44</v>
      </c>
    </row>
    <row r="4" spans="2:18" x14ac:dyDescent="0.25">
      <c r="B4" t="s">
        <v>160</v>
      </c>
      <c r="C4">
        <f>IF(B3=B4,C3,IF(B3=B5,C5,IF(B3=B6,C6)))</f>
        <v>529</v>
      </c>
      <c r="E4" t="s">
        <v>154</v>
      </c>
      <c r="F4" s="1" t="str">
        <f>IF(C4&lt;&gt;0,VLOOKUP($C$4,Tabelle12[#All],2,FALSE),F3)</f>
        <v>Carsten_H</v>
      </c>
      <c r="G4" s="1" t="str">
        <f>IF(C4&lt;&gt;0,VLOOKUP($C$4,Tabelle12[#All],3,FALSE),G3)</f>
        <v>Marvin_W</v>
      </c>
      <c r="H4" s="1" t="s">
        <v>155</v>
      </c>
      <c r="I4" t="s">
        <v>90</v>
      </c>
      <c r="J4" t="s">
        <v>154</v>
      </c>
      <c r="K4" s="1" t="str">
        <f>IF(C4&lt;&gt;0,VLOOKUP($C$4,Tabelle12[#All],4,FALSE),K3)</f>
        <v>Bastian_G</v>
      </c>
      <c r="L4" s="1" t="str">
        <f>IF(C4&lt;&gt;0,VLOOKUP($C$4,Tabelle12[#All],5,FALSE),L3)</f>
        <v>Rene_P</v>
      </c>
      <c r="M4" s="1" t="s">
        <v>155</v>
      </c>
    </row>
    <row r="5" spans="2:18" x14ac:dyDescent="0.25">
      <c r="B5" t="s">
        <v>161</v>
      </c>
      <c r="C5">
        <v>0</v>
      </c>
      <c r="E5" t="s">
        <v>152</v>
      </c>
      <c r="F5" s="1">
        <f>IF($C$4&lt;&gt;0,VLOOKUP($C$4,Tabelle12[#All],9,FALSE),HLOOKUP($F$4,Tabelle11[#All],2,FALSE))</f>
        <v>91.287455601467229</v>
      </c>
      <c r="G5" s="1">
        <f>IF($C$4&lt;&gt;0,VLOOKUP($C$4,Tabelle12[#All],10,FALSE),HLOOKUP($G$4,Tabelle11[#All],2,FALSE))</f>
        <v>97.224287136206158</v>
      </c>
      <c r="H5" s="1">
        <f>F5+G5</f>
        <v>188.51174273767339</v>
      </c>
      <c r="I5">
        <f>IF($C$4&lt;&gt;0,VLOOKUP($C$4,Tabelle12[#All],6,FALSE),H3)</f>
        <v>6</v>
      </c>
      <c r="J5" t="s">
        <v>152</v>
      </c>
      <c r="K5" s="1">
        <f>IF($C$4&lt;&gt;0,VLOOKUP($C$4,Tabelle12[#All],15,FALSE),HLOOKUP($K$4,Tabelle11[#All],2,FALSE))</f>
        <v>117.123478838868</v>
      </c>
      <c r="L5" s="1">
        <f>IF($C$4&lt;&gt;0,VLOOKUP($C$4,Tabelle12[#All],16,FALSE),HLOOKUP($L$4,Tabelle11[#All],2,FALSE))</f>
        <v>88.144559936538329</v>
      </c>
      <c r="M5" s="1">
        <f>K5+L5</f>
        <v>205.26803877540632</v>
      </c>
      <c r="N5">
        <f>IF($C$4&lt;&gt;0,VLOOKUP($C$4,Tabelle12[#All],7,FALSE),I3)</f>
        <v>10</v>
      </c>
      <c r="P5" t="s">
        <v>173</v>
      </c>
      <c r="Q5" s="1">
        <f>M5-H5</f>
        <v>16.756296037732938</v>
      </c>
    </row>
    <row r="6" spans="2:18" x14ac:dyDescent="0.25">
      <c r="B6" t="s">
        <v>159</v>
      </c>
      <c r="C6">
        <f>Ranking!J3</f>
        <v>530</v>
      </c>
      <c r="E6" t="s">
        <v>153</v>
      </c>
      <c r="F6" s="1">
        <f>IF($C$4&lt;&gt;0,VLOOKUP($C$4,Tabelle12[#All],28,FALSE)+F5,Q14+F5)</f>
        <v>91.472500317583055</v>
      </c>
      <c r="G6" s="1">
        <f>IF($C$4&lt;&gt;0,VLOOKUP($C$4,Tabelle12[#All],29,FALSE)+G5,G5+Q15)</f>
        <v>97.398032419450502</v>
      </c>
      <c r="H6" s="1">
        <f>F6+G6</f>
        <v>188.87053273703356</v>
      </c>
      <c r="J6" t="s">
        <v>153</v>
      </c>
      <c r="K6" s="1">
        <f>IF($C$4&lt;&gt;0,VLOOKUP($C$4,Tabelle12[#All],30,FALSE)+K5,K5+R14)</f>
        <v>116.9187575722336</v>
      </c>
      <c r="L6" s="1">
        <f>IF($C$4&lt;&gt;0,VLOOKUP($C$4,Tabelle12[#All],31,FALSE)+L5,L5+R15)</f>
        <v>87.990491203812553</v>
      </c>
      <c r="M6" s="1">
        <f>K6+L6</f>
        <v>204.90924877604616</v>
      </c>
      <c r="P6" t="s">
        <v>174</v>
      </c>
      <c r="Q6">
        <f>1/(1+Ergebnisvorhersage!$C$5^((Q5)/Ergebnisvorhersage!$C$6))*100</f>
        <v>31.612100006398343</v>
      </c>
    </row>
    <row r="7" spans="2:18" x14ac:dyDescent="0.25">
      <c r="E7" t="s">
        <v>156</v>
      </c>
      <c r="F7" s="31">
        <f>F6-F5</f>
        <v>0.18504471611582574</v>
      </c>
      <c r="G7" s="31">
        <f>G6-G5</f>
        <v>0.1737452832443438</v>
      </c>
      <c r="H7" s="31">
        <f>H6-H5</f>
        <v>0.35878999936016953</v>
      </c>
      <c r="J7" t="s">
        <v>156</v>
      </c>
      <c r="K7" s="31">
        <f>K6-K5</f>
        <v>-0.20472126663439383</v>
      </c>
      <c r="L7" s="31">
        <f>L6-L5</f>
        <v>-0.1540687327257757</v>
      </c>
      <c r="M7" s="31">
        <f>M6-M5</f>
        <v>-0.35878999936016953</v>
      </c>
      <c r="P7" t="s">
        <v>175</v>
      </c>
      <c r="Q7">
        <f>100-Q6</f>
        <v>68.38789999360165</v>
      </c>
    </row>
    <row r="8" spans="2:18" x14ac:dyDescent="0.25">
      <c r="Q8">
        <f>IF(Q7&gt;Q6,ROUND((10/Q7)*100-10,0),ROUND((10/Q6)*100-10,0))</f>
        <v>5</v>
      </c>
    </row>
    <row r="10" spans="2:18" x14ac:dyDescent="0.25">
      <c r="P10" t="s">
        <v>180</v>
      </c>
      <c r="Q10">
        <f>Q6/100</f>
        <v>0.31612100006398342</v>
      </c>
      <c r="R10">
        <f>Q7/100</f>
        <v>0.68387899993601653</v>
      </c>
    </row>
    <row r="11" spans="2:18" x14ac:dyDescent="0.25">
      <c r="P11" t="s">
        <v>15</v>
      </c>
      <c r="Q11">
        <f>I5-N5</f>
        <v>-4</v>
      </c>
      <c r="R11">
        <f>N5-I5</f>
        <v>4</v>
      </c>
    </row>
    <row r="12" spans="2:18" x14ac:dyDescent="0.25">
      <c r="P12" t="s">
        <v>179</v>
      </c>
      <c r="Q12">
        <f>Ergebnisbewertung!$C$8*(Q11)^3+Ergebnisbewertung!$C$9*(Q11)^2+Ergebnisbewertung!$C$10*(Q11)+Ergebnisbewertung!$C$11</f>
        <v>0.35199999999999998</v>
      </c>
      <c r="R12">
        <f>Ergebnisbewertung!$C$8*(R11)^3+Ergebnisbewertung!$C$9*(R11)^2+Ergebnisbewertung!$C$10*(R11)+Ergebnisbewertung!$C$11</f>
        <v>0.64800000000000002</v>
      </c>
    </row>
    <row r="13" spans="2:18" x14ac:dyDescent="0.25">
      <c r="P13" t="s">
        <v>36</v>
      </c>
      <c r="Q13">
        <f>Ergebnisbewertung!$C$5*(Q12-Q10)</f>
        <v>0.35878999936016565</v>
      </c>
      <c r="R13">
        <f>Ergebnisbewertung!$C$5*(R12-R10)</f>
        <v>-0.35878999936016509</v>
      </c>
    </row>
    <row r="14" spans="2:18" x14ac:dyDescent="0.25">
      <c r="P14">
        <v>1</v>
      </c>
      <c r="Q14">
        <f>IF(SIGN(Q13)=-1,Q13*(Q16),Q13*(1-Q16))</f>
        <v>0.18504471611582374</v>
      </c>
      <c r="R14">
        <f>IF(SIGN(R13)=-1,R13*(R16),R13*(1-R16))</f>
        <v>-0.20472126663438756</v>
      </c>
    </row>
    <row r="15" spans="2:18" x14ac:dyDescent="0.25">
      <c r="P15">
        <v>2</v>
      </c>
      <c r="Q15">
        <f>Q13-Q14</f>
        <v>0.17374528324434191</v>
      </c>
      <c r="R15">
        <f>R13-R14</f>
        <v>-0.15406873272577754</v>
      </c>
    </row>
    <row r="16" spans="2:18" x14ac:dyDescent="0.25">
      <c r="P16" t="s">
        <v>181</v>
      </c>
      <c r="Q16">
        <f>F5/H5</f>
        <v>0.48425341719162707</v>
      </c>
      <c r="R16">
        <f>K5/M5</f>
        <v>0.57058799576206043</v>
      </c>
    </row>
    <row r="20" spans="3:20" x14ac:dyDescent="0.25">
      <c r="P20">
        <v>10</v>
      </c>
      <c r="Q20" s="1">
        <f>Ergebnisbewertung!$C$8*(P20)^3+Ergebnisbewertung!$C$9*(P20)^2+Ergebnisbewertung!$C$10*(P20)+Ergebnisbewertung!$C$11</f>
        <v>1.5</v>
      </c>
      <c r="R20" s="1">
        <f>Ergebnisbewertung!$C$5*(Q20-$R$10)</f>
        <v>8.1612100006398354</v>
      </c>
      <c r="S20" s="1">
        <f>0.05*(P20)+0.5</f>
        <v>1</v>
      </c>
      <c r="T20" s="1">
        <f>Ergebnisbewertung!$C$5*(S20-$R$10)</f>
        <v>3.1612100006398345</v>
      </c>
    </row>
    <row r="21" spans="3:20" x14ac:dyDescent="0.25">
      <c r="P21">
        <v>9</v>
      </c>
      <c r="Q21" s="1">
        <f>Ergebnisbewertung!$C$8*(P21)^3+Ergebnisbewertung!$C$9*(P21)^2+Ergebnisbewertung!$C$10*(P21)+Ergebnisbewertung!$C$11</f>
        <v>1.2717499999999999</v>
      </c>
      <c r="R21" s="1">
        <f>Ergebnisbewertung!$C$5*(Q21-$R$10)</f>
        <v>5.8787100006398338</v>
      </c>
      <c r="S21" s="1">
        <f t="shared" ref="S21:S40" si="0">0.05*(P21)+0.5</f>
        <v>0.95</v>
      </c>
      <c r="T21" s="1">
        <f>Ergebnisbewertung!$C$5*(S21-$R$10)</f>
        <v>2.6612100006398345</v>
      </c>
    </row>
    <row r="22" spans="3:20" x14ac:dyDescent="0.25">
      <c r="P22">
        <v>8</v>
      </c>
      <c r="Q22" s="1">
        <f>Ergebnisbewertung!$C$8*(P22)^3+Ergebnisbewertung!$C$9*(P22)^2+Ergebnisbewertung!$C$10*(P22)+Ergebnisbewertung!$C$11</f>
        <v>1.0840000000000001</v>
      </c>
      <c r="R22" s="1">
        <f>Ergebnisbewertung!$C$5*(Q22-$R$10)</f>
        <v>4.0012100006398352</v>
      </c>
      <c r="S22" s="1">
        <f t="shared" si="0"/>
        <v>0.9</v>
      </c>
      <c r="T22" s="1">
        <f>Ergebnisbewertung!$C$5*(S22-$R$10)</f>
        <v>2.1612100006398349</v>
      </c>
    </row>
    <row r="23" spans="3:20" x14ac:dyDescent="0.25">
      <c r="P23">
        <v>7</v>
      </c>
      <c r="Q23" s="1">
        <f>Ergebnisbewertung!$C$8*(P23)^3+Ergebnisbewertung!$C$9*(P23)^2+Ergebnisbewertung!$C$10*(P23)+Ergebnisbewertung!$C$11</f>
        <v>0.93224999999999991</v>
      </c>
      <c r="R23" s="1">
        <f>Ergebnisbewertung!$C$5*(Q23-$R$10)</f>
        <v>2.4837100006398338</v>
      </c>
      <c r="S23" s="1">
        <f t="shared" si="0"/>
        <v>0.85000000000000009</v>
      </c>
      <c r="T23" s="1">
        <f>Ergebnisbewertung!$C$5*(S23-$R$10)</f>
        <v>1.6612100006398356</v>
      </c>
    </row>
    <row r="24" spans="3:20" x14ac:dyDescent="0.25">
      <c r="P24">
        <v>6</v>
      </c>
      <c r="Q24" s="1">
        <f>Ergebnisbewertung!$C$8*(P24)^3+Ergebnisbewertung!$C$9*(P24)^2+Ergebnisbewertung!$C$10*(P24)+Ergebnisbewertung!$C$11</f>
        <v>0.81200000000000006</v>
      </c>
      <c r="R24" s="1">
        <f>Ergebnisbewertung!$C$5*(Q24-$R$10)</f>
        <v>1.2812100006398353</v>
      </c>
      <c r="S24" s="1">
        <f t="shared" si="0"/>
        <v>0.8</v>
      </c>
      <c r="T24" s="1">
        <f>Ergebnisbewertung!$C$5*(S24-$R$10)</f>
        <v>1.1612100006398351</v>
      </c>
    </row>
    <row r="25" spans="3:20" x14ac:dyDescent="0.25">
      <c r="P25">
        <v>5</v>
      </c>
      <c r="Q25" s="1">
        <f>Ergebnisbewertung!$C$8*(P25)^3+Ergebnisbewertung!$C$9*(P25)^2+Ergebnisbewertung!$C$10*(P25)+Ergebnisbewertung!$C$11</f>
        <v>0.71875</v>
      </c>
      <c r="R25" s="1">
        <f>Ergebnisbewertung!$C$5*(Q25-$R$10)</f>
        <v>0.34871000063983471</v>
      </c>
      <c r="S25" s="1">
        <f t="shared" si="0"/>
        <v>0.75</v>
      </c>
      <c r="T25" s="1">
        <f>Ergebnisbewertung!$C$5*(S25-$R$10)</f>
        <v>0.66121000063983471</v>
      </c>
    </row>
    <row r="26" spans="3:20" x14ac:dyDescent="0.25">
      <c r="P26">
        <v>4</v>
      </c>
      <c r="Q26" s="1">
        <f>Ergebnisbewertung!$C$8*(P26)^3+Ergebnisbewertung!$C$9*(P26)^2+Ergebnisbewertung!$C$10*(P26)+Ergebnisbewertung!$C$11</f>
        <v>0.64800000000000002</v>
      </c>
      <c r="R26" s="1">
        <f>Ergebnisbewertung!$C$5*(Q26-$R$10)</f>
        <v>-0.35878999936016509</v>
      </c>
      <c r="S26" s="1">
        <f t="shared" si="0"/>
        <v>0.7</v>
      </c>
      <c r="T26" s="1">
        <f>Ergebnisbewertung!$C$5*(S26-$R$10)</f>
        <v>0.16121000063983426</v>
      </c>
    </row>
    <row r="27" spans="3:20" x14ac:dyDescent="0.25">
      <c r="C27" t="s">
        <v>176</v>
      </c>
      <c r="K27" t="s">
        <v>176</v>
      </c>
      <c r="P27">
        <v>3</v>
      </c>
      <c r="Q27" s="1">
        <f>Ergebnisbewertung!$C$8*(P27)^3+Ergebnisbewertung!$C$9*(P27)^2+Ergebnisbewertung!$C$10*(P27)+Ergebnisbewertung!$C$11</f>
        <v>0.59525000000000006</v>
      </c>
      <c r="R27" s="1">
        <f>Ergebnisbewertung!$C$5*(Q27-$R$10)</f>
        <v>-0.88628999936016473</v>
      </c>
      <c r="S27" s="1">
        <f t="shared" si="0"/>
        <v>0.65</v>
      </c>
      <c r="T27" s="1">
        <f>Ergebnisbewertung!$C$5*(S27-$R$10)</f>
        <v>-0.33878999936016507</v>
      </c>
    </row>
    <row r="28" spans="3:20" x14ac:dyDescent="0.25">
      <c r="C28" s="46">
        <f>IF(Q6&gt;Q7,10,Q8)</f>
        <v>5</v>
      </c>
      <c r="D28" s="46"/>
      <c r="K28" s="46">
        <f>IF(Q7&gt;Q6,10,Q8)</f>
        <v>10</v>
      </c>
      <c r="L28" s="46"/>
      <c r="P28">
        <v>2</v>
      </c>
      <c r="Q28" s="1">
        <f>Ergebnisbewertung!$C$8*(P28)^3+Ergebnisbewertung!$C$9*(P28)^2+Ergebnisbewertung!$C$10*(P28)+Ergebnisbewertung!$C$11</f>
        <v>0.55600000000000005</v>
      </c>
      <c r="R28" s="1">
        <f>Ergebnisbewertung!$C$5*(Q28-$R$10)</f>
        <v>-1.2787899993601648</v>
      </c>
      <c r="S28" s="1">
        <f t="shared" si="0"/>
        <v>0.6</v>
      </c>
      <c r="T28" s="1">
        <f>Ergebnisbewertung!$C$5*(S28-$R$10)</f>
        <v>-0.83878999936016552</v>
      </c>
    </row>
    <row r="29" spans="3:20" x14ac:dyDescent="0.25">
      <c r="C29" s="46"/>
      <c r="D29" s="46"/>
      <c r="K29" s="46"/>
      <c r="L29" s="46"/>
      <c r="P29">
        <v>1</v>
      </c>
      <c r="Q29" s="1">
        <f>Ergebnisbewertung!$C$8*(P29)^3+Ergebnisbewertung!$C$9*(P29)^2+Ergebnisbewertung!$C$10*(P29)+Ergebnisbewertung!$C$11</f>
        <v>0.52575000000000005</v>
      </c>
      <c r="R29" s="1">
        <f>Ergebnisbewertung!$C$5*(Q29-$R$10)</f>
        <v>-1.5812899993601648</v>
      </c>
      <c r="S29" s="1">
        <f t="shared" si="0"/>
        <v>0.55000000000000004</v>
      </c>
      <c r="T29" s="1">
        <f>Ergebnisbewertung!$C$5*(S29-$R$10)</f>
        <v>-1.3387899993601649</v>
      </c>
    </row>
    <row r="30" spans="3:20" x14ac:dyDescent="0.25">
      <c r="P30">
        <v>0</v>
      </c>
      <c r="Q30" s="1">
        <f>Ergebnisbewertung!$C$8*(P30)^3+Ergebnisbewertung!$C$9*(P30)^2+Ergebnisbewertung!$C$10*(P30)+Ergebnisbewertung!$C$11</f>
        <v>0.5</v>
      </c>
      <c r="R30" s="1">
        <f>Ergebnisbewertung!$C$5*(Q30-$R$10)</f>
        <v>-1.8387899993601653</v>
      </c>
      <c r="S30" s="1">
        <f t="shared" si="0"/>
        <v>0.5</v>
      </c>
      <c r="T30" s="1">
        <f>Ergebnisbewertung!$C$5*(S30-$R$10)</f>
        <v>-1.8387899993601653</v>
      </c>
    </row>
    <row r="31" spans="3:20" x14ac:dyDescent="0.25">
      <c r="C31" t="s">
        <v>177</v>
      </c>
      <c r="K31" t="s">
        <v>177</v>
      </c>
      <c r="P31">
        <v>-1</v>
      </c>
      <c r="Q31" s="1">
        <f>Ergebnisbewertung!$C$8*(P31)^3+Ergebnisbewertung!$C$9*(P31)^2+Ergebnisbewertung!$C$10*(P31)+Ergebnisbewertung!$C$11</f>
        <v>0.47425</v>
      </c>
      <c r="R31" s="1">
        <f>Ergebnisbewertung!$C$5*(Q31-$R$10)</f>
        <v>-2.0962899993601654</v>
      </c>
      <c r="S31" s="1">
        <f t="shared" si="0"/>
        <v>0.45</v>
      </c>
      <c r="T31" s="1">
        <f>Ergebnisbewertung!$C$5*(S31-$R$10)</f>
        <v>-2.3387899993601651</v>
      </c>
    </row>
    <row r="32" spans="3:20" x14ac:dyDescent="0.25">
      <c r="C32" s="46">
        <f>I5</f>
        <v>6</v>
      </c>
      <c r="D32" s="46"/>
      <c r="K32" s="46">
        <f>N5</f>
        <v>10</v>
      </c>
      <c r="L32" s="46"/>
      <c r="P32">
        <v>-2</v>
      </c>
      <c r="Q32" s="1">
        <f>Ergebnisbewertung!$C$8*(P32)^3+Ergebnisbewertung!$C$9*(P32)^2+Ergebnisbewertung!$C$10*(P32)+Ergebnisbewertung!$C$11</f>
        <v>0.44400000000000001</v>
      </c>
      <c r="R32" s="1">
        <f>Ergebnisbewertung!$C$5*(Q32-$R$10)</f>
        <v>-2.3987899993601651</v>
      </c>
      <c r="S32" s="1">
        <f t="shared" si="0"/>
        <v>0.4</v>
      </c>
      <c r="T32" s="1">
        <f>Ergebnisbewertung!$C$5*(S32-$R$10)</f>
        <v>-2.8387899993601651</v>
      </c>
    </row>
    <row r="33" spans="3:20" x14ac:dyDescent="0.25">
      <c r="C33" s="46"/>
      <c r="D33" s="46"/>
      <c r="K33" s="46"/>
      <c r="L33" s="46"/>
      <c r="P33">
        <v>-3</v>
      </c>
      <c r="Q33" s="1">
        <f>Ergebnisbewertung!$C$8*(P33)^3+Ergebnisbewertung!$C$9*(P33)^2+Ergebnisbewertung!$C$10*(P33)+Ergebnisbewertung!$C$11</f>
        <v>0.40475</v>
      </c>
      <c r="R33" s="1">
        <f>Ergebnisbewertung!$C$5*(Q33-$R$10)</f>
        <v>-2.7912899993601652</v>
      </c>
      <c r="S33" s="1">
        <f t="shared" si="0"/>
        <v>0.35</v>
      </c>
      <c r="T33" s="1">
        <f>Ergebnisbewertung!$C$5*(S33-$R$10)</f>
        <v>-3.3387899993601655</v>
      </c>
    </row>
    <row r="34" spans="3:20" x14ac:dyDescent="0.25">
      <c r="P34">
        <v>-4</v>
      </c>
      <c r="Q34" s="1">
        <f>Ergebnisbewertung!$C$8*(P34)^3+Ergebnisbewertung!$C$9*(P34)^2+Ergebnisbewertung!$C$10*(P34)+Ergebnisbewertung!$C$11</f>
        <v>0.35199999999999998</v>
      </c>
      <c r="R34" s="1">
        <f>Ergebnisbewertung!$C$5*(Q34-$R$10)</f>
        <v>-3.3187899993601655</v>
      </c>
      <c r="S34" s="1">
        <f t="shared" si="0"/>
        <v>0.3</v>
      </c>
      <c r="T34" s="1">
        <f>Ergebnisbewertung!$C$5*(S34-$R$10)</f>
        <v>-3.8387899993601655</v>
      </c>
    </row>
    <row r="35" spans="3:20" x14ac:dyDescent="0.25">
      <c r="C35" t="s">
        <v>178</v>
      </c>
      <c r="K35" t="s">
        <v>178</v>
      </c>
      <c r="P35">
        <v>-5</v>
      </c>
      <c r="Q35" s="1">
        <f>Ergebnisbewertung!$C$8*(P35)^3+Ergebnisbewertung!$C$9*(P35)^2+Ergebnisbewertung!$C$10*(P35)+Ergebnisbewertung!$C$11</f>
        <v>0.28125</v>
      </c>
      <c r="R35" s="1">
        <f>Ergebnisbewertung!$C$5*(Q35-$R$10)</f>
        <v>-4.0262899993601655</v>
      </c>
      <c r="S35" s="1">
        <f t="shared" si="0"/>
        <v>0.25</v>
      </c>
      <c r="T35" s="1">
        <f>Ergebnisbewertung!$C$5*(S35-$R$10)</f>
        <v>-4.3387899993601655</v>
      </c>
    </row>
    <row r="36" spans="3:20" x14ac:dyDescent="0.25">
      <c r="C36" s="47">
        <f>H7</f>
        <v>0.35878999936016953</v>
      </c>
      <c r="D36" s="46"/>
      <c r="K36" s="47">
        <f>M7</f>
        <v>-0.35878999936016953</v>
      </c>
      <c r="L36" s="46"/>
      <c r="P36">
        <v>-6</v>
      </c>
      <c r="Q36" s="1">
        <f>Ergebnisbewertung!$C$8*(P36)^3+Ergebnisbewertung!$C$9*(P36)^2+Ergebnisbewertung!$C$10*(P36)+Ergebnisbewertung!$C$11</f>
        <v>0.18799999999999994</v>
      </c>
      <c r="R36" s="1">
        <f>Ergebnisbewertung!$C$5*(Q36-$R$10)</f>
        <v>-4.9587899993601656</v>
      </c>
      <c r="S36" s="1">
        <f t="shared" si="0"/>
        <v>0.19999999999999996</v>
      </c>
      <c r="T36" s="1">
        <f>Ergebnisbewertung!$C$5*(S36-$R$10)</f>
        <v>-4.8387899993601655</v>
      </c>
    </row>
    <row r="37" spans="3:20" x14ac:dyDescent="0.25">
      <c r="C37" s="46"/>
      <c r="D37" s="46"/>
      <c r="K37" s="46"/>
      <c r="L37" s="46"/>
      <c r="P37">
        <v>-7</v>
      </c>
      <c r="Q37" s="1">
        <f>Ergebnisbewertung!$C$8*(P37)^3+Ergebnisbewertung!$C$9*(P37)^2+Ergebnisbewertung!$C$10*(P37)+Ergebnisbewertung!$C$11</f>
        <v>6.7749999999999977E-2</v>
      </c>
      <c r="R37" s="1">
        <f>Ergebnisbewertung!$C$5*(Q37-$R$10)</f>
        <v>-6.1612899993601653</v>
      </c>
      <c r="S37" s="1">
        <f t="shared" si="0"/>
        <v>0.14999999999999997</v>
      </c>
      <c r="T37" s="1">
        <f>Ergebnisbewertung!$C$5*(S37-$R$10)</f>
        <v>-5.3387899993601646</v>
      </c>
    </row>
    <row r="38" spans="3:20" x14ac:dyDescent="0.25">
      <c r="P38">
        <v>-8</v>
      </c>
      <c r="Q38" s="1">
        <f>Ergebnisbewertung!$C$8*(P38)^3+Ergebnisbewertung!$C$9*(P38)^2+Ergebnisbewertung!$C$10*(P38)+Ergebnisbewertung!$C$11</f>
        <v>-8.4000000000000075E-2</v>
      </c>
      <c r="R38" s="1">
        <f>Ergebnisbewertung!$C$5*(Q38-$R$10)</f>
        <v>-7.6787899993601663</v>
      </c>
      <c r="S38" s="1">
        <f t="shared" si="0"/>
        <v>9.9999999999999978E-2</v>
      </c>
      <c r="T38" s="1">
        <f>Ergebnisbewertung!$C$5*(S38-$R$10)</f>
        <v>-5.8387899993601655</v>
      </c>
    </row>
    <row r="39" spans="3:20" x14ac:dyDescent="0.25">
      <c r="P39">
        <v>-9</v>
      </c>
      <c r="Q39" s="1">
        <f>Ergebnisbewertung!$C$8*(P39)^3+Ergebnisbewertung!$C$9*(P39)^2+Ergebnisbewertung!$C$10*(P39)+Ergebnisbewertung!$C$11</f>
        <v>-0.27175000000000005</v>
      </c>
      <c r="R39" s="1">
        <f>Ergebnisbewertung!$C$5*(Q39-$R$10)</f>
        <v>-9.5562899993601658</v>
      </c>
      <c r="S39" s="1">
        <f t="shared" si="0"/>
        <v>4.9999999999999989E-2</v>
      </c>
      <c r="T39" s="1">
        <f>Ergebnisbewertung!$C$5*(S39-$R$10)</f>
        <v>-6.3387899993601664</v>
      </c>
    </row>
    <row r="40" spans="3:20" x14ac:dyDescent="0.25">
      <c r="P40">
        <v>-10</v>
      </c>
      <c r="Q40" s="1">
        <f>Ergebnisbewertung!$C$8*(P40)^3+Ergebnisbewertung!$C$9*(P40)^2+Ergebnisbewertung!$C$10*(P40)+Ergebnisbewertung!$C$11</f>
        <v>-0.5</v>
      </c>
      <c r="R40" s="1">
        <f>Ergebnisbewertung!$C$5*(Q40-$R$10)</f>
        <v>-11.838789999360166</v>
      </c>
      <c r="S40" s="1">
        <f t="shared" si="0"/>
        <v>0</v>
      </c>
      <c r="T40" s="1">
        <f>Ergebnisbewertung!$C$5*(S40-$R$10)</f>
        <v>-6.8387899993601655</v>
      </c>
    </row>
  </sheetData>
  <mergeCells count="6">
    <mergeCell ref="K28:L29"/>
    <mergeCell ref="C28:D29"/>
    <mergeCell ref="C32:D33"/>
    <mergeCell ref="K32:L33"/>
    <mergeCell ref="C36:D37"/>
    <mergeCell ref="K36:L37"/>
  </mergeCells>
  <dataValidations count="1">
    <dataValidation type="list" allowBlank="1" showInputMessage="1" showErrorMessage="1" sqref="B3">
      <formula1>$B$4:$B$6</formula1>
    </dataValidation>
  </dataValidation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1"/>
  <sheetViews>
    <sheetView workbookViewId="0">
      <selection activeCell="D21" sqref="D21"/>
    </sheetView>
  </sheetViews>
  <sheetFormatPr baseColWidth="10" defaultRowHeight="15" x14ac:dyDescent="0.25"/>
  <cols>
    <col min="1" max="1" width="5.42578125" bestFit="1" customWidth="1"/>
    <col min="2" max="2" width="8.5703125" bestFit="1" customWidth="1"/>
    <col min="3" max="4" width="12.28515625" bestFit="1" customWidth="1"/>
    <col min="5" max="5" width="8.5703125" bestFit="1" customWidth="1"/>
    <col min="6" max="6" width="6.7109375" bestFit="1" customWidth="1"/>
    <col min="7" max="7" width="6.5703125" bestFit="1" customWidth="1"/>
    <col min="8" max="8" width="1.42578125" bestFit="1" customWidth="1"/>
    <col min="9" max="10" width="13.28515625" bestFit="1" customWidth="1"/>
    <col min="11" max="11" width="12.85546875" bestFit="1" customWidth="1"/>
    <col min="12" max="13" width="9.140625" bestFit="1" customWidth="1"/>
    <col min="14" max="14" width="2.42578125" bestFit="1" customWidth="1"/>
    <col min="15" max="16" width="13.140625" bestFit="1" customWidth="1"/>
    <col min="17" max="17" width="12.7109375" bestFit="1" customWidth="1"/>
    <col min="18" max="19" width="9" bestFit="1" customWidth="1"/>
    <col min="20" max="20" width="2.42578125" bestFit="1" customWidth="1"/>
    <col min="21" max="21" width="11.7109375" bestFit="1" customWidth="1"/>
    <col min="22" max="22" width="11.5703125" bestFit="1" customWidth="1"/>
    <col min="23" max="23" width="12.42578125" bestFit="1" customWidth="1"/>
    <col min="24" max="24" width="12.28515625" bestFit="1" customWidth="1"/>
    <col min="25" max="25" width="2.42578125" bestFit="1" customWidth="1"/>
    <col min="26" max="26" width="11.42578125" bestFit="1" customWidth="1"/>
    <col min="27" max="27" width="11.28515625" bestFit="1" customWidth="1"/>
    <col min="28" max="29" width="12.42578125" bestFit="1" customWidth="1"/>
    <col min="30" max="31" width="12.28515625" bestFit="1" customWidth="1"/>
    <col min="32" max="33" width="3" bestFit="1" customWidth="1"/>
  </cols>
  <sheetData>
    <row r="1" spans="1:37" x14ac:dyDescent="0.25">
      <c r="A1" t="s">
        <v>37</v>
      </c>
      <c r="B1" t="s">
        <v>38</v>
      </c>
      <c r="C1" t="s">
        <v>119</v>
      </c>
      <c r="D1" t="s">
        <v>39</v>
      </c>
      <c r="E1" t="s">
        <v>120</v>
      </c>
      <c r="F1" t="s">
        <v>40</v>
      </c>
      <c r="G1" t="s">
        <v>41</v>
      </c>
      <c r="H1" t="s">
        <v>121</v>
      </c>
      <c r="I1" t="s">
        <v>105</v>
      </c>
      <c r="J1" t="s">
        <v>106</v>
      </c>
      <c r="K1" t="s">
        <v>109</v>
      </c>
      <c r="L1" t="s">
        <v>131</v>
      </c>
      <c r="M1" t="s">
        <v>132</v>
      </c>
      <c r="N1" t="s">
        <v>128</v>
      </c>
      <c r="O1" t="s">
        <v>107</v>
      </c>
      <c r="P1" t="s">
        <v>108</v>
      </c>
      <c r="Q1" t="s">
        <v>110</v>
      </c>
      <c r="R1" t="s">
        <v>129</v>
      </c>
      <c r="S1" t="s">
        <v>130</v>
      </c>
      <c r="T1" t="s">
        <v>122</v>
      </c>
      <c r="U1" t="s">
        <v>111</v>
      </c>
      <c r="V1" t="s">
        <v>112</v>
      </c>
      <c r="W1" t="s">
        <v>123</v>
      </c>
      <c r="X1" t="s">
        <v>124</v>
      </c>
      <c r="Y1" t="s">
        <v>125</v>
      </c>
      <c r="Z1" t="s">
        <v>113</v>
      </c>
      <c r="AA1" t="s">
        <v>114</v>
      </c>
      <c r="AB1" t="s">
        <v>115</v>
      </c>
      <c r="AC1" t="s">
        <v>117</v>
      </c>
      <c r="AD1" t="s">
        <v>116</v>
      </c>
      <c r="AE1" t="s">
        <v>118</v>
      </c>
      <c r="AF1" t="s">
        <v>136</v>
      </c>
      <c r="AG1" t="s">
        <v>137</v>
      </c>
      <c r="AH1" t="s">
        <v>186</v>
      </c>
      <c r="AI1" t="s">
        <v>187</v>
      </c>
      <c r="AJ1" t="s">
        <v>188</v>
      </c>
      <c r="AK1" t="s">
        <v>189</v>
      </c>
    </row>
    <row r="2" spans="1:37" x14ac:dyDescent="0.25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s="17"/>
      <c r="I2" t="s">
        <v>18</v>
      </c>
      <c r="J2" t="s">
        <v>12</v>
      </c>
      <c r="K2" t="s">
        <v>0</v>
      </c>
      <c r="L2" s="18">
        <v>0.01</v>
      </c>
      <c r="M2" s="18">
        <v>0.02</v>
      </c>
      <c r="N2" s="17"/>
      <c r="O2" t="s">
        <v>19</v>
      </c>
      <c r="P2" t="s">
        <v>13</v>
      </c>
      <c r="Q2" t="s">
        <v>1</v>
      </c>
      <c r="R2" s="18">
        <v>0.01</v>
      </c>
      <c r="S2" s="18">
        <v>0.02</v>
      </c>
      <c r="T2" s="17"/>
      <c r="U2" t="s">
        <v>17</v>
      </c>
      <c r="V2" t="s">
        <v>4</v>
      </c>
      <c r="W2" t="s">
        <v>11</v>
      </c>
      <c r="X2" t="s">
        <v>14</v>
      </c>
      <c r="Y2" s="17"/>
      <c r="Z2" t="s">
        <v>127</v>
      </c>
      <c r="AA2" t="s">
        <v>16</v>
      </c>
      <c r="AB2" t="s">
        <v>20</v>
      </c>
      <c r="AC2" t="s">
        <v>21</v>
      </c>
      <c r="AD2" t="s">
        <v>126</v>
      </c>
      <c r="AE2" t="s">
        <v>42</v>
      </c>
      <c r="AF2" s="17">
        <f>MAX(Tabelle12[0])</f>
        <v>530</v>
      </c>
      <c r="AG2">
        <v>0</v>
      </c>
    </row>
    <row r="3" spans="1:37" x14ac:dyDescent="0.25">
      <c r="A3">
        <v>1</v>
      </c>
      <c r="B3" t="s">
        <v>208</v>
      </c>
      <c r="C3" t="s">
        <v>225</v>
      </c>
      <c r="D3" t="s">
        <v>196</v>
      </c>
      <c r="E3" t="s">
        <v>230</v>
      </c>
      <c r="F3">
        <v>10</v>
      </c>
      <c r="G3">
        <v>8</v>
      </c>
      <c r="H3" s="17"/>
      <c r="I3">
        <v>100</v>
      </c>
      <c r="J3">
        <v>100</v>
      </c>
      <c r="K3">
        <v>200</v>
      </c>
      <c r="L3">
        <v>0.5</v>
      </c>
      <c r="M3">
        <v>0.5</v>
      </c>
      <c r="N3" s="17"/>
      <c r="O3">
        <v>100</v>
      </c>
      <c r="P3">
        <v>100</v>
      </c>
      <c r="Q3">
        <v>200</v>
      </c>
      <c r="R3">
        <v>0.5</v>
      </c>
      <c r="S3">
        <v>0.5</v>
      </c>
      <c r="T3" s="17"/>
      <c r="U3">
        <v>0.5</v>
      </c>
      <c r="V3">
        <v>0.5</v>
      </c>
      <c r="W3">
        <v>0.55600000000000005</v>
      </c>
      <c r="X3">
        <v>0.44400000000000001</v>
      </c>
      <c r="Y3" s="17"/>
      <c r="Z3" s="12">
        <v>0.5600000000000005</v>
      </c>
      <c r="AA3" s="12">
        <v>-0.55999999999999994</v>
      </c>
      <c r="AB3" s="12">
        <v>0.28000000000000025</v>
      </c>
      <c r="AC3" s="12">
        <v>0.28000000000000025</v>
      </c>
      <c r="AD3" s="12">
        <v>-0.27999999999999997</v>
      </c>
      <c r="AE3" s="12">
        <v>-0.27999999999999997</v>
      </c>
      <c r="AF3" s="17"/>
      <c r="AG3">
        <v>1</v>
      </c>
      <c r="AH3">
        <v>20</v>
      </c>
      <c r="AI3">
        <v>41</v>
      </c>
      <c r="AJ3">
        <v>9</v>
      </c>
      <c r="AK3">
        <v>31</v>
      </c>
    </row>
    <row r="4" spans="1:37" x14ac:dyDescent="0.25">
      <c r="A4">
        <v>2</v>
      </c>
      <c r="B4" t="s">
        <v>208</v>
      </c>
      <c r="C4" t="s">
        <v>225</v>
      </c>
      <c r="D4" t="s">
        <v>196</v>
      </c>
      <c r="E4" t="s">
        <v>230</v>
      </c>
      <c r="F4">
        <v>7</v>
      </c>
      <c r="G4">
        <v>10</v>
      </c>
      <c r="H4" s="17"/>
      <c r="I4" s="1">
        <v>100.28</v>
      </c>
      <c r="J4" s="1">
        <v>100.28</v>
      </c>
      <c r="K4" s="1">
        <v>200.56</v>
      </c>
      <c r="L4" s="1">
        <v>0.5</v>
      </c>
      <c r="M4" s="1">
        <v>0.5</v>
      </c>
      <c r="N4" s="19"/>
      <c r="O4" s="1">
        <v>99.72</v>
      </c>
      <c r="P4" s="1">
        <v>99.72</v>
      </c>
      <c r="Q4" s="1">
        <v>199.44</v>
      </c>
      <c r="R4" s="1">
        <v>0.5</v>
      </c>
      <c r="S4" s="1">
        <v>0.5</v>
      </c>
      <c r="T4" s="19"/>
      <c r="U4" s="1">
        <v>0.51289161870409827</v>
      </c>
      <c r="V4" s="1">
        <v>0.48710838129590162</v>
      </c>
      <c r="W4" s="1">
        <v>0.40475</v>
      </c>
      <c r="X4" s="1">
        <v>0.59525000000000006</v>
      </c>
      <c r="Y4" s="17"/>
      <c r="Z4" s="12">
        <v>-1.0814161870409826</v>
      </c>
      <c r="AA4" s="12">
        <v>1.0814161870409844</v>
      </c>
      <c r="AB4" s="12">
        <v>-0.54070809352049132</v>
      </c>
      <c r="AC4" s="12">
        <v>-0.54070809352049132</v>
      </c>
      <c r="AD4" s="12">
        <v>0.54070809352049221</v>
      </c>
      <c r="AE4" s="12">
        <v>0.54070809352049221</v>
      </c>
      <c r="AF4" s="17"/>
      <c r="AG4">
        <v>2</v>
      </c>
      <c r="AH4">
        <v>20</v>
      </c>
      <c r="AI4">
        <v>41</v>
      </c>
      <c r="AJ4">
        <v>9</v>
      </c>
      <c r="AK4">
        <v>31</v>
      </c>
    </row>
    <row r="5" spans="1:37" x14ac:dyDescent="0.25">
      <c r="A5">
        <v>3</v>
      </c>
      <c r="B5" t="s">
        <v>227</v>
      </c>
      <c r="C5" t="s">
        <v>230</v>
      </c>
      <c r="D5" t="s">
        <v>217</v>
      </c>
      <c r="E5" t="s">
        <v>199</v>
      </c>
      <c r="F5">
        <v>4</v>
      </c>
      <c r="G5">
        <v>10</v>
      </c>
      <c r="H5" s="17"/>
      <c r="I5" s="1">
        <v>100</v>
      </c>
      <c r="J5" s="1">
        <v>100.26070809352049</v>
      </c>
      <c r="K5" s="1">
        <v>200.26070809352049</v>
      </c>
      <c r="L5" s="1">
        <v>0.49934907826901637</v>
      </c>
      <c r="M5" s="1">
        <v>0.50065092173098369</v>
      </c>
      <c r="N5" s="19"/>
      <c r="O5" s="1">
        <v>100</v>
      </c>
      <c r="P5" s="1">
        <v>100</v>
      </c>
      <c r="Q5" s="1">
        <v>200</v>
      </c>
      <c r="R5" s="1">
        <v>0.5</v>
      </c>
      <c r="S5" s="1">
        <v>0.5</v>
      </c>
      <c r="T5" s="19"/>
      <c r="U5" s="1">
        <v>0.50300147679484553</v>
      </c>
      <c r="V5" s="1">
        <v>0.49699852320515447</v>
      </c>
      <c r="W5" s="1">
        <v>0.18799999999999994</v>
      </c>
      <c r="X5" s="1">
        <v>0.81200000000000006</v>
      </c>
      <c r="Y5" s="17"/>
      <c r="Z5" s="12">
        <v>-3.1500147679484556</v>
      </c>
      <c r="AA5" s="12">
        <v>3.1500147679484556</v>
      </c>
      <c r="AB5" s="12">
        <v>-1.5729569709088507</v>
      </c>
      <c r="AC5" s="12">
        <v>-1.5770577970396049</v>
      </c>
      <c r="AD5" s="12">
        <v>1.5750073839742278</v>
      </c>
      <c r="AE5" s="12">
        <v>1.5750073839742278</v>
      </c>
      <c r="AF5" s="17"/>
      <c r="AG5">
        <v>3</v>
      </c>
      <c r="AH5">
        <v>46</v>
      </c>
      <c r="AI5">
        <v>31</v>
      </c>
      <c r="AJ5">
        <v>32</v>
      </c>
      <c r="AK5">
        <v>11</v>
      </c>
    </row>
    <row r="6" spans="1:37" x14ac:dyDescent="0.25">
      <c r="A6">
        <v>4</v>
      </c>
      <c r="B6" t="s">
        <v>227</v>
      </c>
      <c r="C6" t="s">
        <v>230</v>
      </c>
      <c r="D6" t="s">
        <v>217</v>
      </c>
      <c r="E6" t="s">
        <v>199</v>
      </c>
      <c r="F6">
        <v>10</v>
      </c>
      <c r="G6">
        <v>8</v>
      </c>
      <c r="H6" s="17"/>
      <c r="I6" s="1">
        <v>98.427043029091152</v>
      </c>
      <c r="J6" s="1">
        <v>98.683650296480891</v>
      </c>
      <c r="K6" s="1">
        <v>197.11069332557204</v>
      </c>
      <c r="L6" s="1">
        <v>0.49934907826901637</v>
      </c>
      <c r="M6" s="1">
        <v>0.50065092173098369</v>
      </c>
      <c r="N6" s="19"/>
      <c r="O6" s="1">
        <v>101.57500738397422</v>
      </c>
      <c r="P6" s="1">
        <v>101.57500738397422</v>
      </c>
      <c r="Q6" s="1">
        <v>203.15001476794845</v>
      </c>
      <c r="R6" s="1">
        <v>0.5</v>
      </c>
      <c r="S6" s="1">
        <v>0.5</v>
      </c>
      <c r="T6" s="19"/>
      <c r="U6" s="1">
        <v>0.43091449053506009</v>
      </c>
      <c r="V6" s="1">
        <v>0.56908550946493985</v>
      </c>
      <c r="W6" s="1">
        <v>0.55600000000000005</v>
      </c>
      <c r="X6" s="1">
        <v>0.44400000000000001</v>
      </c>
      <c r="Y6" s="17"/>
      <c r="Z6" s="12">
        <v>1.2508550946493995</v>
      </c>
      <c r="AA6" s="12">
        <v>-1.2508550946493986</v>
      </c>
      <c r="AB6" s="12">
        <v>0.62624175608811861</v>
      </c>
      <c r="AC6" s="12">
        <v>0.62461333856128076</v>
      </c>
      <c r="AD6" s="12">
        <v>-0.6254275473246993</v>
      </c>
      <c r="AE6" s="12">
        <v>-0.6254275473246993</v>
      </c>
      <c r="AF6" s="17"/>
      <c r="AG6">
        <v>4</v>
      </c>
      <c r="AH6">
        <v>46</v>
      </c>
      <c r="AI6">
        <v>31</v>
      </c>
      <c r="AJ6">
        <v>32</v>
      </c>
      <c r="AK6">
        <v>11</v>
      </c>
    </row>
    <row r="7" spans="1:37" x14ac:dyDescent="0.25">
      <c r="A7">
        <v>5</v>
      </c>
      <c r="B7" t="s">
        <v>227</v>
      </c>
      <c r="C7" t="s">
        <v>208</v>
      </c>
      <c r="D7" t="s">
        <v>225</v>
      </c>
      <c r="E7" t="s">
        <v>196</v>
      </c>
      <c r="F7">
        <v>10</v>
      </c>
      <c r="G7">
        <v>4</v>
      </c>
      <c r="H7" s="17"/>
      <c r="I7" s="1">
        <v>99.053284785179272</v>
      </c>
      <c r="J7" s="1">
        <v>99.739291906479508</v>
      </c>
      <c r="K7" s="1">
        <v>198.79257669165878</v>
      </c>
      <c r="L7" s="1">
        <v>0.49827456554787686</v>
      </c>
      <c r="M7" s="1">
        <v>0.50172543445212314</v>
      </c>
      <c r="N7" s="19"/>
      <c r="O7" s="1">
        <v>99.739291906479508</v>
      </c>
      <c r="P7" s="1">
        <v>100.26070809352049</v>
      </c>
      <c r="Q7" s="1">
        <v>200</v>
      </c>
      <c r="R7" s="1">
        <v>0.49869645953239755</v>
      </c>
      <c r="S7" s="1">
        <v>0.5013035404676025</v>
      </c>
      <c r="T7" s="19"/>
      <c r="U7" s="1">
        <v>0.48610260591795612</v>
      </c>
      <c r="V7" s="1">
        <v>0.51389739408204393</v>
      </c>
      <c r="W7" s="1">
        <v>0.81200000000000006</v>
      </c>
      <c r="X7" s="1">
        <v>0.18799999999999994</v>
      </c>
      <c r="Y7" s="17"/>
      <c r="Z7" s="12">
        <v>3.2589739408204395</v>
      </c>
      <c r="AA7" s="12">
        <v>-3.2589739408204399</v>
      </c>
      <c r="AB7" s="12">
        <v>1.6351101163262829</v>
      </c>
      <c r="AC7" s="12">
        <v>1.6238638244941566</v>
      </c>
      <c r="AD7" s="12">
        <v>-1.6252387659954988</v>
      </c>
      <c r="AE7" s="12">
        <v>-1.6337351748249413</v>
      </c>
      <c r="AF7" s="17"/>
      <c r="AG7">
        <v>5</v>
      </c>
      <c r="AH7">
        <v>46</v>
      </c>
      <c r="AI7">
        <v>20</v>
      </c>
      <c r="AJ7">
        <v>41</v>
      </c>
      <c r="AK7">
        <v>9</v>
      </c>
    </row>
    <row r="8" spans="1:37" x14ac:dyDescent="0.25">
      <c r="A8">
        <v>6</v>
      </c>
      <c r="B8" t="s">
        <v>227</v>
      </c>
      <c r="C8" t="s">
        <v>208</v>
      </c>
      <c r="D8" t="s">
        <v>225</v>
      </c>
      <c r="E8" t="s">
        <v>196</v>
      </c>
      <c r="F8">
        <v>10</v>
      </c>
      <c r="G8">
        <v>6</v>
      </c>
      <c r="H8" s="17"/>
      <c r="I8" s="1">
        <v>100.68839490150556</v>
      </c>
      <c r="J8" s="1">
        <v>101.36315573097366</v>
      </c>
      <c r="K8" s="1">
        <v>202.05155063247923</v>
      </c>
      <c r="L8" s="1">
        <v>0.49833022605529154</v>
      </c>
      <c r="M8" s="1">
        <v>0.50166977394470835</v>
      </c>
      <c r="N8" s="19"/>
      <c r="O8" s="1">
        <v>98.114053140484003</v>
      </c>
      <c r="P8" s="1">
        <v>98.626972918695557</v>
      </c>
      <c r="Q8" s="1">
        <v>196.74102605917955</v>
      </c>
      <c r="R8" s="1">
        <v>0.49869645953239755</v>
      </c>
      <c r="S8" s="1">
        <v>0.5013035404676025</v>
      </c>
      <c r="T8" s="19"/>
      <c r="U8" s="1">
        <v>0.5608367601581381</v>
      </c>
      <c r="V8" s="1">
        <v>0.43916323984186184</v>
      </c>
      <c r="W8" s="1">
        <v>0.64800000000000002</v>
      </c>
      <c r="X8" s="1">
        <v>0.35199999999999998</v>
      </c>
      <c r="Y8" s="17"/>
      <c r="Z8" s="12">
        <v>0.87163239841861917</v>
      </c>
      <c r="AA8" s="12">
        <v>-0.87163239841861861</v>
      </c>
      <c r="AB8" s="12">
        <v>0.43727162827755273</v>
      </c>
      <c r="AC8" s="12">
        <v>0.4343607701410665</v>
      </c>
      <c r="AD8" s="12">
        <v>-0.43467999110509725</v>
      </c>
      <c r="AE8" s="12">
        <v>-0.43695240731352142</v>
      </c>
      <c r="AF8" s="17"/>
      <c r="AG8">
        <v>6</v>
      </c>
      <c r="AH8">
        <v>46</v>
      </c>
      <c r="AI8">
        <v>20</v>
      </c>
      <c r="AJ8">
        <v>41</v>
      </c>
      <c r="AK8">
        <v>9</v>
      </c>
    </row>
    <row r="9" spans="1:37" x14ac:dyDescent="0.25">
      <c r="A9">
        <v>7</v>
      </c>
      <c r="B9" t="s">
        <v>199</v>
      </c>
      <c r="C9" t="s">
        <v>230</v>
      </c>
      <c r="D9" t="s">
        <v>222</v>
      </c>
      <c r="E9" t="s">
        <v>192</v>
      </c>
      <c r="F9">
        <v>3</v>
      </c>
      <c r="G9">
        <v>10</v>
      </c>
      <c r="H9" s="17"/>
      <c r="I9" s="1">
        <v>100.94957983664952</v>
      </c>
      <c r="J9" s="1">
        <v>99.308263635042167</v>
      </c>
      <c r="K9" s="1">
        <v>200.25784347169167</v>
      </c>
      <c r="L9" s="1">
        <v>0.50409800728189547</v>
      </c>
      <c r="M9" s="1">
        <v>0.49590199271810459</v>
      </c>
      <c r="N9" s="19"/>
      <c r="O9" s="1">
        <v>100</v>
      </c>
      <c r="P9" s="1">
        <v>100</v>
      </c>
      <c r="Q9" s="1">
        <v>200</v>
      </c>
      <c r="R9" s="1">
        <v>0.5</v>
      </c>
      <c r="S9" s="1">
        <v>0.5</v>
      </c>
      <c r="T9" s="19"/>
      <c r="U9" s="1">
        <v>0.50296849779269026</v>
      </c>
      <c r="V9" s="1">
        <v>0.49703150220730985</v>
      </c>
      <c r="W9" s="1">
        <v>6.7749999999999977E-2</v>
      </c>
      <c r="X9" s="1">
        <v>0.93224999999999991</v>
      </c>
      <c r="Y9" s="17"/>
      <c r="Z9" s="12">
        <v>-4.3521849779269033</v>
      </c>
      <c r="AA9" s="12">
        <v>4.3521849779269006</v>
      </c>
      <c r="AB9" s="12">
        <v>-2.193927774695152</v>
      </c>
      <c r="AC9" s="12">
        <v>-2.1582572032317513</v>
      </c>
      <c r="AD9" s="12">
        <v>2.1760924889634503</v>
      </c>
      <c r="AE9" s="12">
        <v>2.1760924889634503</v>
      </c>
      <c r="AF9" s="17"/>
      <c r="AG9">
        <v>7</v>
      </c>
      <c r="AH9">
        <v>11</v>
      </c>
      <c r="AI9">
        <v>31</v>
      </c>
      <c r="AJ9">
        <v>37</v>
      </c>
      <c r="AK9">
        <v>5</v>
      </c>
    </row>
    <row r="10" spans="1:37" x14ac:dyDescent="0.25">
      <c r="A10">
        <v>8</v>
      </c>
      <c r="B10" t="s">
        <v>199</v>
      </c>
      <c r="C10" t="s">
        <v>230</v>
      </c>
      <c r="D10" t="s">
        <v>222</v>
      </c>
      <c r="E10" t="s">
        <v>192</v>
      </c>
      <c r="F10">
        <v>2</v>
      </c>
      <c r="G10">
        <v>10</v>
      </c>
      <c r="H10" s="17"/>
      <c r="I10" s="1">
        <v>98.755652061954365</v>
      </c>
      <c r="J10" s="1">
        <v>97.150006431810411</v>
      </c>
      <c r="K10" s="1">
        <v>195.90565849376478</v>
      </c>
      <c r="L10" s="1">
        <v>0.50409800728189547</v>
      </c>
      <c r="M10" s="1">
        <v>0.49590199271810453</v>
      </c>
      <c r="N10" s="19"/>
      <c r="O10" s="1">
        <v>102.17609248896345</v>
      </c>
      <c r="P10" s="1">
        <v>102.17609248896345</v>
      </c>
      <c r="Q10" s="1">
        <v>204.3521849779269</v>
      </c>
      <c r="R10" s="1">
        <v>0.5</v>
      </c>
      <c r="S10" s="1">
        <v>0.5</v>
      </c>
      <c r="T10" s="19"/>
      <c r="U10" s="1">
        <v>0.40396361077082527</v>
      </c>
      <c r="V10" s="1">
        <v>0.59603638922917479</v>
      </c>
      <c r="W10" s="1">
        <v>-8.4000000000000075E-2</v>
      </c>
      <c r="X10" s="1">
        <v>1.0840000000000001</v>
      </c>
      <c r="Y10" s="17"/>
      <c r="Z10" s="12">
        <v>-4.8796361077082535</v>
      </c>
      <c r="AA10" s="12">
        <v>4.8796361077082526</v>
      </c>
      <c r="AB10" s="12">
        <v>-2.459814838156515</v>
      </c>
      <c r="AC10" s="12">
        <v>-2.4198212695517385</v>
      </c>
      <c r="AD10" s="12">
        <v>2.4398180538541263</v>
      </c>
      <c r="AE10" s="12">
        <v>2.4398180538541263</v>
      </c>
      <c r="AF10" s="17"/>
      <c r="AG10">
        <v>8</v>
      </c>
      <c r="AH10">
        <v>11</v>
      </c>
      <c r="AI10">
        <v>31</v>
      </c>
      <c r="AJ10">
        <v>37</v>
      </c>
      <c r="AK10">
        <v>5</v>
      </c>
    </row>
    <row r="11" spans="1:37" x14ac:dyDescent="0.25">
      <c r="A11">
        <v>9</v>
      </c>
      <c r="B11" t="s">
        <v>208</v>
      </c>
      <c r="C11" t="s">
        <v>225</v>
      </c>
      <c r="D11" t="s">
        <v>222</v>
      </c>
      <c r="E11" t="s">
        <v>199</v>
      </c>
      <c r="F11">
        <v>10</v>
      </c>
      <c r="G11">
        <v>2</v>
      </c>
      <c r="H11" s="17"/>
      <c r="I11" s="1">
        <v>101.79751650111473</v>
      </c>
      <c r="J11" s="1">
        <v>97.679373149378904</v>
      </c>
      <c r="K11" s="1">
        <v>199.47688965049363</v>
      </c>
      <c r="L11" s="1">
        <v>0.51032235703832984</v>
      </c>
      <c r="M11" s="1">
        <v>0.48967764296167021</v>
      </c>
      <c r="N11" s="19"/>
      <c r="O11" s="1">
        <v>104.61591054281757</v>
      </c>
      <c r="P11" s="1">
        <v>96.295837223797847</v>
      </c>
      <c r="Q11" s="1">
        <v>200.91174776661541</v>
      </c>
      <c r="R11" s="1">
        <v>0.52070579100402969</v>
      </c>
      <c r="S11" s="1">
        <v>0.47929420899597036</v>
      </c>
      <c r="T11" s="19"/>
      <c r="U11" s="1">
        <v>0.48348659350035444</v>
      </c>
      <c r="V11" s="1">
        <v>0.51651340649964539</v>
      </c>
      <c r="W11" s="1">
        <v>1.0840000000000001</v>
      </c>
      <c r="X11" s="1">
        <v>-8.4000000000000075E-2</v>
      </c>
      <c r="Y11" s="17"/>
      <c r="Z11" s="12">
        <v>6.0051340649964562</v>
      </c>
      <c r="AA11" s="12">
        <v>-6.0051340649964544</v>
      </c>
      <c r="AB11" s="12">
        <v>2.9405798946162975</v>
      </c>
      <c r="AC11" s="12">
        <v>3.0645541703801578</v>
      </c>
      <c r="AD11" s="12">
        <v>-3.1269080833992229</v>
      </c>
      <c r="AE11" s="12">
        <v>-2.8782259815972315</v>
      </c>
      <c r="AF11" s="17"/>
      <c r="AG11">
        <v>9</v>
      </c>
      <c r="AH11">
        <v>20</v>
      </c>
      <c r="AI11">
        <v>41</v>
      </c>
      <c r="AJ11">
        <v>37</v>
      </c>
      <c r="AK11">
        <v>11</v>
      </c>
    </row>
    <row r="12" spans="1:37" x14ac:dyDescent="0.25">
      <c r="A12">
        <v>10</v>
      </c>
      <c r="B12" t="s">
        <v>208</v>
      </c>
      <c r="C12" t="s">
        <v>225</v>
      </c>
      <c r="D12" t="s">
        <v>222</v>
      </c>
      <c r="E12" t="s">
        <v>199</v>
      </c>
      <c r="F12">
        <v>10</v>
      </c>
      <c r="G12">
        <v>9</v>
      </c>
      <c r="H12" s="17"/>
      <c r="I12" s="1">
        <v>104.73809639573102</v>
      </c>
      <c r="J12" s="1">
        <v>100.74392731975907</v>
      </c>
      <c r="K12" s="1">
        <v>205.48202371549007</v>
      </c>
      <c r="L12" s="1">
        <v>0.50971902311392037</v>
      </c>
      <c r="M12" s="1">
        <v>0.49028097688607969</v>
      </c>
      <c r="N12" s="19"/>
      <c r="O12" s="1">
        <v>101.48900245941834</v>
      </c>
      <c r="P12" s="1">
        <v>93.417611242200621</v>
      </c>
      <c r="Q12" s="1">
        <v>194.90661370161897</v>
      </c>
      <c r="R12" s="1">
        <v>0.52070579100402958</v>
      </c>
      <c r="S12" s="1">
        <v>0.47929420899597036</v>
      </c>
      <c r="T12" s="19"/>
      <c r="U12" s="1">
        <v>0.61940313923458101</v>
      </c>
      <c r="V12" s="1">
        <v>0.38059686076541899</v>
      </c>
      <c r="W12" s="1">
        <v>0.52575000000000005</v>
      </c>
      <c r="X12" s="1">
        <v>0.47425</v>
      </c>
      <c r="Y12" s="17"/>
      <c r="Z12" s="12">
        <v>-0.93653139234580962</v>
      </c>
      <c r="AA12" s="12">
        <v>0.93653139234581018</v>
      </c>
      <c r="AB12" s="12">
        <v>-0.47736786642202578</v>
      </c>
      <c r="AC12" s="12">
        <v>-0.4591635259237839</v>
      </c>
      <c r="AD12" s="12">
        <v>0.44887407289427989</v>
      </c>
      <c r="AE12" s="12">
        <v>0.48765731945153029</v>
      </c>
      <c r="AF12" s="17"/>
      <c r="AG12">
        <v>10</v>
      </c>
      <c r="AH12">
        <v>20</v>
      </c>
      <c r="AI12">
        <v>41</v>
      </c>
      <c r="AJ12">
        <v>37</v>
      </c>
      <c r="AK12">
        <v>11</v>
      </c>
    </row>
    <row r="13" spans="1:37" x14ac:dyDescent="0.25">
      <c r="A13">
        <v>11</v>
      </c>
      <c r="B13" t="s">
        <v>208</v>
      </c>
      <c r="C13" t="s">
        <v>227</v>
      </c>
      <c r="D13" t="s">
        <v>225</v>
      </c>
      <c r="E13" t="s">
        <v>204</v>
      </c>
      <c r="F13">
        <v>10</v>
      </c>
      <c r="G13">
        <v>2</v>
      </c>
      <c r="H13" s="17"/>
      <c r="I13" s="1">
        <v>104.26072852930899</v>
      </c>
      <c r="J13" s="1">
        <v>101.12566652978312</v>
      </c>
      <c r="K13" s="1">
        <v>205.38639505909211</v>
      </c>
      <c r="L13" s="1">
        <v>0.50763210727425223</v>
      </c>
      <c r="M13" s="1">
        <v>0.49236789272574777</v>
      </c>
      <c r="N13" s="19"/>
      <c r="O13" s="1">
        <v>100.28476379383528</v>
      </c>
      <c r="P13" s="1">
        <v>100</v>
      </c>
      <c r="Q13" s="1">
        <v>200.28476379383528</v>
      </c>
      <c r="R13" s="1">
        <v>0.50071089729553364</v>
      </c>
      <c r="S13" s="1">
        <v>0.4992891027044663</v>
      </c>
      <c r="T13" s="19"/>
      <c r="U13" s="1">
        <v>0.55846602219037089</v>
      </c>
      <c r="V13" s="1">
        <v>0.44153397780962911</v>
      </c>
      <c r="W13" s="1">
        <v>1.0840000000000001</v>
      </c>
      <c r="X13" s="1">
        <v>-8.4000000000000075E-2</v>
      </c>
      <c r="Y13" s="17"/>
      <c r="Z13" s="12">
        <v>5.2553397780962916</v>
      </c>
      <c r="AA13" s="12">
        <v>-5.2553397780962916</v>
      </c>
      <c r="AB13" s="12">
        <v>2.5875605720990702</v>
      </c>
      <c r="AC13" s="12">
        <v>2.6677792059972214</v>
      </c>
      <c r="AD13" s="12">
        <v>-2.6314058958835047</v>
      </c>
      <c r="AE13" s="12">
        <v>-2.6239338822127865</v>
      </c>
      <c r="AF13" s="17"/>
      <c r="AG13">
        <v>11</v>
      </c>
      <c r="AH13">
        <v>20</v>
      </c>
      <c r="AI13">
        <v>46</v>
      </c>
      <c r="AJ13">
        <v>41</v>
      </c>
      <c r="AK13">
        <v>16</v>
      </c>
    </row>
    <row r="14" spans="1:37" x14ac:dyDescent="0.25">
      <c r="A14">
        <v>12</v>
      </c>
      <c r="B14" t="s">
        <v>208</v>
      </c>
      <c r="C14" t="s">
        <v>227</v>
      </c>
      <c r="D14" t="s">
        <v>225</v>
      </c>
      <c r="E14" t="s">
        <v>204</v>
      </c>
      <c r="F14">
        <v>9</v>
      </c>
      <c r="G14">
        <v>10</v>
      </c>
      <c r="H14" s="17"/>
      <c r="I14" s="1">
        <v>106.84828910140806</v>
      </c>
      <c r="J14" s="1">
        <v>103.79344573578034</v>
      </c>
      <c r="K14" s="1">
        <v>210.64173483718838</v>
      </c>
      <c r="L14" s="1">
        <v>0.50725127754950583</v>
      </c>
      <c r="M14" s="1">
        <v>0.49274872245049423</v>
      </c>
      <c r="N14" s="19"/>
      <c r="O14" s="1">
        <v>97.653357897951778</v>
      </c>
      <c r="P14" s="1">
        <v>97.376066117787218</v>
      </c>
      <c r="Q14" s="1">
        <v>195.02942401573898</v>
      </c>
      <c r="R14" s="1">
        <v>0.50071089729553375</v>
      </c>
      <c r="S14" s="1">
        <v>0.49928910270446636</v>
      </c>
      <c r="T14" s="19"/>
      <c r="U14" s="1">
        <v>0.67238093105150909</v>
      </c>
      <c r="V14" s="1">
        <v>0.32761906894849091</v>
      </c>
      <c r="W14" s="1">
        <v>0.47425</v>
      </c>
      <c r="X14" s="1">
        <v>0.52575000000000005</v>
      </c>
      <c r="Y14" s="17"/>
      <c r="Z14" s="12">
        <v>-1.981309310515091</v>
      </c>
      <c r="AA14" s="12">
        <v>1.9813093105150914</v>
      </c>
      <c r="AB14" s="12">
        <v>-1.0050216789795103</v>
      </c>
      <c r="AC14" s="12">
        <v>-0.97628763153558062</v>
      </c>
      <c r="AD14" s="12">
        <v>0.98924614782708464</v>
      </c>
      <c r="AE14" s="12">
        <v>0.99206316268800654</v>
      </c>
      <c r="AF14" s="17"/>
      <c r="AG14">
        <v>12</v>
      </c>
      <c r="AH14">
        <v>20</v>
      </c>
      <c r="AI14">
        <v>46</v>
      </c>
      <c r="AJ14">
        <v>41</v>
      </c>
      <c r="AK14">
        <v>16</v>
      </c>
    </row>
    <row r="15" spans="1:37" x14ac:dyDescent="0.25">
      <c r="A15">
        <v>13</v>
      </c>
      <c r="B15" t="s">
        <v>230</v>
      </c>
      <c r="C15" t="s">
        <v>224</v>
      </c>
      <c r="D15" t="s">
        <v>212</v>
      </c>
      <c r="E15" t="s">
        <v>192</v>
      </c>
      <c r="F15">
        <v>10</v>
      </c>
      <c r="G15">
        <v>6</v>
      </c>
      <c r="H15" s="17"/>
      <c r="I15" s="1">
        <v>94.730185162258678</v>
      </c>
      <c r="J15" s="1">
        <v>100</v>
      </c>
      <c r="K15" s="1">
        <v>194.73018516225869</v>
      </c>
      <c r="L15" s="1">
        <v>0.4864689317854079</v>
      </c>
      <c r="M15" s="1">
        <v>0.51353106821459205</v>
      </c>
      <c r="N15" s="19"/>
      <c r="O15" s="1">
        <v>100</v>
      </c>
      <c r="P15" s="1">
        <v>104.61591054281757</v>
      </c>
      <c r="Q15" s="1">
        <v>204.61591054281757</v>
      </c>
      <c r="R15" s="1">
        <v>0.48872054834208101</v>
      </c>
      <c r="S15" s="1">
        <v>0.51127945165791899</v>
      </c>
      <c r="T15" s="19"/>
      <c r="U15" s="1">
        <v>0.38811219558269167</v>
      </c>
      <c r="V15" s="1">
        <v>0.61188780441730839</v>
      </c>
      <c r="W15" s="1">
        <v>0.64800000000000002</v>
      </c>
      <c r="X15" s="1">
        <v>0.35199999999999998</v>
      </c>
      <c r="Y15" s="17"/>
      <c r="Z15" s="12">
        <v>2.5988780441730834</v>
      </c>
      <c r="AA15" s="12">
        <v>-2.5988780441730839</v>
      </c>
      <c r="AB15" s="12">
        <v>1.3346046181836535</v>
      </c>
      <c r="AC15" s="12">
        <v>1.2642734259894302</v>
      </c>
      <c r="AD15" s="12">
        <v>-1.2701251028224645</v>
      </c>
      <c r="AE15" s="12">
        <v>-1.3287529413506194</v>
      </c>
      <c r="AF15" s="17"/>
      <c r="AG15">
        <v>13</v>
      </c>
      <c r="AH15">
        <v>31</v>
      </c>
      <c r="AI15">
        <v>40</v>
      </c>
      <c r="AJ15">
        <v>26</v>
      </c>
      <c r="AK15">
        <v>5</v>
      </c>
    </row>
    <row r="16" spans="1:37" x14ac:dyDescent="0.25">
      <c r="A16">
        <v>14</v>
      </c>
      <c r="B16" t="s">
        <v>230</v>
      </c>
      <c r="C16" t="s">
        <v>224</v>
      </c>
      <c r="D16" t="s">
        <v>212</v>
      </c>
      <c r="E16" t="s">
        <v>192</v>
      </c>
      <c r="F16">
        <v>6</v>
      </c>
      <c r="G16">
        <v>10</v>
      </c>
      <c r="H16" s="17"/>
      <c r="I16" s="1">
        <v>96.064789780442325</v>
      </c>
      <c r="J16" s="1">
        <v>101.26427342598943</v>
      </c>
      <c r="K16" s="1">
        <v>197.32906320643175</v>
      </c>
      <c r="L16" s="1">
        <v>0.48682534756649665</v>
      </c>
      <c r="M16" s="1">
        <v>0.51317465243350335</v>
      </c>
      <c r="N16" s="19"/>
      <c r="O16" s="1">
        <v>98.729874897177538</v>
      </c>
      <c r="P16" s="1">
        <v>103.28715760146696</v>
      </c>
      <c r="Q16" s="1">
        <v>202.01703249864448</v>
      </c>
      <c r="R16" s="1">
        <v>0.48872054834208106</v>
      </c>
      <c r="S16" s="1">
        <v>0.51127945165791899</v>
      </c>
      <c r="T16" s="19"/>
      <c r="U16" s="1">
        <v>0.44623641489204008</v>
      </c>
      <c r="V16" s="1">
        <v>0.55376358510795998</v>
      </c>
      <c r="W16" s="1">
        <v>0.35199999999999998</v>
      </c>
      <c r="X16" s="1">
        <v>0.64800000000000002</v>
      </c>
      <c r="Y16" s="17"/>
      <c r="Z16" s="12">
        <v>-0.94236414892040099</v>
      </c>
      <c r="AA16" s="12">
        <v>0.94236414892040044</v>
      </c>
      <c r="AB16" s="12">
        <v>-0.45876675433238001</v>
      </c>
      <c r="AC16" s="12">
        <v>-0.48359739458802098</v>
      </c>
      <c r="AD16" s="12">
        <v>0.48181142532210375</v>
      </c>
      <c r="AE16" s="12">
        <v>0.46055272359829658</v>
      </c>
      <c r="AF16" s="17"/>
      <c r="AG16">
        <v>14</v>
      </c>
      <c r="AH16">
        <v>31</v>
      </c>
      <c r="AI16">
        <v>40</v>
      </c>
      <c r="AJ16">
        <v>26</v>
      </c>
      <c r="AK16">
        <v>5</v>
      </c>
    </row>
    <row r="17" spans="1:37" x14ac:dyDescent="0.25">
      <c r="A17">
        <v>15</v>
      </c>
      <c r="B17" t="s">
        <v>227</v>
      </c>
      <c r="C17" t="s">
        <v>196</v>
      </c>
      <c r="D17" t="s">
        <v>225</v>
      </c>
      <c r="E17" t="s">
        <v>214</v>
      </c>
      <c r="F17">
        <v>9</v>
      </c>
      <c r="G17">
        <v>10</v>
      </c>
      <c r="H17" s="17"/>
      <c r="I17" s="1">
        <v>102.81715810424475</v>
      </c>
      <c r="J17" s="1">
        <v>98.190020511382031</v>
      </c>
      <c r="K17" s="1">
        <v>201.0071786156268</v>
      </c>
      <c r="L17" s="1">
        <v>0.51150988144983345</v>
      </c>
      <c r="M17" s="1">
        <v>0.4884901185501665</v>
      </c>
      <c r="N17" s="19"/>
      <c r="O17" s="1">
        <v>98.642604045778867</v>
      </c>
      <c r="P17" s="1">
        <v>100</v>
      </c>
      <c r="Q17" s="1">
        <v>198.64260404577885</v>
      </c>
      <c r="R17" s="1">
        <v>0.49658332118444165</v>
      </c>
      <c r="S17" s="1">
        <v>0.5034166788155584</v>
      </c>
      <c r="T17" s="19"/>
      <c r="U17" s="1">
        <v>0.52719630247820137</v>
      </c>
      <c r="V17" s="1">
        <v>0.47280369752179857</v>
      </c>
      <c r="W17" s="1">
        <v>0.47425</v>
      </c>
      <c r="X17" s="1">
        <v>0.52575000000000005</v>
      </c>
      <c r="Y17" s="17"/>
      <c r="Z17" s="12">
        <v>-0.52946302478201368</v>
      </c>
      <c r="AA17" s="12">
        <v>0.52946302478201479</v>
      </c>
      <c r="AB17" s="12">
        <v>-0.27082556903831806</v>
      </c>
      <c r="AC17" s="12">
        <v>-0.25863745574369562</v>
      </c>
      <c r="AD17" s="12">
        <v>0.26654051749140151</v>
      </c>
      <c r="AE17" s="12">
        <v>0.26292250729061323</v>
      </c>
      <c r="AF17" s="17"/>
      <c r="AG17">
        <v>15</v>
      </c>
      <c r="AH17">
        <v>46</v>
      </c>
      <c r="AI17">
        <v>9</v>
      </c>
      <c r="AJ17">
        <v>41</v>
      </c>
      <c r="AK17">
        <v>28</v>
      </c>
    </row>
    <row r="18" spans="1:37" x14ac:dyDescent="0.25">
      <c r="A18">
        <v>16</v>
      </c>
      <c r="B18" t="s">
        <v>227</v>
      </c>
      <c r="C18" t="s">
        <v>196</v>
      </c>
      <c r="D18" t="s">
        <v>225</v>
      </c>
      <c r="E18" t="s">
        <v>214</v>
      </c>
      <c r="F18">
        <v>10</v>
      </c>
      <c r="G18">
        <v>3</v>
      </c>
      <c r="H18" s="17"/>
      <c r="I18" s="1">
        <v>102.54633253520643</v>
      </c>
      <c r="J18" s="1">
        <v>97.931383055638335</v>
      </c>
      <c r="K18" s="1">
        <v>200.47771559084475</v>
      </c>
      <c r="L18" s="1">
        <v>0.51150988144983345</v>
      </c>
      <c r="M18" s="1">
        <v>0.48849011855016661</v>
      </c>
      <c r="N18" s="19"/>
      <c r="O18" s="1">
        <v>98.909144563270274</v>
      </c>
      <c r="P18" s="1">
        <v>100.26292250729061</v>
      </c>
      <c r="Q18" s="1">
        <v>199.1720670705609</v>
      </c>
      <c r="R18" s="1">
        <v>0.49660148643348478</v>
      </c>
      <c r="S18" s="1">
        <v>0.5033985135665151</v>
      </c>
      <c r="T18" s="19"/>
      <c r="U18" s="1">
        <v>0.51502730702260613</v>
      </c>
      <c r="V18" s="1">
        <v>0.48497269297739387</v>
      </c>
      <c r="W18" s="1">
        <v>0.93224999999999991</v>
      </c>
      <c r="X18" s="1">
        <v>6.7749999999999977E-2</v>
      </c>
      <c r="Y18" s="17"/>
      <c r="Z18" s="12">
        <v>4.1722269297739381</v>
      </c>
      <c r="AA18" s="12">
        <v>-4.1722269297739389</v>
      </c>
      <c r="AB18" s="12">
        <v>2.0380916275434684</v>
      </c>
      <c r="AC18" s="12">
        <v>2.1341353022304692</v>
      </c>
      <c r="AD18" s="12">
        <v>-2.0719340950635527</v>
      </c>
      <c r="AE18" s="12">
        <v>-2.1002928347103857</v>
      </c>
      <c r="AF18" s="17"/>
      <c r="AG18">
        <v>16</v>
      </c>
      <c r="AH18">
        <v>46</v>
      </c>
      <c r="AI18">
        <v>9</v>
      </c>
      <c r="AJ18">
        <v>41</v>
      </c>
      <c r="AK18">
        <v>28</v>
      </c>
    </row>
    <row r="19" spans="1:37" x14ac:dyDescent="0.25">
      <c r="A19">
        <v>17</v>
      </c>
      <c r="B19" t="s">
        <v>227</v>
      </c>
      <c r="C19" t="s">
        <v>222</v>
      </c>
      <c r="D19" t="s">
        <v>192</v>
      </c>
      <c r="E19" t="s">
        <v>199</v>
      </c>
      <c r="F19">
        <v>9</v>
      </c>
      <c r="G19">
        <v>10</v>
      </c>
      <c r="H19" s="17"/>
      <c r="I19" s="1">
        <v>104.5844241627499</v>
      </c>
      <c r="J19" s="1">
        <v>101.93787653231263</v>
      </c>
      <c r="K19" s="1">
        <v>206.52230069506254</v>
      </c>
      <c r="L19" s="1">
        <v>0.50640741368251796</v>
      </c>
      <c r="M19" s="1">
        <v>0.49359258631748198</v>
      </c>
      <c r="N19" s="19"/>
      <c r="O19" s="1">
        <v>103.74771032506526</v>
      </c>
      <c r="P19" s="1">
        <v>93.90526856165215</v>
      </c>
      <c r="Q19" s="1">
        <v>197.65297888671739</v>
      </c>
      <c r="R19" s="1">
        <v>0.52489828845193931</v>
      </c>
      <c r="S19" s="1">
        <v>0.47510171154806075</v>
      </c>
      <c r="T19" s="19"/>
      <c r="U19" s="1">
        <v>0.60071552740331069</v>
      </c>
      <c r="V19" s="1">
        <v>0.39928447259668931</v>
      </c>
      <c r="W19" s="1">
        <v>0.47425</v>
      </c>
      <c r="X19" s="1">
        <v>0.52575000000000005</v>
      </c>
      <c r="Y19" s="17"/>
      <c r="Z19" s="12">
        <v>-1.2646552740331067</v>
      </c>
      <c r="AA19" s="12">
        <v>1.2646552740331074</v>
      </c>
      <c r="AB19" s="12">
        <v>-0.64043080652306161</v>
      </c>
      <c r="AC19" s="12">
        <v>-0.62422446751004512</v>
      </c>
      <c r="AD19" s="12">
        <v>0.60083988521141107</v>
      </c>
      <c r="AE19" s="12">
        <v>0.66381538882169633</v>
      </c>
      <c r="AF19" s="17"/>
      <c r="AG19">
        <v>17</v>
      </c>
      <c r="AH19">
        <v>46</v>
      </c>
      <c r="AI19">
        <v>37</v>
      </c>
      <c r="AJ19">
        <v>5</v>
      </c>
      <c r="AK19">
        <v>11</v>
      </c>
    </row>
    <row r="20" spans="1:37" x14ac:dyDescent="0.25">
      <c r="A20">
        <v>18</v>
      </c>
      <c r="B20" t="s">
        <v>227</v>
      </c>
      <c r="C20" t="s">
        <v>222</v>
      </c>
      <c r="D20" t="s">
        <v>192</v>
      </c>
      <c r="E20" t="s">
        <v>199</v>
      </c>
      <c r="F20">
        <v>1</v>
      </c>
      <c r="G20">
        <v>10</v>
      </c>
      <c r="H20" s="17"/>
      <c r="I20" s="1">
        <v>103.94399335622684</v>
      </c>
      <c r="J20" s="1">
        <v>101.31365206480258</v>
      </c>
      <c r="K20" s="1">
        <v>205.25764542102942</v>
      </c>
      <c r="L20" s="1">
        <v>0.50640741368251796</v>
      </c>
      <c r="M20" s="1">
        <v>0.49359258631748204</v>
      </c>
      <c r="N20" s="19"/>
      <c r="O20" s="1">
        <v>104.34855021027667</v>
      </c>
      <c r="P20" s="1">
        <v>94.569083950473853</v>
      </c>
      <c r="Q20" s="1">
        <v>198.91763416075054</v>
      </c>
      <c r="R20" s="1">
        <v>0.52458169759826256</v>
      </c>
      <c r="S20" s="1">
        <v>0.47541830240173732</v>
      </c>
      <c r="T20" s="19"/>
      <c r="U20" s="1">
        <v>0.57247793897118049</v>
      </c>
      <c r="V20" s="1">
        <v>0.42752206102881951</v>
      </c>
      <c r="W20" s="1">
        <v>-0.27175000000000005</v>
      </c>
      <c r="X20" s="1">
        <v>1.2717499999999999</v>
      </c>
      <c r="Y20" s="17"/>
      <c r="Z20" s="12">
        <v>-8.4422793897118051</v>
      </c>
      <c r="AA20" s="12">
        <v>8.4422793897118034</v>
      </c>
      <c r="AB20" s="12">
        <v>-4.2752328713291812</v>
      </c>
      <c r="AC20" s="12">
        <v>-4.167046518382624</v>
      </c>
      <c r="AD20" s="12">
        <v>4.0136141358579618</v>
      </c>
      <c r="AE20" s="12">
        <v>4.4286652538538425</v>
      </c>
      <c r="AF20" s="17"/>
      <c r="AG20">
        <v>18</v>
      </c>
      <c r="AH20">
        <v>46</v>
      </c>
      <c r="AI20">
        <v>37</v>
      </c>
      <c r="AJ20">
        <v>5</v>
      </c>
      <c r="AK20">
        <v>11</v>
      </c>
    </row>
    <row r="21" spans="1:37" x14ac:dyDescent="0.25">
      <c r="A21">
        <v>19</v>
      </c>
      <c r="B21" t="s">
        <v>199</v>
      </c>
      <c r="C21" t="s">
        <v>196</v>
      </c>
      <c r="D21" t="s">
        <v>222</v>
      </c>
      <c r="E21" t="s">
        <v>192</v>
      </c>
      <c r="F21">
        <v>0</v>
      </c>
      <c r="G21">
        <v>10</v>
      </c>
      <c r="H21" s="17"/>
      <c r="I21" s="1">
        <v>98.99774920432769</v>
      </c>
      <c r="J21" s="1">
        <v>100.06551835786881</v>
      </c>
      <c r="K21" s="1">
        <v>199.0632675621965</v>
      </c>
      <c r="L21" s="1">
        <v>0.49731801560725536</v>
      </c>
      <c r="M21" s="1">
        <v>0.50268198439274459</v>
      </c>
      <c r="N21" s="19"/>
      <c r="O21" s="1">
        <v>97.146605546419963</v>
      </c>
      <c r="P21" s="1">
        <v>108.36216434613463</v>
      </c>
      <c r="Q21" s="1">
        <v>205.5087698925546</v>
      </c>
      <c r="R21" s="1">
        <v>0.47271270027654183</v>
      </c>
      <c r="S21" s="1">
        <v>0.52728729972345822</v>
      </c>
      <c r="T21" s="19"/>
      <c r="U21" s="1">
        <v>0.42633349058851217</v>
      </c>
      <c r="V21" s="1">
        <v>0.57366650941148778</v>
      </c>
      <c r="W21" s="1">
        <v>-0.5</v>
      </c>
      <c r="X21" s="1">
        <v>1.5</v>
      </c>
      <c r="Y21" s="17"/>
      <c r="Z21" s="12">
        <v>-9.2633349058851202</v>
      </c>
      <c r="AA21" s="12">
        <v>9.263334905885122</v>
      </c>
      <c r="AB21" s="12">
        <v>-4.60682333330021</v>
      </c>
      <c r="AC21" s="12">
        <v>-4.6565115725849102</v>
      </c>
      <c r="AD21" s="12">
        <v>4.8844388489582196</v>
      </c>
      <c r="AE21" s="12">
        <v>4.3788960569269006</v>
      </c>
      <c r="AF21" s="17"/>
      <c r="AG21">
        <v>19</v>
      </c>
      <c r="AH21">
        <v>11</v>
      </c>
      <c r="AI21">
        <v>9</v>
      </c>
      <c r="AJ21">
        <v>37</v>
      </c>
      <c r="AK21">
        <v>5</v>
      </c>
    </row>
    <row r="22" spans="1:37" x14ac:dyDescent="0.25">
      <c r="A22">
        <v>20</v>
      </c>
      <c r="B22" t="s">
        <v>199</v>
      </c>
      <c r="C22" t="s">
        <v>196</v>
      </c>
      <c r="D22" t="s">
        <v>222</v>
      </c>
      <c r="E22" t="s">
        <v>192</v>
      </c>
      <c r="F22">
        <v>4</v>
      </c>
      <c r="G22">
        <v>10</v>
      </c>
      <c r="H22" s="17"/>
      <c r="I22" s="1">
        <v>94.390925871027477</v>
      </c>
      <c r="J22" s="1">
        <v>95.409006785283907</v>
      </c>
      <c r="K22" s="1">
        <v>189.7999326563114</v>
      </c>
      <c r="L22" s="1">
        <v>0.4973180156072553</v>
      </c>
      <c r="M22" s="1">
        <v>0.50268198439274459</v>
      </c>
      <c r="N22" s="19"/>
      <c r="O22" s="1">
        <v>102.03104439537819</v>
      </c>
      <c r="P22" s="1">
        <v>112.74106040306154</v>
      </c>
      <c r="Q22" s="1">
        <v>214.77210479843973</v>
      </c>
      <c r="R22" s="1">
        <v>0.47506655713567986</v>
      </c>
      <c r="S22" s="1">
        <v>0.5249334428643202</v>
      </c>
      <c r="T22" s="19"/>
      <c r="U22" s="1">
        <v>0.24048706906104581</v>
      </c>
      <c r="V22" s="1">
        <v>0.75951293093895422</v>
      </c>
      <c r="W22" s="1">
        <v>0.18799999999999994</v>
      </c>
      <c r="X22" s="1">
        <v>0.81200000000000006</v>
      </c>
      <c r="Y22" s="17"/>
      <c r="Z22" s="12">
        <v>-0.52487069061045855</v>
      </c>
      <c r="AA22" s="12">
        <v>0.52487069061045832</v>
      </c>
      <c r="AB22" s="12">
        <v>-0.26102765030480291</v>
      </c>
      <c r="AC22" s="12">
        <v>-0.26384304030565559</v>
      </c>
      <c r="AD22" s="12">
        <v>0.27552217868072132</v>
      </c>
      <c r="AE22" s="12">
        <v>0.249348511929737</v>
      </c>
      <c r="AF22" s="17"/>
      <c r="AG22">
        <v>20</v>
      </c>
      <c r="AH22">
        <v>11</v>
      </c>
      <c r="AI22">
        <v>9</v>
      </c>
      <c r="AJ22">
        <v>37</v>
      </c>
      <c r="AK22">
        <v>5</v>
      </c>
    </row>
    <row r="23" spans="1:37" x14ac:dyDescent="0.25">
      <c r="A23">
        <v>21</v>
      </c>
      <c r="B23" t="s">
        <v>225</v>
      </c>
      <c r="C23" t="s">
        <v>224</v>
      </c>
      <c r="D23" t="s">
        <v>227</v>
      </c>
      <c r="E23" t="s">
        <v>208</v>
      </c>
      <c r="F23">
        <v>10</v>
      </c>
      <c r="G23">
        <v>8</v>
      </c>
      <c r="H23" s="17"/>
      <c r="I23" s="1">
        <v>96.83721046820672</v>
      </c>
      <c r="J23" s="1">
        <v>100.78067603140141</v>
      </c>
      <c r="K23" s="1">
        <v>197.61788649960812</v>
      </c>
      <c r="L23" s="1">
        <v>0.4900224983855333</v>
      </c>
      <c r="M23" s="1">
        <v>0.50997750161446675</v>
      </c>
      <c r="N23" s="19"/>
      <c r="O23" s="1">
        <v>99.66876048489766</v>
      </c>
      <c r="P23" s="1">
        <v>105.84326742242854</v>
      </c>
      <c r="Q23" s="1">
        <v>205.5120279073262</v>
      </c>
      <c r="R23" s="1">
        <v>0.48497774801697929</v>
      </c>
      <c r="S23" s="1">
        <v>0.51502225198302076</v>
      </c>
      <c r="T23" s="19"/>
      <c r="U23" s="1">
        <v>0.41010323010813077</v>
      </c>
      <c r="V23" s="1">
        <v>0.58989676989186923</v>
      </c>
      <c r="W23" s="1">
        <v>0.55600000000000005</v>
      </c>
      <c r="X23" s="1">
        <v>0.44400000000000001</v>
      </c>
      <c r="Y23" s="17"/>
      <c r="Z23" s="12">
        <v>1.4589676989186928</v>
      </c>
      <c r="AA23" s="12">
        <v>-1.4589676989186922</v>
      </c>
      <c r="AB23" s="12">
        <v>0.74404070203076256</v>
      </c>
      <c r="AC23" s="12">
        <v>0.71492699688793027</v>
      </c>
      <c r="AD23" s="12">
        <v>-0.70756686905110155</v>
      </c>
      <c r="AE23" s="12">
        <v>-0.7514008298675906</v>
      </c>
      <c r="AF23" s="17"/>
      <c r="AG23">
        <v>21</v>
      </c>
      <c r="AH23">
        <v>41</v>
      </c>
      <c r="AI23">
        <v>40</v>
      </c>
      <c r="AJ23">
        <v>46</v>
      </c>
      <c r="AK23">
        <v>20</v>
      </c>
    </row>
    <row r="24" spans="1:37" x14ac:dyDescent="0.25">
      <c r="A24">
        <v>22</v>
      </c>
      <c r="B24" t="s">
        <v>225</v>
      </c>
      <c r="C24" t="s">
        <v>224</v>
      </c>
      <c r="D24" t="s">
        <v>227</v>
      </c>
      <c r="E24" t="s">
        <v>208</v>
      </c>
      <c r="F24">
        <v>4</v>
      </c>
      <c r="G24">
        <v>10</v>
      </c>
      <c r="H24" s="17"/>
      <c r="I24" s="1">
        <v>97.581251170237479</v>
      </c>
      <c r="J24" s="1">
        <v>101.49560302828934</v>
      </c>
      <c r="K24" s="1">
        <v>199.0768541985268</v>
      </c>
      <c r="L24" s="1">
        <v>0.49016874193182619</v>
      </c>
      <c r="M24" s="1">
        <v>0.50983125806817386</v>
      </c>
      <c r="N24" s="19"/>
      <c r="O24" s="1">
        <v>98.961193615846554</v>
      </c>
      <c r="P24" s="1">
        <v>105.09186659256095</v>
      </c>
      <c r="Q24" s="1">
        <v>204.05306020840749</v>
      </c>
      <c r="R24" s="1">
        <v>0.48497774801697929</v>
      </c>
      <c r="S24" s="1">
        <v>0.51502225198302076</v>
      </c>
      <c r="T24" s="19"/>
      <c r="U24" s="1">
        <v>0.44295872248530155</v>
      </c>
      <c r="V24" s="1">
        <v>0.55704127751469856</v>
      </c>
      <c r="W24" s="1">
        <v>0.18799999999999994</v>
      </c>
      <c r="X24" s="1">
        <v>0.81200000000000006</v>
      </c>
      <c r="Y24" s="17"/>
      <c r="Z24" s="12">
        <v>-2.549587224853016</v>
      </c>
      <c r="AA24" s="12">
        <v>2.5495872248530151</v>
      </c>
      <c r="AB24" s="12">
        <v>-1.2497279624516588</v>
      </c>
      <c r="AC24" s="12">
        <v>-1.2998592624013572</v>
      </c>
      <c r="AD24" s="12">
        <v>1.3130941541709402</v>
      </c>
      <c r="AE24" s="12">
        <v>1.2364930706820749</v>
      </c>
      <c r="AF24" s="17"/>
      <c r="AG24">
        <v>22</v>
      </c>
      <c r="AH24">
        <v>41</v>
      </c>
      <c r="AI24">
        <v>40</v>
      </c>
      <c r="AJ24">
        <v>46</v>
      </c>
      <c r="AK24">
        <v>20</v>
      </c>
    </row>
    <row r="25" spans="1:37" x14ac:dyDescent="0.25">
      <c r="A25">
        <v>23</v>
      </c>
      <c r="B25" t="s">
        <v>208</v>
      </c>
      <c r="C25" t="s">
        <v>216</v>
      </c>
      <c r="D25" t="s">
        <v>222</v>
      </c>
      <c r="E25" t="s">
        <v>230</v>
      </c>
      <c r="F25">
        <v>10</v>
      </c>
      <c r="G25">
        <v>1</v>
      </c>
      <c r="H25" s="17"/>
      <c r="I25" s="1">
        <v>106.32835966324302</v>
      </c>
      <c r="J25" s="1">
        <v>100</v>
      </c>
      <c r="K25" s="1">
        <v>206.32835966324302</v>
      </c>
      <c r="L25" s="1">
        <v>0.51533565156426342</v>
      </c>
      <c r="M25" s="1">
        <v>0.48466434843573664</v>
      </c>
      <c r="N25" s="19"/>
      <c r="O25" s="1">
        <v>102.30656657405891</v>
      </c>
      <c r="P25" s="1">
        <v>95.606023026109952</v>
      </c>
      <c r="Q25" s="1">
        <v>197.91258960016887</v>
      </c>
      <c r="R25" s="1">
        <v>0.51692803767937567</v>
      </c>
      <c r="S25" s="1">
        <v>0.48307196232062427</v>
      </c>
      <c r="T25" s="19"/>
      <c r="U25" s="1">
        <v>0.59569530981433128</v>
      </c>
      <c r="V25" s="1">
        <v>0.40430469018566867</v>
      </c>
      <c r="W25" s="1">
        <v>1.2717499999999999</v>
      </c>
      <c r="X25" s="1">
        <v>-0.27175000000000005</v>
      </c>
      <c r="Y25" s="17"/>
      <c r="Z25" s="12">
        <v>6.7605469018566868</v>
      </c>
      <c r="AA25" s="12">
        <v>-6.7605469018566877</v>
      </c>
      <c r="AB25" s="12">
        <v>3.2765960592576087</v>
      </c>
      <c r="AC25" s="12">
        <v>3.4839508425990773</v>
      </c>
      <c r="AD25" s="12">
        <v>-3.4947162436161605</v>
      </c>
      <c r="AE25" s="12">
        <v>-3.2658306582405272</v>
      </c>
      <c r="AF25" s="17"/>
      <c r="AG25">
        <v>23</v>
      </c>
      <c r="AH25">
        <v>20</v>
      </c>
      <c r="AI25">
        <v>30</v>
      </c>
      <c r="AJ25">
        <v>37</v>
      </c>
      <c r="AK25">
        <v>31</v>
      </c>
    </row>
    <row r="26" spans="1:37" x14ac:dyDescent="0.25">
      <c r="A26">
        <v>24</v>
      </c>
      <c r="B26" t="s">
        <v>208</v>
      </c>
      <c r="C26" t="s">
        <v>216</v>
      </c>
      <c r="D26" t="s">
        <v>222</v>
      </c>
      <c r="E26" t="s">
        <v>230</v>
      </c>
      <c r="F26">
        <v>10</v>
      </c>
      <c r="G26">
        <v>2</v>
      </c>
      <c r="H26" s="17"/>
      <c r="I26" s="1">
        <v>109.60495572250063</v>
      </c>
      <c r="J26" s="1">
        <v>103.48395084259907</v>
      </c>
      <c r="K26" s="1">
        <v>213.08890656509971</v>
      </c>
      <c r="L26" s="1">
        <v>0.51436256109848577</v>
      </c>
      <c r="M26" s="1">
        <v>0.48563743890151417</v>
      </c>
      <c r="N26" s="19"/>
      <c r="O26" s="1">
        <v>98.811850330442752</v>
      </c>
      <c r="P26" s="1">
        <v>92.34019236786942</v>
      </c>
      <c r="Q26" s="1">
        <v>191.15204269831219</v>
      </c>
      <c r="R26" s="1">
        <v>0.51692803767937567</v>
      </c>
      <c r="S26" s="1">
        <v>0.48307196232062422</v>
      </c>
      <c r="T26" s="19"/>
      <c r="U26" s="1">
        <v>0.73306514147270874</v>
      </c>
      <c r="V26" s="1">
        <v>0.26693485852729132</v>
      </c>
      <c r="W26" s="1">
        <v>1.0840000000000001</v>
      </c>
      <c r="X26" s="1">
        <v>-8.4000000000000075E-2</v>
      </c>
      <c r="Y26" s="17"/>
      <c r="Z26" s="12">
        <v>3.5093485852729134</v>
      </c>
      <c r="AA26" s="12">
        <v>-3.5093485852729138</v>
      </c>
      <c r="AB26" s="12">
        <v>1.7042710591645898</v>
      </c>
      <c r="AC26" s="12">
        <v>1.8050775261083238</v>
      </c>
      <c r="AD26" s="12">
        <v>-1.8140806777180205</v>
      </c>
      <c r="AE26" s="12">
        <v>-1.6952679075548929</v>
      </c>
      <c r="AF26" s="17"/>
      <c r="AG26">
        <v>24</v>
      </c>
      <c r="AH26">
        <v>20</v>
      </c>
      <c r="AI26">
        <v>30</v>
      </c>
      <c r="AJ26">
        <v>37</v>
      </c>
      <c r="AK26">
        <v>31</v>
      </c>
    </row>
    <row r="27" spans="1:37" x14ac:dyDescent="0.25">
      <c r="A27">
        <v>25</v>
      </c>
      <c r="B27" t="s">
        <v>208</v>
      </c>
      <c r="C27" t="s">
        <v>192</v>
      </c>
      <c r="D27" t="s">
        <v>216</v>
      </c>
      <c r="E27" t="s">
        <v>196</v>
      </c>
      <c r="F27">
        <v>5</v>
      </c>
      <c r="G27">
        <v>10</v>
      </c>
      <c r="H27" s="17"/>
      <c r="I27" s="1">
        <v>111.30922678166522</v>
      </c>
      <c r="J27" s="1">
        <v>112.99040891499128</v>
      </c>
      <c r="K27" s="1">
        <v>224.29963569665648</v>
      </c>
      <c r="L27" s="1">
        <v>0.49625237435606073</v>
      </c>
      <c r="M27" s="1">
        <v>0.50374762564393927</v>
      </c>
      <c r="N27" s="19"/>
      <c r="O27" s="1">
        <v>105.28902836870739</v>
      </c>
      <c r="P27" s="1">
        <v>95.145163744978248</v>
      </c>
      <c r="Q27" s="1">
        <v>200.43419211368564</v>
      </c>
      <c r="R27" s="1">
        <v>0.52530472599698852</v>
      </c>
      <c r="S27" s="1">
        <v>0.47469527400301148</v>
      </c>
      <c r="T27" s="19"/>
      <c r="U27" s="1">
        <v>0.75008099199565048</v>
      </c>
      <c r="V27" s="1">
        <v>0.2499190080043496</v>
      </c>
      <c r="W27" s="1">
        <v>0.28125</v>
      </c>
      <c r="X27" s="1">
        <v>0.71875</v>
      </c>
      <c r="Y27" s="17"/>
      <c r="Z27" s="12">
        <v>-4.688309919956505</v>
      </c>
      <c r="AA27" s="12">
        <v>4.6883099199565041</v>
      </c>
      <c r="AB27" s="12">
        <v>-2.3265849294954886</v>
      </c>
      <c r="AC27" s="12">
        <v>-2.3617249904610165</v>
      </c>
      <c r="AD27" s="12">
        <v>2.2255185620647895</v>
      </c>
      <c r="AE27" s="12">
        <v>2.4627913578917147</v>
      </c>
      <c r="AF27" s="17"/>
      <c r="AG27">
        <v>25</v>
      </c>
      <c r="AH27">
        <v>20</v>
      </c>
      <c r="AI27">
        <v>5</v>
      </c>
      <c r="AJ27">
        <v>30</v>
      </c>
      <c r="AK27">
        <v>9</v>
      </c>
    </row>
    <row r="28" spans="1:37" x14ac:dyDescent="0.25">
      <c r="A28">
        <v>26</v>
      </c>
      <c r="B28" t="s">
        <v>208</v>
      </c>
      <c r="C28" t="s">
        <v>192</v>
      </c>
      <c r="D28" t="s">
        <v>216</v>
      </c>
      <c r="E28" t="s">
        <v>196</v>
      </c>
      <c r="F28">
        <v>9</v>
      </c>
      <c r="G28">
        <v>10</v>
      </c>
      <c r="H28" s="17"/>
      <c r="I28" s="1">
        <v>108.98264185216973</v>
      </c>
      <c r="J28" s="1">
        <v>110.62868392453026</v>
      </c>
      <c r="K28" s="1">
        <v>219.6113257767</v>
      </c>
      <c r="L28" s="1">
        <v>0.49625237435606073</v>
      </c>
      <c r="M28" s="1">
        <v>0.50374762564393927</v>
      </c>
      <c r="N28" s="19"/>
      <c r="O28" s="1">
        <v>107.51454693077218</v>
      </c>
      <c r="P28" s="1">
        <v>97.607955102869965</v>
      </c>
      <c r="Q28" s="1">
        <v>205.12250203364215</v>
      </c>
      <c r="R28" s="1">
        <v>0.52414798895705128</v>
      </c>
      <c r="S28" s="1">
        <v>0.47585201104294877</v>
      </c>
      <c r="T28" s="19"/>
      <c r="U28" s="1">
        <v>0.66088375129442634</v>
      </c>
      <c r="V28" s="1">
        <v>0.33911624870557366</v>
      </c>
      <c r="W28" s="1">
        <v>0.47425</v>
      </c>
      <c r="X28" s="1">
        <v>0.52575000000000005</v>
      </c>
      <c r="Y28" s="17"/>
      <c r="Z28" s="12">
        <v>-1.8663375129442632</v>
      </c>
      <c r="AA28" s="12">
        <v>1.8663375129442639</v>
      </c>
      <c r="AB28" s="12">
        <v>-0.92617442214837586</v>
      </c>
      <c r="AC28" s="12">
        <v>-0.94016309079588734</v>
      </c>
      <c r="AD28" s="12">
        <v>0.88810045881942334</v>
      </c>
      <c r="AE28" s="12">
        <v>0.97823705412484052</v>
      </c>
      <c r="AF28" s="17"/>
      <c r="AG28">
        <v>26</v>
      </c>
      <c r="AH28">
        <v>20</v>
      </c>
      <c r="AI28">
        <v>5</v>
      </c>
      <c r="AJ28">
        <v>30</v>
      </c>
      <c r="AK28">
        <v>9</v>
      </c>
    </row>
    <row r="29" spans="1:37" x14ac:dyDescent="0.25">
      <c r="A29">
        <v>27</v>
      </c>
      <c r="B29" t="s">
        <v>227</v>
      </c>
      <c r="C29" t="s">
        <v>215</v>
      </c>
      <c r="D29" t="s">
        <v>208</v>
      </c>
      <c r="E29" t="s">
        <v>190</v>
      </c>
      <c r="F29">
        <v>10</v>
      </c>
      <c r="G29">
        <v>9</v>
      </c>
      <c r="H29" s="17"/>
      <c r="I29" s="1">
        <v>100.27428777001749</v>
      </c>
      <c r="J29" s="1">
        <v>100</v>
      </c>
      <c r="K29" s="1">
        <v>200.27428777001751</v>
      </c>
      <c r="L29" s="1">
        <v>0.50068478029074914</v>
      </c>
      <c r="M29" s="1">
        <v>0.49931521970925075</v>
      </c>
      <c r="N29" s="19"/>
      <c r="O29" s="1">
        <v>108.05646743002136</v>
      </c>
      <c r="P29" s="1">
        <v>100</v>
      </c>
      <c r="Q29" s="1">
        <v>208.05646743002137</v>
      </c>
      <c r="R29" s="1">
        <v>0.51936125209068806</v>
      </c>
      <c r="S29" s="1">
        <v>0.48063874790931188</v>
      </c>
      <c r="T29" s="19"/>
      <c r="U29" s="1">
        <v>0.4113511449376126</v>
      </c>
      <c r="V29" s="1">
        <v>0.5886488550623874</v>
      </c>
      <c r="W29" s="1">
        <v>0.52575000000000005</v>
      </c>
      <c r="X29" s="1">
        <v>0.47425</v>
      </c>
      <c r="Y29" s="17"/>
      <c r="Z29" s="12">
        <v>1.1439885506238745</v>
      </c>
      <c r="AA29" s="12">
        <v>-1.1439885506238738</v>
      </c>
      <c r="AB29" s="12">
        <v>0.57121089449962736</v>
      </c>
      <c r="AC29" s="12">
        <v>0.57277765612424725</v>
      </c>
      <c r="AD29" s="12">
        <v>-0.59414332602942665</v>
      </c>
      <c r="AE29" s="12">
        <v>-0.54984522459444718</v>
      </c>
      <c r="AF29" s="17"/>
      <c r="AG29">
        <v>27</v>
      </c>
      <c r="AH29">
        <v>46</v>
      </c>
      <c r="AI29">
        <v>29</v>
      </c>
      <c r="AJ29">
        <v>20</v>
      </c>
      <c r="AK29">
        <v>2</v>
      </c>
    </row>
    <row r="30" spans="1:37" x14ac:dyDescent="0.25">
      <c r="A30">
        <v>28</v>
      </c>
      <c r="B30" t="s">
        <v>199</v>
      </c>
      <c r="C30" t="s">
        <v>192</v>
      </c>
      <c r="D30" t="s">
        <v>222</v>
      </c>
      <c r="E30" t="s">
        <v>196</v>
      </c>
      <c r="F30">
        <v>10</v>
      </c>
      <c r="G30">
        <v>4</v>
      </c>
      <c r="H30" s="17"/>
      <c r="I30" s="1">
        <v>94.12989822072268</v>
      </c>
      <c r="J30" s="1">
        <v>109.68852083373437</v>
      </c>
      <c r="K30" s="1">
        <v>203.81841905445705</v>
      </c>
      <c r="L30" s="1">
        <v>0.46183214773917297</v>
      </c>
      <c r="M30" s="1">
        <v>0.53816785226082697</v>
      </c>
      <c r="N30" s="19"/>
      <c r="O30" s="1">
        <v>96.997769652724728</v>
      </c>
      <c r="P30" s="1">
        <v>98.586192156994812</v>
      </c>
      <c r="Q30" s="1">
        <v>195.58396180971954</v>
      </c>
      <c r="R30" s="1">
        <v>0.49593928231749534</v>
      </c>
      <c r="S30" s="1">
        <v>0.5040607176825046</v>
      </c>
      <c r="T30" s="19"/>
      <c r="U30" s="1">
        <v>0.59368273616387446</v>
      </c>
      <c r="V30" s="1">
        <v>0.40631726383612543</v>
      </c>
      <c r="W30" s="1">
        <v>0.81200000000000006</v>
      </c>
      <c r="X30" s="1">
        <v>0.18799999999999994</v>
      </c>
      <c r="Y30" s="17"/>
      <c r="Z30" s="12">
        <v>2.1831726383612562</v>
      </c>
      <c r="AA30" s="12">
        <v>-2.1831726383612549</v>
      </c>
      <c r="AB30" s="12">
        <v>1.1749133299014807</v>
      </c>
      <c r="AC30" s="12">
        <v>1.0082593084597757</v>
      </c>
      <c r="AD30" s="12">
        <v>-1.0827210714440736</v>
      </c>
      <c r="AE30" s="12">
        <v>-1.1004515669171813</v>
      </c>
      <c r="AF30" s="17"/>
      <c r="AG30">
        <v>28</v>
      </c>
      <c r="AH30">
        <v>11</v>
      </c>
      <c r="AI30">
        <v>5</v>
      </c>
      <c r="AJ30">
        <v>37</v>
      </c>
      <c r="AK30">
        <v>9</v>
      </c>
    </row>
    <row r="31" spans="1:37" x14ac:dyDescent="0.25">
      <c r="A31">
        <v>29</v>
      </c>
      <c r="B31" t="s">
        <v>199</v>
      </c>
      <c r="C31" t="s">
        <v>192</v>
      </c>
      <c r="D31" t="s">
        <v>222</v>
      </c>
      <c r="E31" t="s">
        <v>196</v>
      </c>
      <c r="F31">
        <v>10</v>
      </c>
      <c r="G31">
        <v>5</v>
      </c>
      <c r="H31" s="17"/>
      <c r="I31" s="1">
        <v>95.304811550624166</v>
      </c>
      <c r="J31" s="1">
        <v>110.69678014219414</v>
      </c>
      <c r="K31" s="1">
        <v>206.00159169281829</v>
      </c>
      <c r="L31" s="1">
        <v>0.46264114159243519</v>
      </c>
      <c r="M31" s="1">
        <v>0.53735885840756492</v>
      </c>
      <c r="N31" s="19"/>
      <c r="O31" s="1">
        <v>95.915048581280658</v>
      </c>
      <c r="P31" s="1">
        <v>97.485740590077626</v>
      </c>
      <c r="Q31" s="1">
        <v>193.40078917135827</v>
      </c>
      <c r="R31" s="1">
        <v>0.4959392823174954</v>
      </c>
      <c r="S31" s="1">
        <v>0.50406071768250471</v>
      </c>
      <c r="T31" s="19"/>
      <c r="U31" s="1">
        <v>0.64113376468104877</v>
      </c>
      <c r="V31" s="1">
        <v>0.35886623531895123</v>
      </c>
      <c r="W31" s="1">
        <v>0.71875</v>
      </c>
      <c r="X31" s="1">
        <v>0.28125</v>
      </c>
      <c r="Y31" s="17"/>
      <c r="Z31" s="12">
        <v>0.77616235318951232</v>
      </c>
      <c r="AA31" s="12">
        <v>-0.77616235318951232</v>
      </c>
      <c r="AB31" s="12">
        <v>0.41707771604884547</v>
      </c>
      <c r="AC31" s="12">
        <v>0.3590846371406668</v>
      </c>
      <c r="AD31" s="12">
        <v>-0.3849294004026651</v>
      </c>
      <c r="AE31" s="12">
        <v>-0.39123295278684728</v>
      </c>
      <c r="AF31" s="17"/>
      <c r="AG31">
        <v>29</v>
      </c>
      <c r="AH31">
        <v>11</v>
      </c>
      <c r="AI31">
        <v>5</v>
      </c>
      <c r="AJ31">
        <v>37</v>
      </c>
      <c r="AK31">
        <v>9</v>
      </c>
    </row>
    <row r="32" spans="1:37" x14ac:dyDescent="0.25">
      <c r="A32">
        <v>30</v>
      </c>
      <c r="B32" t="s">
        <v>225</v>
      </c>
      <c r="C32" t="s">
        <v>230</v>
      </c>
      <c r="D32" t="s">
        <v>212</v>
      </c>
      <c r="E32" t="s">
        <v>199</v>
      </c>
      <c r="F32">
        <v>10</v>
      </c>
      <c r="G32">
        <v>5</v>
      </c>
      <c r="H32" s="17"/>
      <c r="I32" s="1">
        <v>96.331523207785821</v>
      </c>
      <c r="J32" s="1">
        <v>90.644924460314527</v>
      </c>
      <c r="K32" s="1">
        <v>186.97644766810035</v>
      </c>
      <c r="L32" s="1">
        <v>0.51520672474633145</v>
      </c>
      <c r="M32" s="1">
        <v>0.48479327525366855</v>
      </c>
      <c r="N32" s="19"/>
      <c r="O32" s="1">
        <v>99.211686322499645</v>
      </c>
      <c r="P32" s="1">
        <v>95.721889266673017</v>
      </c>
      <c r="Q32" s="1">
        <v>194.93357558917268</v>
      </c>
      <c r="R32" s="1">
        <v>0.50895124671385872</v>
      </c>
      <c r="S32" s="1">
        <v>0.49104875328614123</v>
      </c>
      <c r="T32" s="19"/>
      <c r="U32" s="1">
        <v>0.40940169578268065</v>
      </c>
      <c r="V32" s="1">
        <v>0.59059830421731929</v>
      </c>
      <c r="W32" s="1">
        <v>0.71875</v>
      </c>
      <c r="X32" s="1">
        <v>0.28125</v>
      </c>
      <c r="Y32" s="17"/>
      <c r="Z32" s="12">
        <v>3.0934830421731934</v>
      </c>
      <c r="AA32" s="12">
        <v>-3.0934830421731929</v>
      </c>
      <c r="AB32" s="12">
        <v>1.4996997759568249</v>
      </c>
      <c r="AC32" s="12">
        <v>1.5937832662163685</v>
      </c>
      <c r="AD32" s="12">
        <v>-1.5744320510022269</v>
      </c>
      <c r="AE32" s="12">
        <v>-1.5190509911709658</v>
      </c>
      <c r="AF32" s="17"/>
      <c r="AG32">
        <v>30</v>
      </c>
      <c r="AH32">
        <v>41</v>
      </c>
      <c r="AI32">
        <v>31</v>
      </c>
      <c r="AJ32">
        <v>26</v>
      </c>
      <c r="AK32">
        <v>11</v>
      </c>
    </row>
    <row r="33" spans="1:37" x14ac:dyDescent="0.25">
      <c r="A33">
        <v>31</v>
      </c>
      <c r="B33" t="s">
        <v>225</v>
      </c>
      <c r="C33" t="s">
        <v>230</v>
      </c>
      <c r="D33" t="s">
        <v>212</v>
      </c>
      <c r="E33" t="s">
        <v>199</v>
      </c>
      <c r="F33">
        <v>10</v>
      </c>
      <c r="G33">
        <v>6</v>
      </c>
      <c r="H33" s="17"/>
      <c r="I33" s="1">
        <v>97.831222983742649</v>
      </c>
      <c r="J33" s="1">
        <v>92.23870772653089</v>
      </c>
      <c r="K33" s="1">
        <v>190.06993071027352</v>
      </c>
      <c r="L33" s="1">
        <v>0.51471173066753129</v>
      </c>
      <c r="M33" s="1">
        <v>0.48528826933246877</v>
      </c>
      <c r="N33" s="19"/>
      <c r="O33" s="1">
        <v>97.637254271497412</v>
      </c>
      <c r="P33" s="1">
        <v>94.202838275502046</v>
      </c>
      <c r="Q33" s="1">
        <v>191.84009254699947</v>
      </c>
      <c r="R33" s="1">
        <v>0.50895124671385872</v>
      </c>
      <c r="S33" s="1">
        <v>0.49104875328614123</v>
      </c>
      <c r="T33" s="19"/>
      <c r="U33" s="1">
        <v>0.47963153708005341</v>
      </c>
      <c r="V33" s="1">
        <v>0.52036846291994665</v>
      </c>
      <c r="W33" s="1">
        <v>0.64800000000000002</v>
      </c>
      <c r="X33" s="1">
        <v>0.35199999999999998</v>
      </c>
      <c r="Y33" s="17"/>
      <c r="Z33" s="12">
        <v>1.6836846291994663</v>
      </c>
      <c r="AA33" s="12">
        <v>-1.6836846291994667</v>
      </c>
      <c r="AB33" s="12">
        <v>0.81707239980588831</v>
      </c>
      <c r="AC33" s="12">
        <v>0.86661222939357796</v>
      </c>
      <c r="AD33" s="12">
        <v>-0.85691339110402953</v>
      </c>
      <c r="AE33" s="12">
        <v>-0.82677123809543707</v>
      </c>
      <c r="AF33" s="17"/>
      <c r="AG33">
        <v>31</v>
      </c>
      <c r="AH33">
        <v>41</v>
      </c>
      <c r="AI33">
        <v>31</v>
      </c>
      <c r="AJ33">
        <v>26</v>
      </c>
      <c r="AK33">
        <v>11</v>
      </c>
    </row>
    <row r="34" spans="1:37" x14ac:dyDescent="0.25">
      <c r="A34">
        <v>32</v>
      </c>
      <c r="B34" t="s">
        <v>225</v>
      </c>
      <c r="C34" t="s">
        <v>227</v>
      </c>
      <c r="D34" t="s">
        <v>204</v>
      </c>
      <c r="E34" t="s">
        <v>208</v>
      </c>
      <c r="F34">
        <v>10</v>
      </c>
      <c r="G34">
        <v>5</v>
      </c>
      <c r="H34" s="17"/>
      <c r="I34" s="1">
        <v>98.648295383548543</v>
      </c>
      <c r="J34" s="1">
        <v>100.84549866451712</v>
      </c>
      <c r="K34" s="1">
        <v>199.49379404806567</v>
      </c>
      <c r="L34" s="1">
        <v>0.49449305355223433</v>
      </c>
      <c r="M34" s="1">
        <v>0.50550694644776561</v>
      </c>
      <c r="N34" s="19"/>
      <c r="O34" s="1">
        <v>98.36812928047523</v>
      </c>
      <c r="P34" s="1">
        <v>107.46232410399193</v>
      </c>
      <c r="Q34" s="1">
        <v>205.83045338446715</v>
      </c>
      <c r="R34" s="1">
        <v>0.47790852938916234</v>
      </c>
      <c r="S34" s="1">
        <v>0.52209147061083772</v>
      </c>
      <c r="T34" s="19"/>
      <c r="U34" s="1">
        <v>0.42755984103068401</v>
      </c>
      <c r="V34" s="1">
        <v>0.57244015896931599</v>
      </c>
      <c r="W34" s="1">
        <v>0.71875</v>
      </c>
      <c r="X34" s="1">
        <v>0.28125</v>
      </c>
      <c r="Y34" s="17"/>
      <c r="Z34" s="12">
        <v>2.9119015896931599</v>
      </c>
      <c r="AA34" s="12">
        <v>-2.9119015896931599</v>
      </c>
      <c r="AB34" s="12">
        <v>1.4719864809621841</v>
      </c>
      <c r="AC34" s="12">
        <v>1.4399151087309763</v>
      </c>
      <c r="AD34" s="12">
        <v>-1.391622606456222</v>
      </c>
      <c r="AE34" s="12">
        <v>-1.5202789832369381</v>
      </c>
      <c r="AF34" s="17"/>
      <c r="AG34">
        <v>32</v>
      </c>
      <c r="AH34">
        <v>41</v>
      </c>
      <c r="AI34">
        <v>46</v>
      </c>
      <c r="AJ34">
        <v>16</v>
      </c>
      <c r="AK34">
        <v>20</v>
      </c>
    </row>
    <row r="35" spans="1:37" x14ac:dyDescent="0.25">
      <c r="A35">
        <v>33</v>
      </c>
      <c r="B35" t="s">
        <v>225</v>
      </c>
      <c r="C35" t="s">
        <v>227</v>
      </c>
      <c r="D35" t="s">
        <v>204</v>
      </c>
      <c r="E35" t="s">
        <v>208</v>
      </c>
      <c r="F35">
        <v>10</v>
      </c>
      <c r="G35">
        <v>6</v>
      </c>
      <c r="H35" s="17"/>
      <c r="I35" s="1">
        <v>100.12028186451073</v>
      </c>
      <c r="J35" s="1">
        <v>102.2854137732481</v>
      </c>
      <c r="K35" s="1">
        <v>202.40569563775881</v>
      </c>
      <c r="L35" s="1">
        <v>0.4946515044897446</v>
      </c>
      <c r="M35" s="1">
        <v>0.50534849551025551</v>
      </c>
      <c r="N35" s="19"/>
      <c r="O35" s="1">
        <v>96.976506674019006</v>
      </c>
      <c r="P35" s="1">
        <v>105.942045120755</v>
      </c>
      <c r="Q35" s="1">
        <v>202.918551794774</v>
      </c>
      <c r="R35" s="1">
        <v>0.47790852938916228</v>
      </c>
      <c r="S35" s="1">
        <v>0.52209147061083772</v>
      </c>
      <c r="T35" s="19"/>
      <c r="U35" s="1">
        <v>0.49409579973692208</v>
      </c>
      <c r="V35" s="1">
        <v>0.50590420026307781</v>
      </c>
      <c r="W35" s="1">
        <v>0.64800000000000002</v>
      </c>
      <c r="X35" s="1">
        <v>0.35199999999999998</v>
      </c>
      <c r="Y35" s="17"/>
      <c r="Z35" s="12">
        <v>1.5390420026307794</v>
      </c>
      <c r="AA35" s="12">
        <v>-1.5390420026307783</v>
      </c>
      <c r="AB35" s="12">
        <v>0.77775256055655495</v>
      </c>
      <c r="AC35" s="12">
        <v>0.76128944207422433</v>
      </c>
      <c r="AD35" s="12">
        <v>-0.73552130014542649</v>
      </c>
      <c r="AE35" s="12">
        <v>-0.80352070248535179</v>
      </c>
      <c r="AF35" s="17"/>
      <c r="AG35">
        <v>33</v>
      </c>
      <c r="AH35">
        <v>41</v>
      </c>
      <c r="AI35">
        <v>46</v>
      </c>
      <c r="AJ35">
        <v>16</v>
      </c>
      <c r="AK35">
        <v>20</v>
      </c>
    </row>
    <row r="36" spans="1:37" x14ac:dyDescent="0.25">
      <c r="A36">
        <v>34</v>
      </c>
      <c r="B36" t="s">
        <v>225</v>
      </c>
      <c r="C36" t="s">
        <v>208</v>
      </c>
      <c r="D36" t="s">
        <v>214</v>
      </c>
      <c r="E36" t="s">
        <v>192</v>
      </c>
      <c r="F36">
        <v>5</v>
      </c>
      <c r="G36">
        <v>10</v>
      </c>
      <c r="H36" s="17"/>
      <c r="I36" s="1">
        <v>100.89803442506728</v>
      </c>
      <c r="J36" s="1">
        <v>105.13852441826964</v>
      </c>
      <c r="K36" s="1">
        <v>206.03655884333693</v>
      </c>
      <c r="L36" s="1">
        <v>0.48970937483860161</v>
      </c>
      <c r="M36" s="1">
        <v>0.51029062516139834</v>
      </c>
      <c r="N36" s="19"/>
      <c r="O36" s="1">
        <v>98.162629672580223</v>
      </c>
      <c r="P36" s="1">
        <v>111.05586477933481</v>
      </c>
      <c r="Q36" s="1">
        <v>209.21849445191503</v>
      </c>
      <c r="R36" s="1">
        <v>0.4691871525494658</v>
      </c>
      <c r="S36" s="1">
        <v>0.53081284745053425</v>
      </c>
      <c r="T36" s="19"/>
      <c r="U36" s="1">
        <v>0.46343202165010644</v>
      </c>
      <c r="V36" s="1">
        <v>0.53656797834989367</v>
      </c>
      <c r="W36" s="1">
        <v>0.28125</v>
      </c>
      <c r="X36" s="1">
        <v>0.71875</v>
      </c>
      <c r="Y36" s="17"/>
      <c r="Z36" s="12">
        <v>-1.8218202165010644</v>
      </c>
      <c r="AA36" s="12">
        <v>1.8218202165010633</v>
      </c>
      <c r="AB36" s="12">
        <v>-0.89216243929106209</v>
      </c>
      <c r="AC36" s="12">
        <v>-0.9296577772100022</v>
      </c>
      <c r="AD36" s="12">
        <v>0.96704557666387825</v>
      </c>
      <c r="AE36" s="12">
        <v>0.85477463983718505</v>
      </c>
      <c r="AF36" s="17"/>
      <c r="AG36">
        <v>34</v>
      </c>
      <c r="AH36">
        <v>41</v>
      </c>
      <c r="AI36">
        <v>20</v>
      </c>
      <c r="AJ36">
        <v>28</v>
      </c>
      <c r="AK36">
        <v>5</v>
      </c>
    </row>
    <row r="37" spans="1:37" x14ac:dyDescent="0.25">
      <c r="A37">
        <v>35</v>
      </c>
      <c r="B37" t="s">
        <v>225</v>
      </c>
      <c r="C37" t="s">
        <v>208</v>
      </c>
      <c r="D37" t="s">
        <v>214</v>
      </c>
      <c r="E37" t="s">
        <v>192</v>
      </c>
      <c r="F37">
        <v>9</v>
      </c>
      <c r="G37">
        <v>10</v>
      </c>
      <c r="H37" s="17"/>
      <c r="I37" s="1">
        <v>100.00587198577622</v>
      </c>
      <c r="J37" s="1">
        <v>104.20886664105964</v>
      </c>
      <c r="K37" s="1">
        <v>204.21473862683587</v>
      </c>
      <c r="L37" s="1">
        <v>0.48970937483860161</v>
      </c>
      <c r="M37" s="1">
        <v>0.51029062516139834</v>
      </c>
      <c r="N37" s="19"/>
      <c r="O37" s="1">
        <v>99.129675249244102</v>
      </c>
      <c r="P37" s="1">
        <v>111.910639419172</v>
      </c>
      <c r="Q37" s="1">
        <v>211.0403146684161</v>
      </c>
      <c r="R37" s="1">
        <v>0.46971914065326997</v>
      </c>
      <c r="S37" s="1">
        <v>0.53028085934672997</v>
      </c>
      <c r="T37" s="19"/>
      <c r="U37" s="1">
        <v>0.4220583364647858</v>
      </c>
      <c r="V37" s="1">
        <v>0.57794166353521426</v>
      </c>
      <c r="W37" s="1">
        <v>0.47425</v>
      </c>
      <c r="X37" s="1">
        <v>0.52575000000000005</v>
      </c>
      <c r="Y37" s="17"/>
      <c r="Z37" s="12">
        <v>0.52191663535214206</v>
      </c>
      <c r="AA37" s="12">
        <v>-0.52191663535214206</v>
      </c>
      <c r="AB37" s="12">
        <v>0.26632916613597812</v>
      </c>
      <c r="AC37" s="12">
        <v>0.25558746921616393</v>
      </c>
      <c r="AD37" s="12">
        <v>-0.24515423345025422</v>
      </c>
      <c r="AE37" s="12">
        <v>-0.27676240190188778</v>
      </c>
      <c r="AF37" s="17"/>
      <c r="AG37">
        <v>35</v>
      </c>
      <c r="AH37">
        <v>41</v>
      </c>
      <c r="AI37">
        <v>20</v>
      </c>
      <c r="AJ37">
        <v>28</v>
      </c>
      <c r="AK37">
        <v>5</v>
      </c>
    </row>
    <row r="38" spans="1:37" x14ac:dyDescent="0.25">
      <c r="A38">
        <v>36</v>
      </c>
      <c r="B38" t="s">
        <v>196</v>
      </c>
      <c r="C38" t="s">
        <v>227</v>
      </c>
      <c r="D38" t="s">
        <v>199</v>
      </c>
      <c r="E38" t="s">
        <v>222</v>
      </c>
      <c r="F38">
        <v>10</v>
      </c>
      <c r="G38">
        <v>7</v>
      </c>
      <c r="H38" s="17"/>
      <c r="I38" s="1">
        <v>97.094507637290775</v>
      </c>
      <c r="J38" s="1">
        <v>103.04670321532232</v>
      </c>
      <c r="K38" s="1">
        <v>200.14121085261309</v>
      </c>
      <c r="L38" s="1">
        <v>0.48513001007469964</v>
      </c>
      <c r="M38" s="1">
        <v>0.51486998992530042</v>
      </c>
      <c r="N38" s="19"/>
      <c r="O38" s="1">
        <v>93.376067037406614</v>
      </c>
      <c r="P38" s="1">
        <v>95.530119180877989</v>
      </c>
      <c r="Q38" s="1">
        <v>188.9061862182846</v>
      </c>
      <c r="R38" s="1">
        <v>0.49429861936606373</v>
      </c>
      <c r="S38" s="1">
        <v>0.50570138063393633</v>
      </c>
      <c r="T38" s="19"/>
      <c r="U38" s="1">
        <v>0.62653772787758377</v>
      </c>
      <c r="V38" s="1">
        <v>0.37346227212241617</v>
      </c>
      <c r="W38" s="1">
        <v>0.59525000000000006</v>
      </c>
      <c r="X38" s="1">
        <v>0.40475</v>
      </c>
      <c r="Y38" s="17"/>
      <c r="Z38" s="12">
        <v>-0.31287727877583715</v>
      </c>
      <c r="AA38" s="12">
        <v>0.31287727877583826</v>
      </c>
      <c r="AB38" s="12">
        <v>-0.15178615740466647</v>
      </c>
      <c r="AC38" s="12">
        <v>-0.16109112137117068</v>
      </c>
      <c r="AD38" s="12">
        <v>0.15822247184593038</v>
      </c>
      <c r="AE38" s="12">
        <v>0.15465480692990788</v>
      </c>
      <c r="AF38" s="17"/>
      <c r="AG38">
        <v>36</v>
      </c>
      <c r="AH38">
        <v>9</v>
      </c>
      <c r="AI38">
        <v>46</v>
      </c>
      <c r="AJ38">
        <v>11</v>
      </c>
      <c r="AK38">
        <v>37</v>
      </c>
    </row>
    <row r="39" spans="1:37" x14ac:dyDescent="0.25">
      <c r="A39">
        <v>37</v>
      </c>
      <c r="B39" t="s">
        <v>196</v>
      </c>
      <c r="C39" t="s">
        <v>227</v>
      </c>
      <c r="D39" t="s">
        <v>199</v>
      </c>
      <c r="E39" t="s">
        <v>222</v>
      </c>
      <c r="F39">
        <v>10</v>
      </c>
      <c r="G39">
        <v>7</v>
      </c>
      <c r="H39" s="17"/>
      <c r="I39" s="1">
        <v>96.942721479886103</v>
      </c>
      <c r="J39" s="1">
        <v>102.88561209395115</v>
      </c>
      <c r="K39" s="1">
        <v>199.82833357383726</v>
      </c>
      <c r="L39" s="1">
        <v>0.48513001007469964</v>
      </c>
      <c r="M39" s="1">
        <v>0.51486998992530042</v>
      </c>
      <c r="N39" s="19"/>
      <c r="O39" s="1">
        <v>93.534289509252545</v>
      </c>
      <c r="P39" s="1">
        <v>95.684773987807901</v>
      </c>
      <c r="Q39" s="1">
        <v>189.21906349706046</v>
      </c>
      <c r="R39" s="1">
        <v>0.49431747404618992</v>
      </c>
      <c r="S39" s="1">
        <v>0.50568252595381002</v>
      </c>
      <c r="T39" s="19"/>
      <c r="U39" s="1">
        <v>0.6197706678076933</v>
      </c>
      <c r="V39" s="1">
        <v>0.38022933219230676</v>
      </c>
      <c r="W39" s="1">
        <v>0.59525000000000006</v>
      </c>
      <c r="X39" s="1">
        <v>0.40475</v>
      </c>
      <c r="Y39" s="17"/>
      <c r="Z39" s="12">
        <v>-0.24520667807693242</v>
      </c>
      <c r="AA39" s="12">
        <v>0.24520667807693242</v>
      </c>
      <c r="AB39" s="12">
        <v>-0.11895711820584585</v>
      </c>
      <c r="AC39" s="12">
        <v>-0.12624955987108658</v>
      </c>
      <c r="AD39" s="12">
        <v>0.12399673235068591</v>
      </c>
      <c r="AE39" s="12">
        <v>0.12120994572624651</v>
      </c>
      <c r="AF39" s="17"/>
      <c r="AG39">
        <v>37</v>
      </c>
      <c r="AH39">
        <v>9</v>
      </c>
      <c r="AI39">
        <v>46</v>
      </c>
      <c r="AJ39">
        <v>11</v>
      </c>
      <c r="AK39">
        <v>37</v>
      </c>
    </row>
    <row r="40" spans="1:37" x14ac:dyDescent="0.25">
      <c r="A40">
        <v>38</v>
      </c>
      <c r="B40" t="s">
        <v>208</v>
      </c>
      <c r="C40" t="s">
        <v>225</v>
      </c>
      <c r="D40" t="s">
        <v>192</v>
      </c>
      <c r="E40" t="s">
        <v>199</v>
      </c>
      <c r="F40">
        <v>5</v>
      </c>
      <c r="G40">
        <v>10</v>
      </c>
      <c r="H40" s="17"/>
      <c r="I40" s="1">
        <v>104.46445411027581</v>
      </c>
      <c r="J40" s="1">
        <v>100.2722011519122</v>
      </c>
      <c r="K40" s="1">
        <v>204.73665526218801</v>
      </c>
      <c r="L40" s="1">
        <v>0.51023815924167304</v>
      </c>
      <c r="M40" s="1">
        <v>0.48976184075832691</v>
      </c>
      <c r="N40" s="19"/>
      <c r="O40" s="1">
        <v>111.63387701727011</v>
      </c>
      <c r="P40" s="1">
        <v>93.658286241603236</v>
      </c>
      <c r="Q40" s="1">
        <v>205.29216325887336</v>
      </c>
      <c r="R40" s="1">
        <v>0.5437805089349651</v>
      </c>
      <c r="S40" s="1">
        <v>0.45621949106503479</v>
      </c>
      <c r="T40" s="19"/>
      <c r="U40" s="1">
        <v>0.49360482660833899</v>
      </c>
      <c r="V40" s="1">
        <v>0.50639517339166096</v>
      </c>
      <c r="W40" s="1">
        <v>0.28125</v>
      </c>
      <c r="X40" s="1">
        <v>0.71875</v>
      </c>
      <c r="Y40" s="17"/>
      <c r="Z40" s="12">
        <v>-2.12354826608339</v>
      </c>
      <c r="AA40" s="12">
        <v>2.1235482660833904</v>
      </c>
      <c r="AB40" s="12">
        <v>-1.0835153583472354</v>
      </c>
      <c r="AC40" s="12">
        <v>-1.0400329077361545</v>
      </c>
      <c r="AD40" s="12">
        <v>0.96880410920460169</v>
      </c>
      <c r="AE40" s="12">
        <v>1.1547441568787891</v>
      </c>
      <c r="AF40" s="17"/>
      <c r="AG40">
        <v>38</v>
      </c>
      <c r="AH40">
        <v>20</v>
      </c>
      <c r="AI40">
        <v>41</v>
      </c>
      <c r="AJ40">
        <v>5</v>
      </c>
      <c r="AK40">
        <v>11</v>
      </c>
    </row>
    <row r="41" spans="1:37" x14ac:dyDescent="0.25">
      <c r="A41">
        <v>39</v>
      </c>
      <c r="B41" t="s">
        <v>208</v>
      </c>
      <c r="C41" t="s">
        <v>225</v>
      </c>
      <c r="D41" t="s">
        <v>192</v>
      </c>
      <c r="E41" t="s">
        <v>199</v>
      </c>
      <c r="F41">
        <v>6</v>
      </c>
      <c r="G41">
        <v>10</v>
      </c>
      <c r="H41" s="17"/>
      <c r="I41" s="1">
        <v>103.38093875192857</v>
      </c>
      <c r="J41" s="1">
        <v>99.232168244176052</v>
      </c>
      <c r="K41" s="1">
        <v>202.61310699610462</v>
      </c>
      <c r="L41" s="1">
        <v>0.51023815924167304</v>
      </c>
      <c r="M41" s="1">
        <v>0.48976184075832696</v>
      </c>
      <c r="N41" s="19"/>
      <c r="O41" s="1">
        <v>112.60268112647471</v>
      </c>
      <c r="P41" s="1">
        <v>94.813030398482027</v>
      </c>
      <c r="Q41" s="1">
        <v>207.41571152495675</v>
      </c>
      <c r="R41" s="1">
        <v>0.54288404816877189</v>
      </c>
      <c r="S41" s="1">
        <v>0.45711595183122805</v>
      </c>
      <c r="T41" s="19"/>
      <c r="U41" s="1">
        <v>0.4449322606369554</v>
      </c>
      <c r="V41" s="1">
        <v>0.55506773936304454</v>
      </c>
      <c r="W41" s="1">
        <v>0.35199999999999998</v>
      </c>
      <c r="X41" s="1">
        <v>0.64800000000000002</v>
      </c>
      <c r="Y41" s="17"/>
      <c r="Z41" s="12">
        <v>-0.92932260636955422</v>
      </c>
      <c r="AA41" s="12">
        <v>0.92932260636955477</v>
      </c>
      <c r="AB41" s="12">
        <v>-0.47417585601567525</v>
      </c>
      <c r="AC41" s="12">
        <v>-0.45514675035387897</v>
      </c>
      <c r="AD41" s="12">
        <v>0.42480818776889678</v>
      </c>
      <c r="AE41" s="12">
        <v>0.50451441860065815</v>
      </c>
      <c r="AF41" s="17"/>
      <c r="AG41">
        <v>39</v>
      </c>
      <c r="AH41">
        <v>20</v>
      </c>
      <c r="AI41">
        <v>41</v>
      </c>
      <c r="AJ41">
        <v>5</v>
      </c>
      <c r="AK41">
        <v>11</v>
      </c>
    </row>
    <row r="42" spans="1:37" x14ac:dyDescent="0.25">
      <c r="A42">
        <v>40</v>
      </c>
      <c r="B42" t="s">
        <v>214</v>
      </c>
      <c r="C42" t="s">
        <v>224</v>
      </c>
      <c r="D42" t="s">
        <v>199</v>
      </c>
      <c r="E42" t="s">
        <v>190</v>
      </c>
      <c r="F42">
        <v>10</v>
      </c>
      <c r="G42">
        <v>6</v>
      </c>
      <c r="H42" s="17"/>
      <c r="I42" s="1">
        <v>98.884521015793851</v>
      </c>
      <c r="J42" s="1">
        <v>100.19574376588798</v>
      </c>
      <c r="K42" s="1">
        <v>199.08026478168182</v>
      </c>
      <c r="L42" s="1">
        <v>0.49670679875895268</v>
      </c>
      <c r="M42" s="1">
        <v>0.50329320124104737</v>
      </c>
      <c r="N42" s="19"/>
      <c r="O42" s="1">
        <v>95.317544817082691</v>
      </c>
      <c r="P42" s="1">
        <v>99.450154775405551</v>
      </c>
      <c r="Q42" s="1">
        <v>194.76769959248824</v>
      </c>
      <c r="R42" s="1">
        <v>0.48939092578756771</v>
      </c>
      <c r="S42" s="1">
        <v>0.51060907421243229</v>
      </c>
      <c r="T42" s="19"/>
      <c r="U42" s="1">
        <v>0.54948768920892577</v>
      </c>
      <c r="V42" s="1">
        <v>0.45051231079107423</v>
      </c>
      <c r="W42" s="1">
        <v>0.64800000000000002</v>
      </c>
      <c r="X42" s="1">
        <v>0.35199999999999998</v>
      </c>
      <c r="Y42" s="17"/>
      <c r="Z42" s="12">
        <v>0.98512310791074253</v>
      </c>
      <c r="AA42" s="12">
        <v>-0.98512310791074253</v>
      </c>
      <c r="AB42" s="12">
        <v>0.49580576259692738</v>
      </c>
      <c r="AC42" s="12">
        <v>0.48931734531381516</v>
      </c>
      <c r="AD42" s="12">
        <v>-0.48211030979516428</v>
      </c>
      <c r="AE42" s="12">
        <v>-0.50301279811557831</v>
      </c>
      <c r="AF42" s="17"/>
      <c r="AG42">
        <v>40</v>
      </c>
      <c r="AH42">
        <v>28</v>
      </c>
      <c r="AI42">
        <v>40</v>
      </c>
      <c r="AJ42">
        <v>11</v>
      </c>
      <c r="AK42">
        <v>2</v>
      </c>
    </row>
    <row r="43" spans="1:37" x14ac:dyDescent="0.25">
      <c r="A43">
        <v>41</v>
      </c>
      <c r="B43" t="s">
        <v>214</v>
      </c>
      <c r="C43" t="s">
        <v>224</v>
      </c>
      <c r="D43" t="s">
        <v>199</v>
      </c>
      <c r="E43" t="s">
        <v>190</v>
      </c>
      <c r="F43">
        <v>10</v>
      </c>
      <c r="G43">
        <v>7</v>
      </c>
      <c r="H43" s="17"/>
      <c r="I43" s="1">
        <v>99.380326778390781</v>
      </c>
      <c r="J43" s="1">
        <v>100.6850611112018</v>
      </c>
      <c r="K43" s="1">
        <v>200.06538788959259</v>
      </c>
      <c r="L43" s="1">
        <v>0.49673923024223698</v>
      </c>
      <c r="M43" s="1">
        <v>0.50326076975776302</v>
      </c>
      <c r="N43" s="19"/>
      <c r="O43" s="1">
        <v>94.83543450728753</v>
      </c>
      <c r="P43" s="1">
        <v>98.947141977289974</v>
      </c>
      <c r="Q43" s="1">
        <v>193.7825764845775</v>
      </c>
      <c r="R43" s="1">
        <v>0.48939092578756771</v>
      </c>
      <c r="S43" s="1">
        <v>0.51060907421243229</v>
      </c>
      <c r="T43" s="19"/>
      <c r="U43" s="1">
        <v>0.5718331158951141</v>
      </c>
      <c r="V43" s="1">
        <v>0.42816688410488585</v>
      </c>
      <c r="W43" s="1">
        <v>0.59525000000000006</v>
      </c>
      <c r="X43" s="1">
        <v>0.40475</v>
      </c>
      <c r="Y43" s="17"/>
      <c r="Z43" s="12">
        <v>0.2341688410488596</v>
      </c>
      <c r="AA43" s="12">
        <v>-0.23416884104885849</v>
      </c>
      <c r="AB43" s="12">
        <v>0.11784799119953233</v>
      </c>
      <c r="AC43" s="12">
        <v>0.11632084984932727</v>
      </c>
      <c r="AD43" s="12">
        <v>-0.11460010591150264</v>
      </c>
      <c r="AE43" s="12">
        <v>-0.11956873513735584</v>
      </c>
      <c r="AF43" s="17"/>
      <c r="AG43">
        <v>41</v>
      </c>
      <c r="AH43">
        <v>28</v>
      </c>
      <c r="AI43">
        <v>40</v>
      </c>
      <c r="AJ43">
        <v>11</v>
      </c>
      <c r="AK43">
        <v>2</v>
      </c>
    </row>
    <row r="44" spans="1:37" x14ac:dyDescent="0.25">
      <c r="A44">
        <v>42</v>
      </c>
      <c r="B44" t="s">
        <v>196</v>
      </c>
      <c r="C44" t="s">
        <v>222</v>
      </c>
      <c r="D44" t="s">
        <v>213</v>
      </c>
      <c r="E44" t="s">
        <v>206</v>
      </c>
      <c r="F44">
        <v>10</v>
      </c>
      <c r="G44">
        <v>5</v>
      </c>
      <c r="H44" s="17"/>
      <c r="I44" s="1">
        <v>96.823764361680261</v>
      </c>
      <c r="J44" s="1">
        <v>95.805983933534151</v>
      </c>
      <c r="K44" s="1">
        <v>192.62974829521443</v>
      </c>
      <c r="L44" s="1">
        <v>0.50264180490592325</v>
      </c>
      <c r="M44" s="1">
        <v>0.49735819509407675</v>
      </c>
      <c r="N44" s="19"/>
      <c r="O44" s="1">
        <v>100</v>
      </c>
      <c r="P44" s="1">
        <v>100</v>
      </c>
      <c r="Q44" s="1">
        <v>200</v>
      </c>
      <c r="R44" s="1">
        <v>0.5</v>
      </c>
      <c r="S44" s="1">
        <v>0.5</v>
      </c>
      <c r="T44" s="19"/>
      <c r="U44" s="1">
        <v>0.41595216230595911</v>
      </c>
      <c r="V44" s="1">
        <v>0.58404783769404089</v>
      </c>
      <c r="W44" s="1">
        <v>0.71875</v>
      </c>
      <c r="X44" s="1">
        <v>0.28125</v>
      </c>
      <c r="Y44" s="17"/>
      <c r="Z44" s="12">
        <v>3.0279783769404087</v>
      </c>
      <c r="AA44" s="12">
        <v>-3.0279783769404087</v>
      </c>
      <c r="AB44" s="12">
        <v>1.5059898603389736</v>
      </c>
      <c r="AC44" s="12">
        <v>1.5219885166014351</v>
      </c>
      <c r="AD44" s="12">
        <v>-1.5139891884702044</v>
      </c>
      <c r="AE44" s="12">
        <v>-1.5139891884702044</v>
      </c>
      <c r="AF44" s="17"/>
      <c r="AG44">
        <v>42</v>
      </c>
      <c r="AH44">
        <v>9</v>
      </c>
      <c r="AI44">
        <v>37</v>
      </c>
      <c r="AJ44">
        <v>27</v>
      </c>
      <c r="AK44">
        <v>18</v>
      </c>
    </row>
    <row r="45" spans="1:37" x14ac:dyDescent="0.25">
      <c r="A45">
        <v>43</v>
      </c>
      <c r="B45" t="s">
        <v>196</v>
      </c>
      <c r="C45" t="s">
        <v>222</v>
      </c>
      <c r="D45" t="s">
        <v>213</v>
      </c>
      <c r="E45" t="s">
        <v>206</v>
      </c>
      <c r="F45">
        <v>9</v>
      </c>
      <c r="G45">
        <v>10</v>
      </c>
      <c r="H45" s="17"/>
      <c r="I45" s="1">
        <v>98.329754222019233</v>
      </c>
      <c r="J45" s="1">
        <v>97.32797245013559</v>
      </c>
      <c r="K45" s="1">
        <v>195.65772667215481</v>
      </c>
      <c r="L45" s="1">
        <v>0.5025600363167928</v>
      </c>
      <c r="M45" s="1">
        <v>0.49743996368320731</v>
      </c>
      <c r="N45" s="19"/>
      <c r="O45" s="1">
        <v>98.486010811529795</v>
      </c>
      <c r="P45" s="1">
        <v>98.486010811529795</v>
      </c>
      <c r="Q45" s="1">
        <v>196.97202162305959</v>
      </c>
      <c r="R45" s="1">
        <v>0.5</v>
      </c>
      <c r="S45" s="1">
        <v>0.5</v>
      </c>
      <c r="T45" s="19"/>
      <c r="U45" s="1">
        <v>0.48487323778016561</v>
      </c>
      <c r="V45" s="1">
        <v>0.51512676221983444</v>
      </c>
      <c r="W45" s="1">
        <v>0.47425</v>
      </c>
      <c r="X45" s="1">
        <v>0.52575000000000005</v>
      </c>
      <c r="Y45" s="17"/>
      <c r="Z45" s="12">
        <v>-0.10623237780165606</v>
      </c>
      <c r="AA45" s="12">
        <v>0.10623237780165606</v>
      </c>
      <c r="AB45" s="12">
        <v>-5.3388147646019526E-2</v>
      </c>
      <c r="AC45" s="12">
        <v>-5.2844230155636551E-2</v>
      </c>
      <c r="AD45" s="12">
        <v>5.3116188900828032E-2</v>
      </c>
      <c r="AE45" s="12">
        <v>5.3116188900828032E-2</v>
      </c>
      <c r="AF45" s="17"/>
      <c r="AG45">
        <v>43</v>
      </c>
      <c r="AH45">
        <v>9</v>
      </c>
      <c r="AI45">
        <v>37</v>
      </c>
      <c r="AJ45">
        <v>27</v>
      </c>
      <c r="AK45">
        <v>18</v>
      </c>
    </row>
    <row r="46" spans="1:37" x14ac:dyDescent="0.25">
      <c r="A46">
        <v>44</v>
      </c>
      <c r="B46" t="s">
        <v>227</v>
      </c>
      <c r="C46" t="s">
        <v>204</v>
      </c>
      <c r="D46" t="s">
        <v>225</v>
      </c>
      <c r="E46" t="s">
        <v>208</v>
      </c>
      <c r="F46">
        <v>5</v>
      </c>
      <c r="G46">
        <v>10</v>
      </c>
      <c r="H46" s="17"/>
      <c r="I46" s="1">
        <v>102.75936253408007</v>
      </c>
      <c r="J46" s="1">
        <v>96.240985373873585</v>
      </c>
      <c r="K46" s="1">
        <v>199.00034790795365</v>
      </c>
      <c r="L46" s="1">
        <v>0.51637780342781492</v>
      </c>
      <c r="M46" s="1">
        <v>0.48362219657218508</v>
      </c>
      <c r="N46" s="19"/>
      <c r="O46" s="1">
        <v>98.777021493822176</v>
      </c>
      <c r="P46" s="1">
        <v>102.90676289591289</v>
      </c>
      <c r="Q46" s="1">
        <v>201.68378438973508</v>
      </c>
      <c r="R46" s="1">
        <v>0.48976184075832691</v>
      </c>
      <c r="S46" s="1">
        <v>0.51023815924167304</v>
      </c>
      <c r="T46" s="19"/>
      <c r="U46" s="1">
        <v>0.46914505188809574</v>
      </c>
      <c r="V46" s="1">
        <v>0.53085494811190426</v>
      </c>
      <c r="W46" s="1">
        <v>0.28125</v>
      </c>
      <c r="X46" s="1">
        <v>0.71875</v>
      </c>
      <c r="Y46" s="17"/>
      <c r="Z46" s="12">
        <v>-1.8789505188809574</v>
      </c>
      <c r="AA46" s="12">
        <v>1.8789505188809574</v>
      </c>
      <c r="AB46" s="12">
        <v>-0.97024834168930185</v>
      </c>
      <c r="AC46" s="12">
        <v>-0.90870217719165558</v>
      </c>
      <c r="AD46" s="12">
        <v>0.95871225406000637</v>
      </c>
      <c r="AE46" s="12">
        <v>0.92023826482095128</v>
      </c>
      <c r="AF46" s="17"/>
      <c r="AG46">
        <v>44</v>
      </c>
      <c r="AH46">
        <v>46</v>
      </c>
      <c r="AI46">
        <v>16</v>
      </c>
      <c r="AJ46">
        <v>41</v>
      </c>
      <c r="AK46">
        <v>20</v>
      </c>
    </row>
    <row r="47" spans="1:37" x14ac:dyDescent="0.25">
      <c r="A47">
        <v>45</v>
      </c>
      <c r="B47" t="s">
        <v>227</v>
      </c>
      <c r="C47" t="s">
        <v>204</v>
      </c>
      <c r="D47" t="s">
        <v>225</v>
      </c>
      <c r="E47" t="s">
        <v>208</v>
      </c>
      <c r="F47">
        <v>10</v>
      </c>
      <c r="G47">
        <v>9</v>
      </c>
      <c r="H47" s="17"/>
      <c r="I47" s="1">
        <v>101.78911419239077</v>
      </c>
      <c r="J47" s="1">
        <v>95.332283196681928</v>
      </c>
      <c r="K47" s="1">
        <v>197.12139738907268</v>
      </c>
      <c r="L47" s="1">
        <v>0.51637780342781492</v>
      </c>
      <c r="M47" s="1">
        <v>0.48362219657218514</v>
      </c>
      <c r="N47" s="19"/>
      <c r="O47" s="1">
        <v>99.735733747882179</v>
      </c>
      <c r="P47" s="1">
        <v>103.82700116073384</v>
      </c>
      <c r="Q47" s="1">
        <v>203.56273490861602</v>
      </c>
      <c r="R47" s="1">
        <v>0.48995084386469773</v>
      </c>
      <c r="S47" s="1">
        <v>0.51004915613530233</v>
      </c>
      <c r="T47" s="19"/>
      <c r="U47" s="1">
        <v>0.4263803995744071</v>
      </c>
      <c r="V47" s="1">
        <v>0.5736196004255929</v>
      </c>
      <c r="W47" s="1">
        <v>0.52575000000000005</v>
      </c>
      <c r="X47" s="1">
        <v>0.47425</v>
      </c>
      <c r="Y47" s="17"/>
      <c r="Z47" s="12">
        <v>0.99369600425592952</v>
      </c>
      <c r="AA47" s="12">
        <v>-0.99369600425592897</v>
      </c>
      <c r="AB47" s="12">
        <v>0.48057344430325599</v>
      </c>
      <c r="AC47" s="12">
        <v>0.51312255995267342</v>
      </c>
      <c r="AD47" s="12">
        <v>-0.48686219583017065</v>
      </c>
      <c r="AE47" s="12">
        <v>-0.50683380842575831</v>
      </c>
      <c r="AF47" s="17"/>
      <c r="AG47">
        <v>45</v>
      </c>
      <c r="AH47">
        <v>46</v>
      </c>
      <c r="AI47">
        <v>16</v>
      </c>
      <c r="AJ47">
        <v>41</v>
      </c>
      <c r="AK47">
        <v>20</v>
      </c>
    </row>
    <row r="48" spans="1:37" x14ac:dyDescent="0.25">
      <c r="A48">
        <v>46</v>
      </c>
      <c r="B48" t="s">
        <v>227</v>
      </c>
      <c r="C48" t="s">
        <v>225</v>
      </c>
      <c r="D48" t="s">
        <v>199</v>
      </c>
      <c r="E48" t="s">
        <v>192</v>
      </c>
      <c r="F48">
        <v>5</v>
      </c>
      <c r="G48">
        <v>10</v>
      </c>
      <c r="H48" s="17"/>
      <c r="I48" s="1">
        <v>102.26968763669403</v>
      </c>
      <c r="J48" s="1">
        <v>99.248871552052009</v>
      </c>
      <c r="K48" s="1">
        <v>201.51855918874605</v>
      </c>
      <c r="L48" s="1">
        <v>0.50749513120975787</v>
      </c>
      <c r="M48" s="1">
        <v>0.49250486879024208</v>
      </c>
      <c r="N48" s="19"/>
      <c r="O48" s="1">
        <v>94.720834401376024</v>
      </c>
      <c r="P48" s="1">
        <v>113.02748931424361</v>
      </c>
      <c r="Q48" s="1">
        <v>207.74832371561962</v>
      </c>
      <c r="R48" s="1">
        <v>0.45594030655590995</v>
      </c>
      <c r="S48" s="1">
        <v>0.54405969344409011</v>
      </c>
      <c r="T48" s="19"/>
      <c r="U48" s="1">
        <v>0.42876510818809099</v>
      </c>
      <c r="V48" s="1">
        <v>0.57123489181190901</v>
      </c>
      <c r="W48" s="1">
        <v>0.28125</v>
      </c>
      <c r="X48" s="1">
        <v>0.71875</v>
      </c>
      <c r="Y48" s="17"/>
      <c r="Z48" s="12">
        <v>-1.4751510818809099</v>
      </c>
      <c r="AA48" s="12">
        <v>1.4751510818809099</v>
      </c>
      <c r="AB48" s="12">
        <v>-0.74863199185336871</v>
      </c>
      <c r="AC48" s="12">
        <v>-0.72651909002754123</v>
      </c>
      <c r="AD48" s="12">
        <v>0.80257024539184552</v>
      </c>
      <c r="AE48" s="12">
        <v>0.67258083648906419</v>
      </c>
      <c r="AF48" s="17"/>
      <c r="AG48">
        <v>46</v>
      </c>
      <c r="AH48">
        <v>46</v>
      </c>
      <c r="AI48">
        <v>41</v>
      </c>
      <c r="AJ48">
        <v>11</v>
      </c>
      <c r="AK48">
        <v>5</v>
      </c>
    </row>
    <row r="49" spans="1:37" x14ac:dyDescent="0.25">
      <c r="A49">
        <v>47</v>
      </c>
      <c r="B49" t="s">
        <v>227</v>
      </c>
      <c r="C49" t="s">
        <v>225</v>
      </c>
      <c r="D49" t="s">
        <v>199</v>
      </c>
      <c r="E49" t="s">
        <v>192</v>
      </c>
      <c r="F49">
        <v>5</v>
      </c>
      <c r="G49">
        <v>10</v>
      </c>
      <c r="H49" s="17"/>
      <c r="I49" s="1">
        <v>101.52105564484066</v>
      </c>
      <c r="J49" s="1">
        <v>98.522352462024472</v>
      </c>
      <c r="K49" s="1">
        <v>200.04340810686512</v>
      </c>
      <c r="L49" s="1">
        <v>0.50749513120975787</v>
      </c>
      <c r="M49" s="1">
        <v>0.49250486879024219</v>
      </c>
      <c r="N49" s="19"/>
      <c r="O49" s="1">
        <v>95.523404646767872</v>
      </c>
      <c r="P49" s="1">
        <v>113.70007015073267</v>
      </c>
      <c r="Q49" s="1">
        <v>209.22347479750056</v>
      </c>
      <c r="R49" s="1">
        <v>0.45656160112636185</v>
      </c>
      <c r="S49" s="1">
        <v>0.5434383988736381</v>
      </c>
      <c r="T49" s="19"/>
      <c r="U49" s="1">
        <v>0.39585704679331318</v>
      </c>
      <c r="V49" s="1">
        <v>0.60414295320668687</v>
      </c>
      <c r="W49" s="1">
        <v>0.28125</v>
      </c>
      <c r="X49" s="1">
        <v>0.71875</v>
      </c>
      <c r="Y49" s="17"/>
      <c r="Z49" s="12">
        <v>-1.1460704679331317</v>
      </c>
      <c r="AA49" s="12">
        <v>1.1460704679331313</v>
      </c>
      <c r="AB49" s="12">
        <v>-0.58162518249935324</v>
      </c>
      <c r="AC49" s="12">
        <v>-0.56444528543377848</v>
      </c>
      <c r="AD49" s="12">
        <v>0.62281870008994222</v>
      </c>
      <c r="AE49" s="12">
        <v>0.52325176784318927</v>
      </c>
      <c r="AF49" s="17"/>
      <c r="AG49">
        <v>47</v>
      </c>
      <c r="AH49">
        <v>46</v>
      </c>
      <c r="AI49">
        <v>41</v>
      </c>
      <c r="AJ49">
        <v>11</v>
      </c>
      <c r="AK49">
        <v>5</v>
      </c>
    </row>
    <row r="50" spans="1:37" x14ac:dyDescent="0.25">
      <c r="A50">
        <v>48</v>
      </c>
      <c r="B50" t="s">
        <v>192</v>
      </c>
      <c r="C50" t="s">
        <v>196</v>
      </c>
      <c r="D50" t="s">
        <v>224</v>
      </c>
      <c r="E50" t="s">
        <v>199</v>
      </c>
      <c r="F50">
        <v>8</v>
      </c>
      <c r="G50">
        <v>10</v>
      </c>
      <c r="H50" s="17"/>
      <c r="I50" s="1">
        <v>114.22332191857586</v>
      </c>
      <c r="J50" s="1">
        <v>98.276366074373215</v>
      </c>
      <c r="K50" s="1">
        <v>212.49968799294908</v>
      </c>
      <c r="L50" s="1">
        <v>0.53752230413799895</v>
      </c>
      <c r="M50" s="1">
        <v>0.46247769586200105</v>
      </c>
      <c r="N50" s="19"/>
      <c r="O50" s="1">
        <v>100.80138196105113</v>
      </c>
      <c r="P50" s="1">
        <v>96.146223346857809</v>
      </c>
      <c r="Q50" s="1">
        <v>196.94760530790893</v>
      </c>
      <c r="R50" s="1">
        <v>0.51181826660678464</v>
      </c>
      <c r="S50" s="1">
        <v>0.48818173339321541</v>
      </c>
      <c r="T50" s="19"/>
      <c r="U50" s="1">
        <v>0.67176965541795142</v>
      </c>
      <c r="V50" s="1">
        <v>0.32823034458204853</v>
      </c>
      <c r="W50" s="1">
        <v>0.44400000000000001</v>
      </c>
      <c r="X50" s="1">
        <v>0.55600000000000005</v>
      </c>
      <c r="Y50" s="17"/>
      <c r="Z50" s="12">
        <v>-2.277696554179514</v>
      </c>
      <c r="AA50" s="12">
        <v>2.2776965541795153</v>
      </c>
      <c r="AB50" s="12">
        <v>-1.2243126999297529</v>
      </c>
      <c r="AC50" s="12">
        <v>-1.0533838542497611</v>
      </c>
      <c r="AD50" s="12">
        <v>1.1119298519631093</v>
      </c>
      <c r="AE50" s="12">
        <v>1.1657667022164055</v>
      </c>
      <c r="AF50" s="17"/>
      <c r="AG50">
        <v>48</v>
      </c>
      <c r="AH50">
        <v>5</v>
      </c>
      <c r="AI50">
        <v>9</v>
      </c>
      <c r="AJ50">
        <v>40</v>
      </c>
      <c r="AK50">
        <v>11</v>
      </c>
    </row>
    <row r="51" spans="1:37" x14ac:dyDescent="0.25">
      <c r="A51">
        <v>49</v>
      </c>
      <c r="B51" t="s">
        <v>192</v>
      </c>
      <c r="C51" t="s">
        <v>196</v>
      </c>
      <c r="D51" t="s">
        <v>224</v>
      </c>
      <c r="E51" t="s">
        <v>199</v>
      </c>
      <c r="F51">
        <v>7</v>
      </c>
      <c r="G51">
        <v>10</v>
      </c>
      <c r="H51" s="17"/>
      <c r="I51" s="1">
        <v>112.99900921864611</v>
      </c>
      <c r="J51" s="1">
        <v>97.222982220123455</v>
      </c>
      <c r="K51" s="1">
        <v>210.22199143876958</v>
      </c>
      <c r="L51" s="1">
        <v>0.53752230413799895</v>
      </c>
      <c r="M51" s="1">
        <v>0.46247769586200099</v>
      </c>
      <c r="N51" s="19"/>
      <c r="O51" s="1">
        <v>101.91331181301425</v>
      </c>
      <c r="P51" s="1">
        <v>97.311990049074211</v>
      </c>
      <c r="Q51" s="1">
        <v>199.22530186208846</v>
      </c>
      <c r="R51" s="1">
        <v>0.5115480356183002</v>
      </c>
      <c r="S51" s="1">
        <v>0.48845196438169974</v>
      </c>
      <c r="T51" s="19"/>
      <c r="U51" s="1">
        <v>0.62396598943196446</v>
      </c>
      <c r="V51" s="1">
        <v>0.37603401056803565</v>
      </c>
      <c r="W51" s="1">
        <v>0.40475</v>
      </c>
      <c r="X51" s="1">
        <v>0.59525000000000006</v>
      </c>
      <c r="Y51" s="17"/>
      <c r="Z51" s="12">
        <v>-2.1921598943196448</v>
      </c>
      <c r="AA51" s="12">
        <v>2.1921598943196443</v>
      </c>
      <c r="AB51" s="12">
        <v>-1.1783348374336078</v>
      </c>
      <c r="AC51" s="12">
        <v>-1.013825056886037</v>
      </c>
      <c r="AD51" s="12">
        <v>1.0707648066192097</v>
      </c>
      <c r="AE51" s="12">
        <v>1.1213950877004346</v>
      </c>
      <c r="AF51" s="17"/>
      <c r="AG51">
        <v>49</v>
      </c>
      <c r="AH51">
        <v>5</v>
      </c>
      <c r="AI51">
        <v>9</v>
      </c>
      <c r="AJ51">
        <v>40</v>
      </c>
      <c r="AK51">
        <v>11</v>
      </c>
    </row>
    <row r="52" spans="1:37" x14ac:dyDescent="0.25">
      <c r="A52">
        <v>50</v>
      </c>
      <c r="B52" t="s">
        <v>208</v>
      </c>
      <c r="C52" t="s">
        <v>196</v>
      </c>
      <c r="D52" t="s">
        <v>199</v>
      </c>
      <c r="E52" t="s">
        <v>225</v>
      </c>
      <c r="F52">
        <v>10</v>
      </c>
      <c r="G52">
        <v>9</v>
      </c>
      <c r="H52" s="17"/>
      <c r="I52" s="1">
        <v>103.32016735230809</v>
      </c>
      <c r="J52" s="1">
        <v>96.209157163237421</v>
      </c>
      <c r="K52" s="1">
        <v>199.52932451554551</v>
      </c>
      <c r="L52" s="1">
        <v>0.51781946139079083</v>
      </c>
      <c r="M52" s="1">
        <v>0.48218053860920917</v>
      </c>
      <c r="N52" s="19"/>
      <c r="O52" s="1">
        <v>98.433385136774646</v>
      </c>
      <c r="P52" s="1">
        <v>97.957907176590695</v>
      </c>
      <c r="Q52" s="1">
        <v>196.39129231336534</v>
      </c>
      <c r="R52" s="1">
        <v>0.50121053727633014</v>
      </c>
      <c r="S52" s="1">
        <v>0.49878946272366986</v>
      </c>
      <c r="T52" s="19"/>
      <c r="U52" s="1">
        <v>0.53606518832327588</v>
      </c>
      <c r="V52" s="1">
        <v>0.46393481167672412</v>
      </c>
      <c r="W52" s="1">
        <v>0.52575000000000005</v>
      </c>
      <c r="X52" s="1">
        <v>0.47425</v>
      </c>
      <c r="Y52" s="17"/>
      <c r="Z52" s="12">
        <v>-0.10315188323275826</v>
      </c>
      <c r="AA52" s="12">
        <v>0.10315188323275881</v>
      </c>
      <c r="AB52" s="12">
        <v>-5.341405261703263E-2</v>
      </c>
      <c r="AC52" s="12">
        <v>-4.9737830615725627E-2</v>
      </c>
      <c r="AD52" s="12">
        <v>5.1451072416602496E-2</v>
      </c>
      <c r="AE52" s="12">
        <v>5.1700810816156316E-2</v>
      </c>
      <c r="AF52" s="17"/>
      <c r="AG52">
        <v>50</v>
      </c>
      <c r="AH52">
        <v>20</v>
      </c>
      <c r="AI52">
        <v>9</v>
      </c>
      <c r="AJ52">
        <v>11</v>
      </c>
      <c r="AK52">
        <v>41</v>
      </c>
    </row>
    <row r="53" spans="1:37" x14ac:dyDescent="0.25">
      <c r="A53">
        <v>51</v>
      </c>
      <c r="B53" t="s">
        <v>208</v>
      </c>
      <c r="C53" t="s">
        <v>196</v>
      </c>
      <c r="D53" t="s">
        <v>199</v>
      </c>
      <c r="E53" t="s">
        <v>225</v>
      </c>
      <c r="F53">
        <v>9</v>
      </c>
      <c r="G53">
        <v>10</v>
      </c>
      <c r="H53" s="17"/>
      <c r="I53" s="1">
        <v>103.26675329969106</v>
      </c>
      <c r="J53" s="1">
        <v>96.159419332621695</v>
      </c>
      <c r="K53" s="1">
        <v>199.42617263231276</v>
      </c>
      <c r="L53" s="1">
        <v>0.51781946139079083</v>
      </c>
      <c r="M53" s="1">
        <v>0.48218053860920917</v>
      </c>
      <c r="N53" s="19"/>
      <c r="O53" s="1">
        <v>98.484836209191243</v>
      </c>
      <c r="P53" s="1">
        <v>98.009607987406852</v>
      </c>
      <c r="Q53" s="1">
        <v>196.4944441965981</v>
      </c>
      <c r="R53" s="1">
        <v>0.50120926630706386</v>
      </c>
      <c r="S53" s="1">
        <v>0.49879073369293608</v>
      </c>
      <c r="T53" s="19"/>
      <c r="U53" s="1">
        <v>0.53370159380883309</v>
      </c>
      <c r="V53" s="1">
        <v>0.46629840619116697</v>
      </c>
      <c r="W53" s="1">
        <v>0.47425</v>
      </c>
      <c r="X53" s="1">
        <v>0.52575000000000005</v>
      </c>
      <c r="Y53" s="17"/>
      <c r="Z53" s="12">
        <v>-0.59451593808833081</v>
      </c>
      <c r="AA53" s="12">
        <v>0.59451593808833081</v>
      </c>
      <c r="AB53" s="12">
        <v>-0.3078519228491402</v>
      </c>
      <c r="AC53" s="12">
        <v>-0.28666401523919061</v>
      </c>
      <c r="AD53" s="12">
        <v>0.29653904095122274</v>
      </c>
      <c r="AE53" s="12">
        <v>0.29797689713710818</v>
      </c>
      <c r="AF53" s="17"/>
      <c r="AG53">
        <v>51</v>
      </c>
      <c r="AH53">
        <v>20</v>
      </c>
      <c r="AI53">
        <v>9</v>
      </c>
      <c r="AJ53">
        <v>11</v>
      </c>
      <c r="AK53">
        <v>41</v>
      </c>
    </row>
    <row r="54" spans="1:37" x14ac:dyDescent="0.25">
      <c r="A54">
        <v>52</v>
      </c>
      <c r="B54" t="s">
        <v>208</v>
      </c>
      <c r="C54" t="s">
        <v>190</v>
      </c>
      <c r="D54" t="s">
        <v>227</v>
      </c>
      <c r="E54" t="s">
        <v>192</v>
      </c>
      <c r="F54">
        <v>1</v>
      </c>
      <c r="G54">
        <v>10</v>
      </c>
      <c r="H54" s="17"/>
      <c r="I54" s="1">
        <v>102.95890137684192</v>
      </c>
      <c r="J54" s="1">
        <v>98.827573242152624</v>
      </c>
      <c r="K54" s="1">
        <v>201.78647461899453</v>
      </c>
      <c r="L54" s="1">
        <v>0.5102368806989912</v>
      </c>
      <c r="M54" s="1">
        <v>0.48976311930100891</v>
      </c>
      <c r="N54" s="19"/>
      <c r="O54" s="1">
        <v>100.93943046234131</v>
      </c>
      <c r="P54" s="1">
        <v>111.8206743812125</v>
      </c>
      <c r="Q54" s="1">
        <v>212.76010484355379</v>
      </c>
      <c r="R54" s="1">
        <v>0.47442837338590255</v>
      </c>
      <c r="S54" s="1">
        <v>0.52557162661409751</v>
      </c>
      <c r="T54" s="19"/>
      <c r="U54" s="1">
        <v>0.37628320478808225</v>
      </c>
      <c r="V54" s="1">
        <v>0.6237167952119177</v>
      </c>
      <c r="W54" s="1">
        <v>-0.27175000000000005</v>
      </c>
      <c r="X54" s="1">
        <v>1.2717499999999999</v>
      </c>
      <c r="Y54" s="17"/>
      <c r="Z54" s="12">
        <v>-6.4803320478808235</v>
      </c>
      <c r="AA54" s="12">
        <v>6.4803320478808226</v>
      </c>
      <c r="AB54" s="12">
        <v>-3.306504410004417</v>
      </c>
      <c r="AC54" s="12">
        <v>-3.173827637876407</v>
      </c>
      <c r="AD54" s="12">
        <v>3.4058786554041895</v>
      </c>
      <c r="AE54" s="12">
        <v>3.0744533924766331</v>
      </c>
      <c r="AF54" s="17"/>
      <c r="AG54">
        <v>52</v>
      </c>
      <c r="AH54">
        <v>20</v>
      </c>
      <c r="AI54">
        <v>2</v>
      </c>
      <c r="AJ54">
        <v>46</v>
      </c>
      <c r="AK54">
        <v>5</v>
      </c>
    </row>
    <row r="55" spans="1:37" x14ac:dyDescent="0.25">
      <c r="A55">
        <v>53</v>
      </c>
      <c r="B55" t="s">
        <v>208</v>
      </c>
      <c r="C55" t="s">
        <v>190</v>
      </c>
      <c r="D55" t="s">
        <v>227</v>
      </c>
      <c r="E55" t="s">
        <v>192</v>
      </c>
      <c r="F55">
        <v>8</v>
      </c>
      <c r="G55">
        <v>10</v>
      </c>
      <c r="H55" s="17"/>
      <c r="I55" s="1">
        <v>99.6523969668375</v>
      </c>
      <c r="J55" s="1">
        <v>95.653745604276224</v>
      </c>
      <c r="K55" s="1">
        <v>195.30614257111372</v>
      </c>
      <c r="L55" s="1">
        <v>0.51023688069899109</v>
      </c>
      <c r="M55" s="1">
        <v>0.48976311930100891</v>
      </c>
      <c r="N55" s="19"/>
      <c r="O55" s="1">
        <v>104.3453091177455</v>
      </c>
      <c r="P55" s="1">
        <v>114.89512777368913</v>
      </c>
      <c r="Q55" s="1">
        <v>219.24043689143463</v>
      </c>
      <c r="R55" s="1">
        <v>0.47594007108011793</v>
      </c>
      <c r="S55" s="1">
        <v>0.52405992891988207</v>
      </c>
      <c r="T55" s="19"/>
      <c r="U55" s="1">
        <v>0.24932510279300268</v>
      </c>
      <c r="V55" s="1">
        <v>0.75067489720699732</v>
      </c>
      <c r="W55" s="1">
        <v>0.44400000000000001</v>
      </c>
      <c r="X55" s="1">
        <v>0.55600000000000005</v>
      </c>
      <c r="Y55" s="17"/>
      <c r="Z55" s="12">
        <v>1.9467489720699733</v>
      </c>
      <c r="AA55" s="12">
        <v>-1.9467489720699727</v>
      </c>
      <c r="AB55" s="12">
        <v>0.95344584905702279</v>
      </c>
      <c r="AC55" s="12">
        <v>0.99330312301295054</v>
      </c>
      <c r="AD55" s="12">
        <v>-0.92653584414212931</v>
      </c>
      <c r="AE55" s="12">
        <v>-1.0202131279278432</v>
      </c>
      <c r="AF55" s="17"/>
      <c r="AG55">
        <v>53</v>
      </c>
      <c r="AH55">
        <v>20</v>
      </c>
      <c r="AI55">
        <v>2</v>
      </c>
      <c r="AJ55">
        <v>46</v>
      </c>
      <c r="AK55">
        <v>5</v>
      </c>
    </row>
    <row r="56" spans="1:37" x14ac:dyDescent="0.25">
      <c r="A56">
        <v>54</v>
      </c>
      <c r="B56" t="s">
        <v>208</v>
      </c>
      <c r="C56" t="s">
        <v>196</v>
      </c>
      <c r="D56" t="s">
        <v>204</v>
      </c>
      <c r="E56" t="s">
        <v>225</v>
      </c>
      <c r="F56">
        <v>5</v>
      </c>
      <c r="G56">
        <v>10</v>
      </c>
      <c r="H56" s="17"/>
      <c r="I56" s="1">
        <v>100.60584281589452</v>
      </c>
      <c r="J56" s="1">
        <v>95.872755317382499</v>
      </c>
      <c r="K56" s="1">
        <v>196.47859813327702</v>
      </c>
      <c r="L56" s="1">
        <v>0.51204479150268933</v>
      </c>
      <c r="M56" s="1">
        <v>0.48795520849731067</v>
      </c>
      <c r="N56" s="19"/>
      <c r="O56" s="1">
        <v>95.845405756634605</v>
      </c>
      <c r="P56" s="1">
        <v>98.307584884543957</v>
      </c>
      <c r="Q56" s="1">
        <v>194.15299064117858</v>
      </c>
      <c r="R56" s="1">
        <v>0.4936591779509083</v>
      </c>
      <c r="S56" s="1">
        <v>0.5063408220490917</v>
      </c>
      <c r="T56" s="19"/>
      <c r="U56" s="1">
        <v>0.52674898298777684</v>
      </c>
      <c r="V56" s="1">
        <v>0.47325101701222316</v>
      </c>
      <c r="W56" s="1">
        <v>0.28125</v>
      </c>
      <c r="X56" s="1">
        <v>0.71875</v>
      </c>
      <c r="Y56" s="17"/>
      <c r="Z56" s="12">
        <v>-2.4549898298777686</v>
      </c>
      <c r="AA56" s="12">
        <v>2.4549898298777686</v>
      </c>
      <c r="AB56" s="12">
        <v>-1.2570647555809848</v>
      </c>
      <c r="AC56" s="12">
        <v>-1.1979250742967837</v>
      </c>
      <c r="AD56" s="12">
        <v>1.2430615685824691</v>
      </c>
      <c r="AE56" s="12">
        <v>1.2119282612952995</v>
      </c>
      <c r="AF56" s="17"/>
      <c r="AG56">
        <v>54</v>
      </c>
      <c r="AH56">
        <v>20</v>
      </c>
      <c r="AI56">
        <v>9</v>
      </c>
      <c r="AJ56">
        <v>16</v>
      </c>
      <c r="AK56">
        <v>41</v>
      </c>
    </row>
    <row r="57" spans="1:37" x14ac:dyDescent="0.25">
      <c r="A57">
        <v>55</v>
      </c>
      <c r="B57" t="s">
        <v>208</v>
      </c>
      <c r="C57" t="s">
        <v>196</v>
      </c>
      <c r="D57" t="s">
        <v>204</v>
      </c>
      <c r="E57" t="s">
        <v>225</v>
      </c>
      <c r="F57">
        <v>10</v>
      </c>
      <c r="G57">
        <v>5</v>
      </c>
      <c r="H57" s="17"/>
      <c r="I57" s="1">
        <v>99.348778060313535</v>
      </c>
      <c r="J57" s="1">
        <v>94.674830243085708</v>
      </c>
      <c r="K57" s="1">
        <v>194.02360830339924</v>
      </c>
      <c r="L57" s="1">
        <v>0.51204479150268933</v>
      </c>
      <c r="M57" s="1">
        <v>0.48795520849731061</v>
      </c>
      <c r="N57" s="19"/>
      <c r="O57" s="1">
        <v>97.088467325217067</v>
      </c>
      <c r="P57" s="1">
        <v>99.519513145839255</v>
      </c>
      <c r="Q57" s="1">
        <v>196.60798047105632</v>
      </c>
      <c r="R57" s="1">
        <v>0.49381753015620827</v>
      </c>
      <c r="S57" s="1">
        <v>0.50618246984379167</v>
      </c>
      <c r="T57" s="19"/>
      <c r="U57" s="1">
        <v>0.47028138670828717</v>
      </c>
      <c r="V57" s="1">
        <v>0.52971861329171288</v>
      </c>
      <c r="W57" s="1">
        <v>0.71875</v>
      </c>
      <c r="X57" s="1">
        <v>0.28125</v>
      </c>
      <c r="Y57" s="17"/>
      <c r="Z57" s="12">
        <v>2.4846861329171284</v>
      </c>
      <c r="AA57" s="12">
        <v>-2.4846861329171288</v>
      </c>
      <c r="AB57" s="12">
        <v>1.2124155400379539</v>
      </c>
      <c r="AC57" s="12">
        <v>1.2722705928791744</v>
      </c>
      <c r="AD57" s="12">
        <v>-1.2269815693705168</v>
      </c>
      <c r="AE57" s="12">
        <v>-1.257704563546612</v>
      </c>
      <c r="AF57" s="17"/>
      <c r="AG57">
        <v>55</v>
      </c>
      <c r="AH57">
        <v>20</v>
      </c>
      <c r="AI57">
        <v>9</v>
      </c>
      <c r="AJ57">
        <v>16</v>
      </c>
      <c r="AK57">
        <v>41</v>
      </c>
    </row>
    <row r="58" spans="1:37" x14ac:dyDescent="0.25">
      <c r="A58">
        <v>56</v>
      </c>
      <c r="B58" t="s">
        <v>208</v>
      </c>
      <c r="C58" t="s">
        <v>225</v>
      </c>
      <c r="D58" t="s">
        <v>227</v>
      </c>
      <c r="E58" t="s">
        <v>224</v>
      </c>
      <c r="F58">
        <v>7</v>
      </c>
      <c r="G58">
        <v>10</v>
      </c>
      <c r="H58" s="17"/>
      <c r="I58" s="1">
        <v>100.56119360035149</v>
      </c>
      <c r="J58" s="1">
        <v>98.261808582292645</v>
      </c>
      <c r="K58" s="1">
        <v>198.82300218264413</v>
      </c>
      <c r="L58" s="1">
        <v>0.50578249245011042</v>
      </c>
      <c r="M58" s="1">
        <v>0.49421750754988963</v>
      </c>
      <c r="N58" s="19"/>
      <c r="O58" s="1">
        <v>103.41877327360338</v>
      </c>
      <c r="P58" s="1">
        <v>102.98407661963346</v>
      </c>
      <c r="Q58" s="1">
        <v>206.40284989323683</v>
      </c>
      <c r="R58" s="1">
        <v>0.50105302968005228</v>
      </c>
      <c r="S58" s="1">
        <v>0.49894697031994767</v>
      </c>
      <c r="T58" s="19"/>
      <c r="U58" s="1">
        <v>0.41360920192277356</v>
      </c>
      <c r="V58" s="1">
        <v>0.58639079807722638</v>
      </c>
      <c r="W58" s="1">
        <v>0.40475</v>
      </c>
      <c r="X58" s="1">
        <v>0.59525000000000006</v>
      </c>
      <c r="Y58" s="17"/>
      <c r="Z58" s="12">
        <v>-8.859201922773563E-2</v>
      </c>
      <c r="AA58" s="12">
        <v>8.859201922773674E-2</v>
      </c>
      <c r="AB58" s="12">
        <v>-4.4808292296192237E-2</v>
      </c>
      <c r="AC58" s="12">
        <v>-4.37837269315434E-2</v>
      </c>
      <c r="AD58" s="12">
        <v>4.4202719588205798E-2</v>
      </c>
      <c r="AE58" s="12">
        <v>4.4389299639530949E-2</v>
      </c>
      <c r="AF58" s="17"/>
      <c r="AG58">
        <v>56</v>
      </c>
      <c r="AH58">
        <v>20</v>
      </c>
      <c r="AI58">
        <v>41</v>
      </c>
      <c r="AJ58">
        <v>46</v>
      </c>
      <c r="AK58">
        <v>40</v>
      </c>
    </row>
    <row r="59" spans="1:37" x14ac:dyDescent="0.25">
      <c r="A59">
        <v>57</v>
      </c>
      <c r="B59" t="s">
        <v>208</v>
      </c>
      <c r="C59" t="s">
        <v>225</v>
      </c>
      <c r="D59" t="s">
        <v>227</v>
      </c>
      <c r="E59" t="s">
        <v>224</v>
      </c>
      <c r="F59">
        <v>10</v>
      </c>
      <c r="G59">
        <v>8</v>
      </c>
      <c r="H59" s="17"/>
      <c r="I59" s="1">
        <v>100.51638530805529</v>
      </c>
      <c r="J59" s="1">
        <v>98.218024855361108</v>
      </c>
      <c r="K59" s="1">
        <v>198.73441016341638</v>
      </c>
      <c r="L59" s="1">
        <v>0.50578249245011042</v>
      </c>
      <c r="M59" s="1">
        <v>0.49421750754988969</v>
      </c>
      <c r="N59" s="19"/>
      <c r="O59" s="1">
        <v>103.46297599319158</v>
      </c>
      <c r="P59" s="1">
        <v>103.02846591927299</v>
      </c>
      <c r="Q59" s="1">
        <v>206.49144191246455</v>
      </c>
      <c r="R59" s="1">
        <v>0.50105212610724759</v>
      </c>
      <c r="S59" s="1">
        <v>0.49894787389275247</v>
      </c>
      <c r="T59" s="19"/>
      <c r="U59" s="1">
        <v>0.41163159862391596</v>
      </c>
      <c r="V59" s="1">
        <v>0.58836840137608404</v>
      </c>
      <c r="W59" s="1">
        <v>0.55600000000000005</v>
      </c>
      <c r="X59" s="1">
        <v>0.44400000000000001</v>
      </c>
      <c r="Y59" s="17"/>
      <c r="Z59" s="12">
        <v>1.4436840137608409</v>
      </c>
      <c r="AA59" s="12">
        <v>-1.4436840137608402</v>
      </c>
      <c r="AB59" s="12">
        <v>0.7134939149705033</v>
      </c>
      <c r="AC59" s="12">
        <v>0.73019009879033747</v>
      </c>
      <c r="AD59" s="12">
        <v>-0.72336094452191391</v>
      </c>
      <c r="AE59" s="12">
        <v>-0.72032306923892642</v>
      </c>
      <c r="AF59" s="17"/>
      <c r="AG59">
        <v>57</v>
      </c>
      <c r="AH59">
        <v>20</v>
      </c>
      <c r="AI59">
        <v>41</v>
      </c>
      <c r="AJ59">
        <v>46</v>
      </c>
      <c r="AK59">
        <v>40</v>
      </c>
    </row>
    <row r="60" spans="1:37" x14ac:dyDescent="0.25">
      <c r="A60">
        <v>58</v>
      </c>
      <c r="B60" t="s">
        <v>208</v>
      </c>
      <c r="C60" t="s">
        <v>192</v>
      </c>
      <c r="D60" t="s">
        <v>196</v>
      </c>
      <c r="E60" t="s">
        <v>216</v>
      </c>
      <c r="F60">
        <v>7</v>
      </c>
      <c r="G60">
        <v>10</v>
      </c>
      <c r="H60" s="17"/>
      <c r="I60" s="1">
        <v>101.22987922302579</v>
      </c>
      <c r="J60" s="1">
        <v>113.87491464576128</v>
      </c>
      <c r="K60" s="1">
        <v>215.10479386878706</v>
      </c>
      <c r="L60" s="1">
        <v>0.47060726728747643</v>
      </c>
      <c r="M60" s="1">
        <v>0.52939273271252363</v>
      </c>
      <c r="N60" s="19"/>
      <c r="O60" s="1">
        <v>95.947100835964889</v>
      </c>
      <c r="P60" s="1">
        <v>108.40264738959161</v>
      </c>
      <c r="Q60" s="1">
        <v>204.34974822555648</v>
      </c>
      <c r="R60" s="1">
        <v>0.4695239493520722</v>
      </c>
      <c r="S60" s="1">
        <v>0.53047605064792791</v>
      </c>
      <c r="T60" s="19"/>
      <c r="U60" s="1">
        <v>0.62135139300077213</v>
      </c>
      <c r="V60" s="1">
        <v>0.37864860699922787</v>
      </c>
      <c r="W60" s="1">
        <v>0.40475</v>
      </c>
      <c r="X60" s="1">
        <v>0.59525000000000006</v>
      </c>
      <c r="Y60" s="17"/>
      <c r="Z60" s="12">
        <v>-2.1660139300077215</v>
      </c>
      <c r="AA60" s="12">
        <v>2.1660139300077219</v>
      </c>
      <c r="AB60" s="12">
        <v>-1.0193418965075409</v>
      </c>
      <c r="AC60" s="12">
        <v>-1.1466720335001805</v>
      </c>
      <c r="AD60" s="12">
        <v>1.1490185152388934</v>
      </c>
      <c r="AE60" s="12">
        <v>1.0169954147688283</v>
      </c>
      <c r="AF60" s="17"/>
      <c r="AG60">
        <v>58</v>
      </c>
      <c r="AH60">
        <v>20</v>
      </c>
      <c r="AI60">
        <v>5</v>
      </c>
      <c r="AJ60">
        <v>9</v>
      </c>
      <c r="AK60">
        <v>30</v>
      </c>
    </row>
    <row r="61" spans="1:37" x14ac:dyDescent="0.25">
      <c r="A61">
        <v>59</v>
      </c>
      <c r="B61" t="s">
        <v>208</v>
      </c>
      <c r="C61" t="s">
        <v>192</v>
      </c>
      <c r="D61" t="s">
        <v>196</v>
      </c>
      <c r="E61" t="s">
        <v>216</v>
      </c>
      <c r="F61">
        <v>9</v>
      </c>
      <c r="G61">
        <v>10</v>
      </c>
      <c r="H61" s="17"/>
      <c r="I61" s="1">
        <v>100.21053732651825</v>
      </c>
      <c r="J61" s="1">
        <v>112.7282426122611</v>
      </c>
      <c r="K61" s="1">
        <v>212.93877993877936</v>
      </c>
      <c r="L61" s="1">
        <v>0.47060726728747637</v>
      </c>
      <c r="M61" s="1">
        <v>0.52939273271252352</v>
      </c>
      <c r="N61" s="19"/>
      <c r="O61" s="1">
        <v>97.096119351203782</v>
      </c>
      <c r="P61" s="1">
        <v>109.41964280436044</v>
      </c>
      <c r="Q61" s="1">
        <v>206.51576215556423</v>
      </c>
      <c r="R61" s="1">
        <v>0.47016323760344841</v>
      </c>
      <c r="S61" s="1">
        <v>0.52983676239655153</v>
      </c>
      <c r="T61" s="19"/>
      <c r="U61" s="1">
        <v>0.57341324634239343</v>
      </c>
      <c r="V61" s="1">
        <v>0.42658675365760651</v>
      </c>
      <c r="W61" s="1">
        <v>0.47425</v>
      </c>
      <c r="X61" s="1">
        <v>0.52575000000000005</v>
      </c>
      <c r="Y61" s="17"/>
      <c r="Z61" s="12">
        <v>-0.9916324634239343</v>
      </c>
      <c r="AA61" s="12">
        <v>0.99163246342393541</v>
      </c>
      <c r="AB61" s="12">
        <v>-0.46666944376548608</v>
      </c>
      <c r="AC61" s="12">
        <v>-0.52496301965844805</v>
      </c>
      <c r="AD61" s="12">
        <v>0.52540333390785487</v>
      </c>
      <c r="AE61" s="12">
        <v>0.46622912951608064</v>
      </c>
      <c r="AF61" s="17"/>
      <c r="AG61">
        <v>59</v>
      </c>
      <c r="AH61">
        <v>20</v>
      </c>
      <c r="AI61">
        <v>5</v>
      </c>
      <c r="AJ61">
        <v>9</v>
      </c>
      <c r="AK61">
        <v>30</v>
      </c>
    </row>
    <row r="62" spans="1:37" x14ac:dyDescent="0.25">
      <c r="A62">
        <v>60</v>
      </c>
      <c r="B62" t="s">
        <v>208</v>
      </c>
      <c r="C62" t="s">
        <v>225</v>
      </c>
      <c r="D62" t="s">
        <v>196</v>
      </c>
      <c r="E62" t="s">
        <v>195</v>
      </c>
      <c r="F62">
        <v>6</v>
      </c>
      <c r="G62">
        <v>10</v>
      </c>
      <c r="H62" s="17"/>
      <c r="I62" s="1">
        <v>99.743867882752767</v>
      </c>
      <c r="J62" s="1">
        <v>98.948214954151439</v>
      </c>
      <c r="K62" s="1">
        <v>198.69208283690421</v>
      </c>
      <c r="L62" s="1">
        <v>0.50200222605058309</v>
      </c>
      <c r="M62" s="1">
        <v>0.49799777394941691</v>
      </c>
      <c r="N62" s="19"/>
      <c r="O62" s="1">
        <v>97.621522685111643</v>
      </c>
      <c r="P62" s="1">
        <v>100</v>
      </c>
      <c r="Q62" s="1">
        <v>197.62152268511164</v>
      </c>
      <c r="R62" s="1">
        <v>0.49398224119880352</v>
      </c>
      <c r="S62" s="1">
        <v>0.50601775880119648</v>
      </c>
      <c r="T62" s="19"/>
      <c r="U62" s="1">
        <v>0.5123227833545585</v>
      </c>
      <c r="V62" s="1">
        <v>0.48767721664544161</v>
      </c>
      <c r="W62" s="1">
        <v>0.35199999999999998</v>
      </c>
      <c r="X62" s="1">
        <v>0.64800000000000002</v>
      </c>
      <c r="Y62" s="17"/>
      <c r="Z62" s="12">
        <v>-1.6032278335455852</v>
      </c>
      <c r="AA62" s="12">
        <v>1.6032278335455841</v>
      </c>
      <c r="AB62" s="12">
        <v>-0.80482394130613744</v>
      </c>
      <c r="AC62" s="12">
        <v>-0.79840389223944774</v>
      </c>
      <c r="AD62" s="12">
        <v>0.81126175517843413</v>
      </c>
      <c r="AE62" s="12">
        <v>0.79196607836714994</v>
      </c>
      <c r="AF62" s="17"/>
      <c r="AG62">
        <v>60</v>
      </c>
      <c r="AH62">
        <v>20</v>
      </c>
      <c r="AI62">
        <v>41</v>
      </c>
      <c r="AJ62">
        <v>9</v>
      </c>
      <c r="AK62">
        <v>8</v>
      </c>
    </row>
    <row r="63" spans="1:37" x14ac:dyDescent="0.25">
      <c r="A63">
        <v>61</v>
      </c>
      <c r="B63" t="s">
        <v>208</v>
      </c>
      <c r="C63" t="s">
        <v>225</v>
      </c>
      <c r="D63" t="s">
        <v>196</v>
      </c>
      <c r="E63" t="s">
        <v>195</v>
      </c>
      <c r="F63">
        <v>9</v>
      </c>
      <c r="G63">
        <v>10</v>
      </c>
      <c r="H63" s="17"/>
      <c r="I63" s="1">
        <v>98.939043941446627</v>
      </c>
      <c r="J63" s="1">
        <v>98.14981106191199</v>
      </c>
      <c r="K63" s="1">
        <v>197.08885500335862</v>
      </c>
      <c r="L63" s="1">
        <v>0.50200222605058309</v>
      </c>
      <c r="M63" s="1">
        <v>0.49799777394941691</v>
      </c>
      <c r="N63" s="19"/>
      <c r="O63" s="1">
        <v>98.432784440290078</v>
      </c>
      <c r="P63" s="1">
        <v>100.79196607836715</v>
      </c>
      <c r="Q63" s="1">
        <v>199.22475051865723</v>
      </c>
      <c r="R63" s="1">
        <v>0.49407909501220298</v>
      </c>
      <c r="S63" s="1">
        <v>0.50592090498779707</v>
      </c>
      <c r="T63" s="19"/>
      <c r="U63" s="1">
        <v>0.47542940100157693</v>
      </c>
      <c r="V63" s="1">
        <v>0.52457059899842307</v>
      </c>
      <c r="W63" s="1">
        <v>0.47425</v>
      </c>
      <c r="X63" s="1">
        <v>0.52575000000000005</v>
      </c>
      <c r="Y63" s="17"/>
      <c r="Z63" s="12">
        <v>-1.1794010015769296E-2</v>
      </c>
      <c r="AA63" s="12">
        <v>1.1794010015769851E-2</v>
      </c>
      <c r="AB63" s="12">
        <v>-5.9206192819790593E-3</v>
      </c>
      <c r="AC63" s="12">
        <v>-5.8733907337902369E-3</v>
      </c>
      <c r="AD63" s="12">
        <v>5.9668362206134256E-3</v>
      </c>
      <c r="AE63" s="12">
        <v>5.8271737951564257E-3</v>
      </c>
      <c r="AF63" s="17"/>
      <c r="AG63">
        <v>61</v>
      </c>
      <c r="AH63">
        <v>20</v>
      </c>
      <c r="AI63">
        <v>41</v>
      </c>
      <c r="AJ63">
        <v>9</v>
      </c>
      <c r="AK63">
        <v>8</v>
      </c>
    </row>
    <row r="64" spans="1:37" x14ac:dyDescent="0.25">
      <c r="A64">
        <v>62</v>
      </c>
      <c r="B64" t="s">
        <v>209</v>
      </c>
      <c r="C64" t="s">
        <v>196</v>
      </c>
      <c r="D64" t="s">
        <v>222</v>
      </c>
      <c r="E64" t="s">
        <v>192</v>
      </c>
      <c r="F64">
        <v>4</v>
      </c>
      <c r="G64">
        <v>10</v>
      </c>
      <c r="H64" s="17"/>
      <c r="I64" s="1">
        <v>100</v>
      </c>
      <c r="J64" s="1">
        <v>98.438751276510686</v>
      </c>
      <c r="K64" s="1">
        <v>198.43875127651069</v>
      </c>
      <c r="L64" s="1">
        <v>0.50393383024597305</v>
      </c>
      <c r="M64" s="1">
        <v>0.49606616975402695</v>
      </c>
      <c r="N64" s="19"/>
      <c r="O64" s="1">
        <v>97.275128219979948</v>
      </c>
      <c r="P64" s="1">
        <v>112.20327959260266</v>
      </c>
      <c r="Q64" s="1">
        <v>209.47840781258259</v>
      </c>
      <c r="R64" s="1">
        <v>0.46436828136965147</v>
      </c>
      <c r="S64" s="1">
        <v>0.53563171863034864</v>
      </c>
      <c r="T64" s="19"/>
      <c r="U64" s="1">
        <v>0.37556985700012135</v>
      </c>
      <c r="V64" s="1">
        <v>0.62443014299987865</v>
      </c>
      <c r="W64" s="1">
        <v>0.18799999999999994</v>
      </c>
      <c r="X64" s="1">
        <v>0.81200000000000006</v>
      </c>
      <c r="Y64" s="17"/>
      <c r="Z64" s="12">
        <v>-1.8756985700012141</v>
      </c>
      <c r="AA64" s="12">
        <v>1.8756985700012141</v>
      </c>
      <c r="AB64" s="12">
        <v>-0.94522796476760618</v>
      </c>
      <c r="AC64" s="12">
        <v>-0.93047060523360792</v>
      </c>
      <c r="AD64" s="12">
        <v>1.0046836486822375</v>
      </c>
      <c r="AE64" s="12">
        <v>0.87101492131897651</v>
      </c>
      <c r="AF64" s="17"/>
      <c r="AG64">
        <v>62</v>
      </c>
      <c r="AH64">
        <v>21</v>
      </c>
      <c r="AI64">
        <v>9</v>
      </c>
      <c r="AJ64">
        <v>37</v>
      </c>
      <c r="AK64">
        <v>5</v>
      </c>
    </row>
    <row r="65" spans="1:37" x14ac:dyDescent="0.25">
      <c r="A65">
        <v>63</v>
      </c>
      <c r="B65" t="s">
        <v>209</v>
      </c>
      <c r="C65" t="s">
        <v>196</v>
      </c>
      <c r="D65" t="s">
        <v>222</v>
      </c>
      <c r="E65" t="s">
        <v>192</v>
      </c>
      <c r="F65">
        <v>5</v>
      </c>
      <c r="G65">
        <v>10</v>
      </c>
      <c r="H65" s="17"/>
      <c r="I65" s="1">
        <v>99.054772035232389</v>
      </c>
      <c r="J65" s="1">
        <v>97.508280671277078</v>
      </c>
      <c r="K65" s="1">
        <v>196.56305270650947</v>
      </c>
      <c r="L65" s="1">
        <v>0.50393383024597305</v>
      </c>
      <c r="M65" s="1">
        <v>0.49606616975402695</v>
      </c>
      <c r="N65" s="19"/>
      <c r="O65" s="1">
        <v>98.279811868662179</v>
      </c>
      <c r="P65" s="1">
        <v>113.07429451392163</v>
      </c>
      <c r="Q65" s="1">
        <v>211.35410638258381</v>
      </c>
      <c r="R65" s="1">
        <v>0.46500072106836871</v>
      </c>
      <c r="S65" s="1">
        <v>0.53499927893163135</v>
      </c>
      <c r="T65" s="19"/>
      <c r="U65" s="1">
        <v>0.33600397024301382</v>
      </c>
      <c r="V65" s="1">
        <v>0.66399602975698624</v>
      </c>
      <c r="W65" s="1">
        <v>0.28125</v>
      </c>
      <c r="X65" s="1">
        <v>0.71875</v>
      </c>
      <c r="Y65" s="17"/>
      <c r="Z65" s="12">
        <v>-0.54753970243013816</v>
      </c>
      <c r="AA65" s="12">
        <v>0.54753970243013761</v>
      </c>
      <c r="AB65" s="12">
        <v>-0.27592377945735985</v>
      </c>
      <c r="AC65" s="12">
        <v>-0.27161592297277831</v>
      </c>
      <c r="AD65" s="12">
        <v>0.29293334598656362</v>
      </c>
      <c r="AE65" s="12">
        <v>0.25460635644357399</v>
      </c>
      <c r="AF65" s="17"/>
      <c r="AG65">
        <v>63</v>
      </c>
      <c r="AH65">
        <v>21</v>
      </c>
      <c r="AI65">
        <v>9</v>
      </c>
      <c r="AJ65">
        <v>37</v>
      </c>
      <c r="AK65">
        <v>5</v>
      </c>
    </row>
    <row r="66" spans="1:37" x14ac:dyDescent="0.25">
      <c r="A66">
        <v>64</v>
      </c>
      <c r="B66" t="s">
        <v>208</v>
      </c>
      <c r="C66" t="s">
        <v>200</v>
      </c>
      <c r="D66" t="s">
        <v>225</v>
      </c>
      <c r="E66" t="s">
        <v>227</v>
      </c>
      <c r="F66">
        <v>10</v>
      </c>
      <c r="G66">
        <v>8</v>
      </c>
      <c r="H66" s="17"/>
      <c r="I66" s="1">
        <v>98.933123322164647</v>
      </c>
      <c r="J66" s="1">
        <v>100</v>
      </c>
      <c r="K66" s="1">
        <v>198.93312332216465</v>
      </c>
      <c r="L66" s="1">
        <v>0.49731850417864404</v>
      </c>
      <c r="M66" s="1">
        <v>0.50268149582135602</v>
      </c>
      <c r="N66" s="19"/>
      <c r="O66" s="1">
        <v>98.143937671178193</v>
      </c>
      <c r="P66" s="1">
        <v>102.73961504866966</v>
      </c>
      <c r="Q66" s="1">
        <v>200.88355271984784</v>
      </c>
      <c r="R66" s="1">
        <v>0.48856133985269418</v>
      </c>
      <c r="S66" s="1">
        <v>0.51143866014730588</v>
      </c>
      <c r="T66" s="19"/>
      <c r="U66" s="1">
        <v>0.47755993640617028</v>
      </c>
      <c r="V66" s="1">
        <v>0.52244006359382966</v>
      </c>
      <c r="W66" s="1">
        <v>0.55600000000000005</v>
      </c>
      <c r="X66" s="1">
        <v>0.44400000000000001</v>
      </c>
      <c r="Y66" s="17"/>
      <c r="Z66" s="12">
        <v>0.78440063593829767</v>
      </c>
      <c r="AA66" s="12">
        <v>-0.78440063593829656</v>
      </c>
      <c r="AB66" s="12">
        <v>0.39430368499668628</v>
      </c>
      <c r="AC66" s="12">
        <v>0.39009695094161129</v>
      </c>
      <c r="AD66" s="12">
        <v>-0.38322782567531954</v>
      </c>
      <c r="AE66" s="12">
        <v>-0.40117281026297708</v>
      </c>
      <c r="AF66" s="17"/>
      <c r="AG66">
        <v>64</v>
      </c>
      <c r="AH66">
        <v>20</v>
      </c>
      <c r="AI66">
        <v>12</v>
      </c>
      <c r="AJ66">
        <v>41</v>
      </c>
      <c r="AK66">
        <v>46</v>
      </c>
    </row>
    <row r="67" spans="1:37" x14ac:dyDescent="0.25">
      <c r="A67">
        <v>65</v>
      </c>
      <c r="B67" t="s">
        <v>208</v>
      </c>
      <c r="C67" t="s">
        <v>200</v>
      </c>
      <c r="D67" t="s">
        <v>225</v>
      </c>
      <c r="E67" t="s">
        <v>227</v>
      </c>
      <c r="F67">
        <v>10</v>
      </c>
      <c r="G67">
        <v>4</v>
      </c>
      <c r="H67" s="17"/>
      <c r="I67" s="1">
        <v>99.327427007161333</v>
      </c>
      <c r="J67" s="1">
        <v>100.39009695094161</v>
      </c>
      <c r="K67" s="1">
        <v>199.71752395810296</v>
      </c>
      <c r="L67" s="1">
        <v>0.4973395675984767</v>
      </c>
      <c r="M67" s="1">
        <v>0.50266043240152325</v>
      </c>
      <c r="N67" s="19"/>
      <c r="O67" s="1">
        <v>97.760709845502873</v>
      </c>
      <c r="P67" s="1">
        <v>102.33844223840669</v>
      </c>
      <c r="Q67" s="1">
        <v>200.09915208390956</v>
      </c>
      <c r="R67" s="1">
        <v>0.48856133985269418</v>
      </c>
      <c r="S67" s="1">
        <v>0.51143866014730588</v>
      </c>
      <c r="T67" s="19"/>
      <c r="U67" s="1">
        <v>0.49560645691686772</v>
      </c>
      <c r="V67" s="1">
        <v>0.50439354308313233</v>
      </c>
      <c r="W67" s="1">
        <v>0.81200000000000006</v>
      </c>
      <c r="X67" s="1">
        <v>0.18799999999999994</v>
      </c>
      <c r="Y67" s="17"/>
      <c r="Z67" s="12">
        <v>3.1639354308313234</v>
      </c>
      <c r="AA67" s="12">
        <v>-3.1639354308313239</v>
      </c>
      <c r="AB67" s="12">
        <v>1.5903851517521732</v>
      </c>
      <c r="AC67" s="12">
        <v>1.5735502790791507</v>
      </c>
      <c r="AD67" s="12">
        <v>-1.5457765332943627</v>
      </c>
      <c r="AE67" s="12">
        <v>-1.6181588975369612</v>
      </c>
      <c r="AF67" s="17"/>
      <c r="AG67">
        <v>65</v>
      </c>
      <c r="AH67">
        <v>20</v>
      </c>
      <c r="AI67">
        <v>12</v>
      </c>
      <c r="AJ67">
        <v>41</v>
      </c>
      <c r="AK67">
        <v>46</v>
      </c>
    </row>
    <row r="68" spans="1:37" x14ac:dyDescent="0.25">
      <c r="A68">
        <v>66</v>
      </c>
      <c r="B68" t="s">
        <v>196</v>
      </c>
      <c r="C68" t="s">
        <v>222</v>
      </c>
      <c r="D68" t="s">
        <v>230</v>
      </c>
      <c r="E68" t="s">
        <v>199</v>
      </c>
      <c r="F68">
        <v>10</v>
      </c>
      <c r="G68">
        <v>6</v>
      </c>
      <c r="H68" s="17"/>
      <c r="I68" s="1">
        <v>97.236664748304293</v>
      </c>
      <c r="J68" s="1">
        <v>98.572745214648748</v>
      </c>
      <c r="K68" s="1">
        <v>195.80940996295305</v>
      </c>
      <c r="L68" s="1">
        <v>0.49658831394620601</v>
      </c>
      <c r="M68" s="1">
        <v>0.50341168605379394</v>
      </c>
      <c r="N68" s="19"/>
      <c r="O68" s="1">
        <v>93.105319955924472</v>
      </c>
      <c r="P68" s="1">
        <v>98.78137525014246</v>
      </c>
      <c r="Q68" s="1">
        <v>191.88669520606692</v>
      </c>
      <c r="R68" s="1">
        <v>0.48520987792269166</v>
      </c>
      <c r="S68" s="1">
        <v>0.51479012207730845</v>
      </c>
      <c r="T68" s="19"/>
      <c r="U68" s="1">
        <v>0.54503950579261329</v>
      </c>
      <c r="V68" s="1">
        <v>0.45496049420738671</v>
      </c>
      <c r="W68" s="1">
        <v>0.64800000000000002</v>
      </c>
      <c r="X68" s="1">
        <v>0.35199999999999998</v>
      </c>
      <c r="Y68" s="17"/>
      <c r="Z68" s="12">
        <v>1.0296049420738673</v>
      </c>
      <c r="AA68" s="12">
        <v>-1.0296049420738673</v>
      </c>
      <c r="AB68" s="12">
        <v>0.51831515985872445</v>
      </c>
      <c r="AC68" s="12">
        <v>0.51128978221514298</v>
      </c>
      <c r="AD68" s="12">
        <v>-0.4995744882522612</v>
      </c>
      <c r="AE68" s="12">
        <v>-0.5300304538216063</v>
      </c>
      <c r="AF68" s="17"/>
      <c r="AG68">
        <v>66</v>
      </c>
      <c r="AH68">
        <v>9</v>
      </c>
      <c r="AI68">
        <v>37</v>
      </c>
      <c r="AJ68">
        <v>31</v>
      </c>
      <c r="AK68">
        <v>11</v>
      </c>
    </row>
    <row r="69" spans="1:37" x14ac:dyDescent="0.25">
      <c r="A69">
        <v>67</v>
      </c>
      <c r="B69" t="s">
        <v>196</v>
      </c>
      <c r="C69" t="s">
        <v>222</v>
      </c>
      <c r="D69" t="s">
        <v>230</v>
      </c>
      <c r="E69" t="s">
        <v>199</v>
      </c>
      <c r="F69">
        <v>3</v>
      </c>
      <c r="G69">
        <v>10</v>
      </c>
      <c r="H69" s="17"/>
      <c r="I69" s="1">
        <v>97.754979908163023</v>
      </c>
      <c r="J69" s="1">
        <v>99.084034996863892</v>
      </c>
      <c r="K69" s="1">
        <v>196.83901490502691</v>
      </c>
      <c r="L69" s="1">
        <v>0.49662400492772701</v>
      </c>
      <c r="M69" s="1">
        <v>0.50337599507227293</v>
      </c>
      <c r="N69" s="19"/>
      <c r="O69" s="1">
        <v>92.605745467672207</v>
      </c>
      <c r="P69" s="1">
        <v>98.251344796320851</v>
      </c>
      <c r="Q69" s="1">
        <v>190.85709026399306</v>
      </c>
      <c r="R69" s="1">
        <v>0.4852098779226916</v>
      </c>
      <c r="S69" s="1">
        <v>0.51479012207730834</v>
      </c>
      <c r="T69" s="19"/>
      <c r="U69" s="1">
        <v>0.56843720194270531</v>
      </c>
      <c r="V69" s="1">
        <v>0.43156279805729475</v>
      </c>
      <c r="W69" s="1">
        <v>6.7749999999999977E-2</v>
      </c>
      <c r="X69" s="1">
        <v>0.93224999999999991</v>
      </c>
      <c r="Y69" s="17"/>
      <c r="Z69" s="12">
        <v>-5.0068720194270533</v>
      </c>
      <c r="AA69" s="12">
        <v>5.0068720194270515</v>
      </c>
      <c r="AB69" s="12">
        <v>-2.4865328344484392</v>
      </c>
      <c r="AC69" s="12">
        <v>-2.5203391849786136</v>
      </c>
      <c r="AD69" s="12">
        <v>2.5774882581063112</v>
      </c>
      <c r="AE69" s="12">
        <v>2.4293837613207403</v>
      </c>
      <c r="AF69" s="17"/>
      <c r="AG69">
        <v>67</v>
      </c>
      <c r="AH69">
        <v>9</v>
      </c>
      <c r="AI69">
        <v>37</v>
      </c>
      <c r="AJ69">
        <v>31</v>
      </c>
      <c r="AK69">
        <v>11</v>
      </c>
    </row>
    <row r="70" spans="1:37" x14ac:dyDescent="0.25">
      <c r="A70">
        <v>68</v>
      </c>
      <c r="B70" t="s">
        <v>196</v>
      </c>
      <c r="C70" t="s">
        <v>222</v>
      </c>
      <c r="D70" t="s">
        <v>224</v>
      </c>
      <c r="E70" t="s">
        <v>199</v>
      </c>
      <c r="F70">
        <v>9</v>
      </c>
      <c r="G70">
        <v>10</v>
      </c>
      <c r="H70" s="17"/>
      <c r="I70" s="1">
        <v>95.268447073714583</v>
      </c>
      <c r="J70" s="1">
        <v>96.563695811885282</v>
      </c>
      <c r="K70" s="1">
        <v>191.83214288559986</v>
      </c>
      <c r="L70" s="1">
        <v>0.49662400492772701</v>
      </c>
      <c r="M70" s="1">
        <v>0.50337599507227293</v>
      </c>
      <c r="N70" s="19"/>
      <c r="O70" s="1">
        <v>102.30814285003406</v>
      </c>
      <c r="P70" s="1">
        <v>100.68072855764159</v>
      </c>
      <c r="Q70" s="1">
        <v>202.98887140767565</v>
      </c>
      <c r="R70" s="1">
        <v>0.50400862934284718</v>
      </c>
      <c r="S70" s="1">
        <v>0.49599137065715282</v>
      </c>
      <c r="T70" s="19"/>
      <c r="U70" s="1">
        <v>0.37430634037930222</v>
      </c>
      <c r="V70" s="1">
        <v>0.62569365962069778</v>
      </c>
      <c r="W70" s="1">
        <v>0.47425</v>
      </c>
      <c r="X70" s="1">
        <v>0.52575000000000005</v>
      </c>
      <c r="Y70" s="17"/>
      <c r="Z70" s="12">
        <v>0.99943659620697789</v>
      </c>
      <c r="AA70" s="12">
        <v>-0.99943659620697733</v>
      </c>
      <c r="AB70" s="12">
        <v>0.50309239112733295</v>
      </c>
      <c r="AC70" s="12">
        <v>0.49634420507964494</v>
      </c>
      <c r="AD70" s="12">
        <v>-0.5037246689693593</v>
      </c>
      <c r="AE70" s="12">
        <v>-0.49571192723761809</v>
      </c>
      <c r="AF70" s="17"/>
      <c r="AG70">
        <v>68</v>
      </c>
      <c r="AH70">
        <v>9</v>
      </c>
      <c r="AI70">
        <v>37</v>
      </c>
      <c r="AJ70">
        <v>40</v>
      </c>
      <c r="AK70">
        <v>11</v>
      </c>
    </row>
    <row r="71" spans="1:37" x14ac:dyDescent="0.25">
      <c r="A71">
        <v>69</v>
      </c>
      <c r="B71" t="s">
        <v>196</v>
      </c>
      <c r="C71" t="s">
        <v>222</v>
      </c>
      <c r="D71" t="s">
        <v>224</v>
      </c>
      <c r="E71" t="s">
        <v>199</v>
      </c>
      <c r="F71">
        <v>3</v>
      </c>
      <c r="G71">
        <v>10</v>
      </c>
      <c r="H71" s="17"/>
      <c r="I71" s="1">
        <v>95.771539464841922</v>
      </c>
      <c r="J71" s="1">
        <v>97.060040016964933</v>
      </c>
      <c r="K71" s="1">
        <v>192.83157948180684</v>
      </c>
      <c r="L71" s="1">
        <v>0.49665900016069575</v>
      </c>
      <c r="M71" s="1">
        <v>0.50334099983930436</v>
      </c>
      <c r="N71" s="19"/>
      <c r="O71" s="1">
        <v>101.8044181810647</v>
      </c>
      <c r="P71" s="1">
        <v>100.18501663040396</v>
      </c>
      <c r="Q71" s="1">
        <v>201.98943481146867</v>
      </c>
      <c r="R71" s="1">
        <v>0.50400862934284718</v>
      </c>
      <c r="S71" s="1">
        <v>0.49599137065715282</v>
      </c>
      <c r="T71" s="19"/>
      <c r="U71" s="1">
        <v>0.39610169676896734</v>
      </c>
      <c r="V71" s="1">
        <v>0.60389830323103266</v>
      </c>
      <c r="W71" s="1">
        <v>6.7749999999999977E-2</v>
      </c>
      <c r="X71" s="1">
        <v>0.93224999999999991</v>
      </c>
      <c r="Y71" s="17"/>
      <c r="Z71" s="12">
        <v>-3.2835169676896738</v>
      </c>
      <c r="AA71" s="12">
        <v>3.2835169676896725</v>
      </c>
      <c r="AB71" s="12">
        <v>-1.6307882541834329</v>
      </c>
      <c r="AC71" s="12">
        <v>-1.6527287135062412</v>
      </c>
      <c r="AD71" s="12">
        <v>1.6285960813804188</v>
      </c>
      <c r="AE71" s="12">
        <v>1.6549208863092537</v>
      </c>
      <c r="AF71" s="17"/>
      <c r="AG71">
        <v>69</v>
      </c>
      <c r="AH71">
        <v>9</v>
      </c>
      <c r="AI71">
        <v>37</v>
      </c>
      <c r="AJ71">
        <v>40</v>
      </c>
      <c r="AK71">
        <v>11</v>
      </c>
    </row>
    <row r="72" spans="1:37" x14ac:dyDescent="0.25">
      <c r="A72">
        <v>70</v>
      </c>
      <c r="B72" t="s">
        <v>196</v>
      </c>
      <c r="C72" t="s">
        <v>225</v>
      </c>
      <c r="D72" t="s">
        <v>227</v>
      </c>
      <c r="E72" t="s">
        <v>199</v>
      </c>
      <c r="F72">
        <v>2</v>
      </c>
      <c r="G72">
        <v>10</v>
      </c>
      <c r="H72" s="17"/>
      <c r="I72" s="1">
        <v>94.140751210658493</v>
      </c>
      <c r="J72" s="1">
        <v>96.214933312208515</v>
      </c>
      <c r="K72" s="1">
        <v>190.35568452286702</v>
      </c>
      <c r="L72" s="1">
        <v>0.49455182516154156</v>
      </c>
      <c r="M72" s="1">
        <v>0.50544817483845839</v>
      </c>
      <c r="N72" s="19"/>
      <c r="O72" s="1">
        <v>100.72028334086973</v>
      </c>
      <c r="P72" s="1">
        <v>101.83993751671322</v>
      </c>
      <c r="Q72" s="1">
        <v>202.56022085758295</v>
      </c>
      <c r="R72" s="1">
        <v>0.49723624369310226</v>
      </c>
      <c r="S72" s="1">
        <v>0.50276375630689774</v>
      </c>
      <c r="T72" s="19"/>
      <c r="U72" s="1">
        <v>0.36307565123202484</v>
      </c>
      <c r="V72" s="1">
        <v>0.6369243487679751</v>
      </c>
      <c r="W72" s="1">
        <v>-8.4000000000000075E-2</v>
      </c>
      <c r="X72" s="1">
        <v>1.0840000000000001</v>
      </c>
      <c r="Y72" s="17"/>
      <c r="Z72" s="12">
        <v>-4.4707565123202491</v>
      </c>
      <c r="AA72" s="12">
        <v>4.47075651232025</v>
      </c>
      <c r="AB72" s="12">
        <v>-2.2110207930208272</v>
      </c>
      <c r="AC72" s="12">
        <v>-2.2597357192994219</v>
      </c>
      <c r="AD72" s="12">
        <v>2.2477343376676542</v>
      </c>
      <c r="AE72" s="12">
        <v>2.2230221746525958</v>
      </c>
      <c r="AF72" s="17"/>
      <c r="AG72">
        <v>70</v>
      </c>
      <c r="AH72">
        <v>9</v>
      </c>
      <c r="AI72">
        <v>41</v>
      </c>
      <c r="AJ72">
        <v>46</v>
      </c>
      <c r="AK72">
        <v>11</v>
      </c>
    </row>
    <row r="73" spans="1:37" x14ac:dyDescent="0.25">
      <c r="A73">
        <v>71</v>
      </c>
      <c r="B73" t="s">
        <v>196</v>
      </c>
      <c r="C73" t="s">
        <v>225</v>
      </c>
      <c r="D73" t="s">
        <v>227</v>
      </c>
      <c r="E73" t="s">
        <v>199</v>
      </c>
      <c r="F73">
        <v>7</v>
      </c>
      <c r="G73">
        <v>10</v>
      </c>
      <c r="H73" s="17"/>
      <c r="I73" s="1">
        <v>91.929730417637671</v>
      </c>
      <c r="J73" s="1">
        <v>93.955197592909087</v>
      </c>
      <c r="K73" s="1">
        <v>185.88492801054676</v>
      </c>
      <c r="L73" s="1">
        <v>0.49455182516154161</v>
      </c>
      <c r="M73" s="1">
        <v>0.50544817483845839</v>
      </c>
      <c r="N73" s="19"/>
      <c r="O73" s="1">
        <v>102.96801767853738</v>
      </c>
      <c r="P73" s="1">
        <v>104.06295969136582</v>
      </c>
      <c r="Q73" s="1">
        <v>207.03097736990321</v>
      </c>
      <c r="R73" s="1">
        <v>0.49735560826032299</v>
      </c>
      <c r="S73" s="1">
        <v>0.5026443917396769</v>
      </c>
      <c r="T73" s="19"/>
      <c r="U73" s="1">
        <v>0.27412142957686053</v>
      </c>
      <c r="V73" s="1">
        <v>0.72587857042313952</v>
      </c>
      <c r="W73" s="1">
        <v>0.40475</v>
      </c>
      <c r="X73" s="1">
        <v>0.59525000000000006</v>
      </c>
      <c r="Y73" s="17"/>
      <c r="Z73" s="12">
        <v>1.3062857042313947</v>
      </c>
      <c r="AA73" s="12">
        <v>-1.3062857042313947</v>
      </c>
      <c r="AB73" s="12">
        <v>0.66025972502132868</v>
      </c>
      <c r="AC73" s="12">
        <v>0.64602597921006599</v>
      </c>
      <c r="AD73" s="12">
        <v>-0.6496885209897697</v>
      </c>
      <c r="AE73" s="12">
        <v>-0.65659718324162486</v>
      </c>
      <c r="AF73" s="17"/>
      <c r="AG73">
        <v>71</v>
      </c>
      <c r="AH73">
        <v>9</v>
      </c>
      <c r="AI73">
        <v>41</v>
      </c>
      <c r="AJ73">
        <v>46</v>
      </c>
      <c r="AK73">
        <v>11</v>
      </c>
    </row>
    <row r="74" spans="1:37" x14ac:dyDescent="0.25">
      <c r="A74">
        <v>72</v>
      </c>
      <c r="B74" t="s">
        <v>230</v>
      </c>
      <c r="C74" t="s">
        <v>222</v>
      </c>
      <c r="D74" t="s">
        <v>199</v>
      </c>
      <c r="E74" t="s">
        <v>212</v>
      </c>
      <c r="F74">
        <v>7</v>
      </c>
      <c r="G74">
        <v>10</v>
      </c>
      <c r="H74" s="17"/>
      <c r="I74" s="1">
        <v>95.183233725778521</v>
      </c>
      <c r="J74" s="1">
        <v>95.407311303458698</v>
      </c>
      <c r="K74" s="1">
        <v>190.59054502923721</v>
      </c>
      <c r="L74" s="1">
        <v>0.49941214928147198</v>
      </c>
      <c r="M74" s="1">
        <v>0.50058785071852807</v>
      </c>
      <c r="N74" s="19"/>
      <c r="O74" s="1">
        <v>103.40636250812419</v>
      </c>
      <c r="P74" s="1">
        <v>96.780340880393382</v>
      </c>
      <c r="Q74" s="1">
        <v>200.18670338851757</v>
      </c>
      <c r="R74" s="1">
        <v>0.51654960473291567</v>
      </c>
      <c r="S74" s="1">
        <v>0.48345039526708428</v>
      </c>
      <c r="T74" s="19"/>
      <c r="U74" s="1">
        <v>0.39128370415134428</v>
      </c>
      <c r="V74" s="1">
        <v>0.60871629584865572</v>
      </c>
      <c r="W74" s="1">
        <v>0.40475</v>
      </c>
      <c r="X74" s="1">
        <v>0.59525000000000006</v>
      </c>
      <c r="Y74" s="17"/>
      <c r="Z74" s="12">
        <v>0.13466295848655718</v>
      </c>
      <c r="AA74" s="12">
        <v>-0.13466295848655663</v>
      </c>
      <c r="AB74" s="12">
        <v>6.741064096018401E-2</v>
      </c>
      <c r="AC74" s="12">
        <v>6.7252317526373159E-2</v>
      </c>
      <c r="AD74" s="12">
        <v>-6.9560097978395852E-2</v>
      </c>
      <c r="AE74" s="12">
        <v>-6.5102860508160762E-2</v>
      </c>
      <c r="AF74" s="17"/>
      <c r="AG74">
        <v>72</v>
      </c>
      <c r="AH74">
        <v>31</v>
      </c>
      <c r="AI74">
        <v>37</v>
      </c>
      <c r="AJ74">
        <v>11</v>
      </c>
      <c r="AK74">
        <v>26</v>
      </c>
    </row>
    <row r="75" spans="1:37" x14ac:dyDescent="0.25">
      <c r="A75">
        <v>73</v>
      </c>
      <c r="B75" t="s">
        <v>230</v>
      </c>
      <c r="C75" t="s">
        <v>222</v>
      </c>
      <c r="D75" t="s">
        <v>199</v>
      </c>
      <c r="E75" t="s">
        <v>212</v>
      </c>
      <c r="F75">
        <v>4</v>
      </c>
      <c r="G75">
        <v>10</v>
      </c>
      <c r="H75" s="17"/>
      <c r="I75" s="1">
        <v>95.250644366738712</v>
      </c>
      <c r="J75" s="1">
        <v>95.474563620985066</v>
      </c>
      <c r="K75" s="1">
        <v>190.72520798772376</v>
      </c>
      <c r="L75" s="1">
        <v>0.49941297939425827</v>
      </c>
      <c r="M75" s="1">
        <v>0.50058702060574178</v>
      </c>
      <c r="N75" s="19"/>
      <c r="O75" s="1">
        <v>103.33680241014579</v>
      </c>
      <c r="P75" s="1">
        <v>96.71523801988522</v>
      </c>
      <c r="Q75" s="1">
        <v>200.05204043003101</v>
      </c>
      <c r="R75" s="1">
        <v>0.51654960473291567</v>
      </c>
      <c r="S75" s="1">
        <v>0.48345039526708428</v>
      </c>
      <c r="T75" s="19"/>
      <c r="U75" s="1">
        <v>0.39424179115692698</v>
      </c>
      <c r="V75" s="1">
        <v>0.60575820884307308</v>
      </c>
      <c r="W75" s="1">
        <v>0.18799999999999994</v>
      </c>
      <c r="X75" s="1">
        <v>0.81200000000000006</v>
      </c>
      <c r="Y75" s="17"/>
      <c r="Z75" s="12">
        <v>-2.0624179115692702</v>
      </c>
      <c r="AA75" s="12">
        <v>2.0624179115692698</v>
      </c>
      <c r="AB75" s="12">
        <v>-1.0299982739728932</v>
      </c>
      <c r="AC75" s="12">
        <v>-1.0324196375963772</v>
      </c>
      <c r="AD75" s="12">
        <v>0.99707675455407807</v>
      </c>
      <c r="AE75" s="12">
        <v>1.0653411570151918</v>
      </c>
      <c r="AF75" s="17"/>
      <c r="AG75">
        <v>73</v>
      </c>
      <c r="AH75">
        <v>31</v>
      </c>
      <c r="AI75">
        <v>37</v>
      </c>
      <c r="AJ75">
        <v>11</v>
      </c>
      <c r="AK75">
        <v>26</v>
      </c>
    </row>
    <row r="76" spans="1:37" x14ac:dyDescent="0.25">
      <c r="A76">
        <v>74</v>
      </c>
      <c r="B76" t="s">
        <v>230</v>
      </c>
      <c r="C76" t="s">
        <v>222</v>
      </c>
      <c r="D76" t="s">
        <v>227</v>
      </c>
      <c r="E76" t="s">
        <v>225</v>
      </c>
      <c r="F76">
        <v>5</v>
      </c>
      <c r="G76">
        <v>10</v>
      </c>
      <c r="H76" s="17"/>
      <c r="I76" s="1">
        <v>94.220646092765818</v>
      </c>
      <c r="J76" s="1">
        <v>94.442143983388689</v>
      </c>
      <c r="K76" s="1">
        <v>188.66279007615452</v>
      </c>
      <c r="L76" s="1">
        <v>0.49941297939425822</v>
      </c>
      <c r="M76" s="1">
        <v>0.50058702060574167</v>
      </c>
      <c r="N76" s="19"/>
      <c r="O76" s="1">
        <v>102.31832915754761</v>
      </c>
      <c r="P76" s="1">
        <v>94.601223572119153</v>
      </c>
      <c r="Q76" s="1">
        <v>196.91955272966675</v>
      </c>
      <c r="R76" s="1">
        <v>0.51959456407059434</v>
      </c>
      <c r="S76" s="1">
        <v>0.48040543592940571</v>
      </c>
      <c r="T76" s="19"/>
      <c r="U76" s="1">
        <v>0.40606950238406886</v>
      </c>
      <c r="V76" s="1">
        <v>0.5939304976159312</v>
      </c>
      <c r="W76" s="1">
        <v>0.28125</v>
      </c>
      <c r="X76" s="1">
        <v>0.71875</v>
      </c>
      <c r="Y76" s="17"/>
      <c r="Z76" s="12">
        <v>-1.2481950238406885</v>
      </c>
      <c r="AA76" s="12">
        <v>1.248195023840688</v>
      </c>
      <c r="AB76" s="12">
        <v>-0.62336479572136538</v>
      </c>
      <c r="AC76" s="12">
        <v>-0.62483022811932298</v>
      </c>
      <c r="AD76" s="12">
        <v>0.59963967455310063</v>
      </c>
      <c r="AE76" s="12">
        <v>0.6485553492875874</v>
      </c>
      <c r="AF76" s="17"/>
      <c r="AG76">
        <v>74</v>
      </c>
      <c r="AH76">
        <v>31</v>
      </c>
      <c r="AI76">
        <v>37</v>
      </c>
      <c r="AJ76">
        <v>46</v>
      </c>
      <c r="AK76">
        <v>41</v>
      </c>
    </row>
    <row r="77" spans="1:37" x14ac:dyDescent="0.25">
      <c r="A77">
        <v>75</v>
      </c>
      <c r="B77" t="s">
        <v>230</v>
      </c>
      <c r="C77" t="s">
        <v>222</v>
      </c>
      <c r="D77" t="s">
        <v>227</v>
      </c>
      <c r="E77" t="s">
        <v>225</v>
      </c>
      <c r="F77">
        <v>3</v>
      </c>
      <c r="G77">
        <v>10</v>
      </c>
      <c r="H77" s="17"/>
      <c r="I77" s="1">
        <v>93.597281297044447</v>
      </c>
      <c r="J77" s="1">
        <v>93.817313755269367</v>
      </c>
      <c r="K77" s="1">
        <v>187.41459505231381</v>
      </c>
      <c r="L77" s="1">
        <v>0.49941297939425822</v>
      </c>
      <c r="M77" s="1">
        <v>0.50058702060574178</v>
      </c>
      <c r="N77" s="19"/>
      <c r="O77" s="1">
        <v>102.91796883210071</v>
      </c>
      <c r="P77" s="1">
        <v>95.249778921406744</v>
      </c>
      <c r="Q77" s="1">
        <v>198.16774775350746</v>
      </c>
      <c r="R77" s="1">
        <v>0.51934772433360876</v>
      </c>
      <c r="S77" s="1">
        <v>0.48065227566639124</v>
      </c>
      <c r="T77" s="19"/>
      <c r="U77" s="1">
        <v>0.37866911679018428</v>
      </c>
      <c r="V77" s="1">
        <v>0.62133088320981567</v>
      </c>
      <c r="W77" s="1">
        <v>6.7749999999999977E-2</v>
      </c>
      <c r="X77" s="1">
        <v>0.93224999999999991</v>
      </c>
      <c r="Y77" s="17"/>
      <c r="Z77" s="12">
        <v>-3.1091911679018431</v>
      </c>
      <c r="AA77" s="12">
        <v>3.1091911679018427</v>
      </c>
      <c r="AB77" s="12">
        <v>-1.5527704246681728</v>
      </c>
      <c r="AC77" s="12">
        <v>-1.5564207432336703</v>
      </c>
      <c r="AD77" s="12">
        <v>1.4944398103338654</v>
      </c>
      <c r="AE77" s="12">
        <v>1.6147513575679773</v>
      </c>
      <c r="AF77" s="17"/>
      <c r="AG77">
        <v>75</v>
      </c>
      <c r="AH77">
        <v>31</v>
      </c>
      <c r="AI77">
        <v>37</v>
      </c>
      <c r="AJ77">
        <v>46</v>
      </c>
      <c r="AK77">
        <v>41</v>
      </c>
    </row>
    <row r="78" spans="1:37" x14ac:dyDescent="0.25">
      <c r="A78">
        <v>76</v>
      </c>
      <c r="B78" t="s">
        <v>224</v>
      </c>
      <c r="C78" t="s">
        <v>200</v>
      </c>
      <c r="D78" t="s">
        <v>227</v>
      </c>
      <c r="E78" t="s">
        <v>225</v>
      </c>
      <c r="F78">
        <v>10</v>
      </c>
      <c r="G78">
        <v>3</v>
      </c>
      <c r="H78" s="17"/>
      <c r="I78" s="1">
        <v>103.43301426244513</v>
      </c>
      <c r="J78" s="1">
        <v>101.96364723002077</v>
      </c>
      <c r="K78" s="1">
        <v>205.39666149246591</v>
      </c>
      <c r="L78" s="1">
        <v>0.50357690096262409</v>
      </c>
      <c r="M78" s="1">
        <v>0.49642309903737586</v>
      </c>
      <c r="N78" s="19"/>
      <c r="O78" s="1">
        <v>104.41240864243457</v>
      </c>
      <c r="P78" s="1">
        <v>96.864530278974726</v>
      </c>
      <c r="Q78" s="1">
        <v>201.27693892140928</v>
      </c>
      <c r="R78" s="1">
        <v>0.51874998299334985</v>
      </c>
      <c r="S78" s="1">
        <v>0.48125001700665027</v>
      </c>
      <c r="T78" s="19"/>
      <c r="U78" s="1">
        <v>0.54728830356208058</v>
      </c>
      <c r="V78" s="1">
        <v>0.45271169643791936</v>
      </c>
      <c r="W78" s="1">
        <v>0.93224999999999991</v>
      </c>
      <c r="X78" s="1">
        <v>6.7749999999999977E-2</v>
      </c>
      <c r="Y78" s="17"/>
      <c r="Z78" s="12">
        <v>3.8496169643791935</v>
      </c>
      <c r="AA78" s="12">
        <v>-3.849616964379194</v>
      </c>
      <c r="AB78" s="12">
        <v>1.9110387835639748</v>
      </c>
      <c r="AC78" s="12">
        <v>1.9385781808152187</v>
      </c>
      <c r="AD78" s="12">
        <v>-1.9969887348026178</v>
      </c>
      <c r="AE78" s="12">
        <v>-1.8526282295765766</v>
      </c>
      <c r="AF78" s="17"/>
      <c r="AG78">
        <v>76</v>
      </c>
      <c r="AH78">
        <v>40</v>
      </c>
      <c r="AI78">
        <v>12</v>
      </c>
      <c r="AJ78">
        <v>46</v>
      </c>
      <c r="AK78">
        <v>41</v>
      </c>
    </row>
    <row r="79" spans="1:37" x14ac:dyDescent="0.25">
      <c r="A79">
        <v>77</v>
      </c>
      <c r="B79" t="s">
        <v>224</v>
      </c>
      <c r="C79" t="s">
        <v>200</v>
      </c>
      <c r="D79" t="s">
        <v>227</v>
      </c>
      <c r="E79" t="s">
        <v>225</v>
      </c>
      <c r="F79">
        <v>10</v>
      </c>
      <c r="G79">
        <v>7</v>
      </c>
      <c r="H79" s="17"/>
      <c r="I79" s="1">
        <v>105.34405304600911</v>
      </c>
      <c r="J79" s="1">
        <v>103.90222541083598</v>
      </c>
      <c r="K79" s="1">
        <v>209.24627845684509</v>
      </c>
      <c r="L79" s="1">
        <v>0.50344528859917215</v>
      </c>
      <c r="M79" s="1">
        <v>0.49655471140082785</v>
      </c>
      <c r="N79" s="19"/>
      <c r="O79" s="1">
        <v>102.41541990763196</v>
      </c>
      <c r="P79" s="1">
        <v>95.011902049398145</v>
      </c>
      <c r="Q79" s="1">
        <v>197.4273219570301</v>
      </c>
      <c r="R79" s="1">
        <v>0.51874998299334973</v>
      </c>
      <c r="S79" s="1">
        <v>0.48125001700665021</v>
      </c>
      <c r="T79" s="19"/>
      <c r="U79" s="1">
        <v>0.63280820318720366</v>
      </c>
      <c r="V79" s="1">
        <v>0.3671917968127964</v>
      </c>
      <c r="W79" s="1">
        <v>0.59525000000000006</v>
      </c>
      <c r="X79" s="1">
        <v>0.40475</v>
      </c>
      <c r="Y79" s="17"/>
      <c r="Z79" s="12">
        <v>-0.37558203187203598</v>
      </c>
      <c r="AA79" s="12">
        <v>0.37558203187203598</v>
      </c>
      <c r="AB79" s="12">
        <v>-0.18908500442848061</v>
      </c>
      <c r="AC79" s="12">
        <v>-0.18649702744355537</v>
      </c>
      <c r="AD79" s="12">
        <v>0.18074885922580958</v>
      </c>
      <c r="AE79" s="12">
        <v>0.1948331726462264</v>
      </c>
      <c r="AF79" s="17"/>
      <c r="AG79">
        <v>77</v>
      </c>
      <c r="AH79">
        <v>40</v>
      </c>
      <c r="AI79">
        <v>12</v>
      </c>
      <c r="AJ79">
        <v>46</v>
      </c>
      <c r="AK79">
        <v>41</v>
      </c>
    </row>
    <row r="80" spans="1:37" x14ac:dyDescent="0.25">
      <c r="A80">
        <v>78</v>
      </c>
      <c r="B80" t="s">
        <v>224</v>
      </c>
      <c r="C80" t="s">
        <v>230</v>
      </c>
      <c r="D80" t="s">
        <v>199</v>
      </c>
      <c r="E80" t="s">
        <v>222</v>
      </c>
      <c r="F80">
        <v>10</v>
      </c>
      <c r="G80">
        <v>7</v>
      </c>
      <c r="H80" s="17"/>
      <c r="I80" s="1">
        <v>105.15496804158063</v>
      </c>
      <c r="J80" s="1">
        <v>92.044510872376279</v>
      </c>
      <c r="K80" s="1">
        <v>197.19947891395691</v>
      </c>
      <c r="L80" s="1">
        <v>0.53324161210112719</v>
      </c>
      <c r="M80" s="1">
        <v>0.46675838789887275</v>
      </c>
      <c r="N80" s="19"/>
      <c r="O80" s="1">
        <v>104.33387916469987</v>
      </c>
      <c r="P80" s="1">
        <v>92.260893012035694</v>
      </c>
      <c r="Q80" s="1">
        <v>196.59477217673555</v>
      </c>
      <c r="R80" s="1">
        <v>0.53070525736516216</v>
      </c>
      <c r="S80" s="1">
        <v>0.46929474263483789</v>
      </c>
      <c r="T80" s="19"/>
      <c r="U80" s="1">
        <v>0.50696149371392663</v>
      </c>
      <c r="V80" s="1">
        <v>0.49303850628607337</v>
      </c>
      <c r="W80" s="1">
        <v>0.59525000000000006</v>
      </c>
      <c r="X80" s="1">
        <v>0.40475</v>
      </c>
      <c r="Y80" s="17"/>
      <c r="Z80" s="12">
        <v>0.88288506286073432</v>
      </c>
      <c r="AA80" s="12">
        <v>-0.88288506286073376</v>
      </c>
      <c r="AB80" s="12">
        <v>0.41209400864087131</v>
      </c>
      <c r="AC80" s="12">
        <v>0.470791054219863</v>
      </c>
      <c r="AD80" s="12">
        <v>-0.4685517445093631</v>
      </c>
      <c r="AE80" s="12">
        <v>-0.41433331835137072</v>
      </c>
      <c r="AF80" s="17"/>
      <c r="AG80">
        <v>78</v>
      </c>
      <c r="AH80">
        <v>40</v>
      </c>
      <c r="AI80">
        <v>31</v>
      </c>
      <c r="AJ80">
        <v>11</v>
      </c>
      <c r="AK80">
        <v>37</v>
      </c>
    </row>
    <row r="81" spans="1:37" x14ac:dyDescent="0.25">
      <c r="A81">
        <v>79</v>
      </c>
      <c r="B81" t="s">
        <v>224</v>
      </c>
      <c r="C81" t="s">
        <v>230</v>
      </c>
      <c r="D81" t="s">
        <v>199</v>
      </c>
      <c r="E81" t="s">
        <v>222</v>
      </c>
      <c r="F81">
        <v>9</v>
      </c>
      <c r="G81">
        <v>10</v>
      </c>
      <c r="H81" s="17"/>
      <c r="I81" s="1">
        <v>105.56706205022151</v>
      </c>
      <c r="J81" s="1">
        <v>92.515301926596138</v>
      </c>
      <c r="K81" s="1">
        <v>198.08236397681765</v>
      </c>
      <c r="L81" s="1">
        <v>0.5329452856417668</v>
      </c>
      <c r="M81" s="1">
        <v>0.46705471435823315</v>
      </c>
      <c r="N81" s="19"/>
      <c r="O81" s="1">
        <v>103.8653274201905</v>
      </c>
      <c r="P81" s="1">
        <v>91.846559693684327</v>
      </c>
      <c r="Q81" s="1">
        <v>195.71188711387481</v>
      </c>
      <c r="R81" s="1">
        <v>0.53070525736516216</v>
      </c>
      <c r="S81" s="1">
        <v>0.46929474263483789</v>
      </c>
      <c r="T81" s="19"/>
      <c r="U81" s="1">
        <v>0.52726405359570971</v>
      </c>
      <c r="V81" s="1">
        <v>0.47273594640429034</v>
      </c>
      <c r="W81" s="1">
        <v>0.47425</v>
      </c>
      <c r="X81" s="1">
        <v>0.52575000000000005</v>
      </c>
      <c r="Y81" s="17"/>
      <c r="Z81" s="12">
        <v>-0.53014053595709709</v>
      </c>
      <c r="AA81" s="12">
        <v>0.53014053595709709</v>
      </c>
      <c r="AB81" s="12">
        <v>-0.28253589936593443</v>
      </c>
      <c r="AC81" s="12">
        <v>-0.24760463659116261</v>
      </c>
      <c r="AD81" s="12">
        <v>0.24879216638228088</v>
      </c>
      <c r="AE81" s="12">
        <v>0.28134836957481618</v>
      </c>
      <c r="AF81" s="17"/>
      <c r="AG81">
        <v>79</v>
      </c>
      <c r="AH81">
        <v>40</v>
      </c>
      <c r="AI81">
        <v>31</v>
      </c>
      <c r="AJ81">
        <v>11</v>
      </c>
      <c r="AK81">
        <v>37</v>
      </c>
    </row>
    <row r="82" spans="1:37" x14ac:dyDescent="0.25">
      <c r="A82">
        <v>80</v>
      </c>
      <c r="B82" t="s">
        <v>227</v>
      </c>
      <c r="C82" t="s">
        <v>196</v>
      </c>
      <c r="D82" t="s">
        <v>225</v>
      </c>
      <c r="E82" t="s">
        <v>214</v>
      </c>
      <c r="F82">
        <v>10</v>
      </c>
      <c r="G82">
        <v>7</v>
      </c>
      <c r="H82" s="17"/>
      <c r="I82" s="1">
        <v>102.59616876685777</v>
      </c>
      <c r="J82" s="1">
        <v>92.589990142659005</v>
      </c>
      <c r="K82" s="1">
        <v>195.18615890951679</v>
      </c>
      <c r="L82" s="1">
        <v>0.52563239801454709</v>
      </c>
      <c r="M82" s="1">
        <v>0.4743676019854528</v>
      </c>
      <c r="N82" s="19"/>
      <c r="O82" s="1">
        <v>95.206735222044372</v>
      </c>
      <c r="P82" s="1">
        <v>99.498174769590307</v>
      </c>
      <c r="Q82" s="1">
        <v>194.70490999163468</v>
      </c>
      <c r="R82" s="1">
        <v>0.4889796319267698</v>
      </c>
      <c r="S82" s="1">
        <v>0.51102036807323015</v>
      </c>
      <c r="T82" s="19"/>
      <c r="U82" s="1">
        <v>0.50554035615262316</v>
      </c>
      <c r="V82" s="1">
        <v>0.4944596438473769</v>
      </c>
      <c r="W82" s="1">
        <v>0.59525000000000006</v>
      </c>
      <c r="X82" s="1">
        <v>0.40475</v>
      </c>
      <c r="Y82" s="17"/>
      <c r="Z82" s="12">
        <v>0.89709643847376896</v>
      </c>
      <c r="AA82" s="12">
        <v>-0.89709643847376896</v>
      </c>
      <c r="AB82" s="12">
        <v>0.42555348626849221</v>
      </c>
      <c r="AC82" s="12">
        <v>0.47154295220527687</v>
      </c>
      <c r="AD82" s="12">
        <v>-0.43866188628771963</v>
      </c>
      <c r="AE82" s="12">
        <v>-0.45843455218604928</v>
      </c>
      <c r="AF82" s="17"/>
      <c r="AG82">
        <v>80</v>
      </c>
      <c r="AH82">
        <v>46</v>
      </c>
      <c r="AI82">
        <v>9</v>
      </c>
      <c r="AJ82">
        <v>41</v>
      </c>
      <c r="AK82">
        <v>28</v>
      </c>
    </row>
    <row r="83" spans="1:37" x14ac:dyDescent="0.25">
      <c r="A83">
        <v>81</v>
      </c>
      <c r="B83" t="s">
        <v>227</v>
      </c>
      <c r="C83" t="s">
        <v>196</v>
      </c>
      <c r="D83" t="s">
        <v>225</v>
      </c>
      <c r="E83" t="s">
        <v>214</v>
      </c>
      <c r="F83">
        <v>10</v>
      </c>
      <c r="G83">
        <v>1</v>
      </c>
      <c r="H83" s="17"/>
      <c r="I83" s="1">
        <v>103.02172225312627</v>
      </c>
      <c r="J83" s="1">
        <v>93.061533094864288</v>
      </c>
      <c r="K83" s="1">
        <v>196.08325534799056</v>
      </c>
      <c r="L83" s="1">
        <v>0.52539785750849954</v>
      </c>
      <c r="M83" s="1">
        <v>0.47460214249150046</v>
      </c>
      <c r="N83" s="19"/>
      <c r="O83" s="1">
        <v>94.768073335756654</v>
      </c>
      <c r="P83" s="1">
        <v>99.039740217404258</v>
      </c>
      <c r="Q83" s="1">
        <v>193.80781355316091</v>
      </c>
      <c r="R83" s="1">
        <v>0.4889796319267698</v>
      </c>
      <c r="S83" s="1">
        <v>0.51102036807323015</v>
      </c>
      <c r="T83" s="19"/>
      <c r="U83" s="1">
        <v>0.5261730466979111</v>
      </c>
      <c r="V83" s="1">
        <v>0.47382695330208885</v>
      </c>
      <c r="W83" s="1">
        <v>1.2717499999999999</v>
      </c>
      <c r="X83" s="1">
        <v>-0.27175000000000005</v>
      </c>
      <c r="Y83" s="17"/>
      <c r="Z83" s="12">
        <v>7.455769533020888</v>
      </c>
      <c r="AA83" s="12">
        <v>-7.455769533020888</v>
      </c>
      <c r="AB83" s="12">
        <v>3.5385241942945673</v>
      </c>
      <c r="AC83" s="12">
        <v>3.9172453387263206</v>
      </c>
      <c r="AD83" s="12">
        <v>-3.645719441987378</v>
      </c>
      <c r="AE83" s="12">
        <v>-3.8100500910335096</v>
      </c>
      <c r="AF83" s="17"/>
      <c r="AG83">
        <v>81</v>
      </c>
      <c r="AH83">
        <v>46</v>
      </c>
      <c r="AI83">
        <v>9</v>
      </c>
      <c r="AJ83">
        <v>41</v>
      </c>
      <c r="AK83">
        <v>28</v>
      </c>
    </row>
    <row r="84" spans="1:37" x14ac:dyDescent="0.25">
      <c r="A84">
        <v>82</v>
      </c>
      <c r="B84" t="s">
        <v>196</v>
      </c>
      <c r="C84" t="s">
        <v>190</v>
      </c>
      <c r="D84" t="s">
        <v>199</v>
      </c>
      <c r="E84" t="s">
        <v>223</v>
      </c>
      <c r="F84">
        <v>3</v>
      </c>
      <c r="G84">
        <v>10</v>
      </c>
      <c r="H84" s="17"/>
      <c r="I84" s="1">
        <v>96.978778433590605</v>
      </c>
      <c r="J84" s="1">
        <v>96.647048727289175</v>
      </c>
      <c r="K84" s="1">
        <v>193.62582716087979</v>
      </c>
      <c r="L84" s="1">
        <v>0.50085662566602174</v>
      </c>
      <c r="M84" s="1">
        <v>0.49914337433397815</v>
      </c>
      <c r="N84" s="19"/>
      <c r="O84" s="1">
        <v>104.11411958657278</v>
      </c>
      <c r="P84" s="1">
        <v>100</v>
      </c>
      <c r="Q84" s="1">
        <v>204.11411958657277</v>
      </c>
      <c r="R84" s="1">
        <v>0.51007798871265209</v>
      </c>
      <c r="S84" s="1">
        <v>0.48992201128734797</v>
      </c>
      <c r="T84" s="19"/>
      <c r="U84" s="1">
        <v>0.38154309278751841</v>
      </c>
      <c r="V84" s="1">
        <v>0.61845690721248159</v>
      </c>
      <c r="W84" s="1">
        <v>6.7749999999999977E-2</v>
      </c>
      <c r="X84" s="1">
        <v>0.93224999999999991</v>
      </c>
      <c r="Y84" s="17"/>
      <c r="Z84" s="12">
        <v>-3.1379309278751846</v>
      </c>
      <c r="AA84" s="12">
        <v>3.1379309278751832</v>
      </c>
      <c r="AB84" s="12">
        <v>-1.5716534961086135</v>
      </c>
      <c r="AC84" s="12">
        <v>-1.5662774317665706</v>
      </c>
      <c r="AD84" s="12">
        <v>1.5373414314653837</v>
      </c>
      <c r="AE84" s="12">
        <v>1.6005894964097995</v>
      </c>
      <c r="AF84" s="17"/>
      <c r="AG84">
        <v>82</v>
      </c>
      <c r="AH84">
        <v>9</v>
      </c>
      <c r="AI84">
        <v>2</v>
      </c>
      <c r="AJ84">
        <v>11</v>
      </c>
      <c r="AK84">
        <v>39</v>
      </c>
    </row>
    <row r="85" spans="1:37" x14ac:dyDescent="0.25">
      <c r="A85">
        <v>83</v>
      </c>
      <c r="B85" t="s">
        <v>196</v>
      </c>
      <c r="C85" t="s">
        <v>190</v>
      </c>
      <c r="D85" t="s">
        <v>199</v>
      </c>
      <c r="E85" t="s">
        <v>223</v>
      </c>
      <c r="F85">
        <v>5</v>
      </c>
      <c r="G85">
        <v>10</v>
      </c>
      <c r="H85" s="17"/>
      <c r="I85" s="1">
        <v>95.407124937481996</v>
      </c>
      <c r="J85" s="1">
        <v>95.080771295522609</v>
      </c>
      <c r="K85" s="1">
        <v>190.48789623300462</v>
      </c>
      <c r="L85" s="1">
        <v>0.50085662566602174</v>
      </c>
      <c r="M85" s="1">
        <v>0.49914337433397815</v>
      </c>
      <c r="N85" s="19"/>
      <c r="O85" s="1">
        <v>105.65146101803816</v>
      </c>
      <c r="P85" s="1">
        <v>101.6005894964098</v>
      </c>
      <c r="Q85" s="1">
        <v>207.25205051444794</v>
      </c>
      <c r="R85" s="1">
        <v>0.50977281409658715</v>
      </c>
      <c r="S85" s="1">
        <v>0.49022718590341291</v>
      </c>
      <c r="T85" s="19"/>
      <c r="U85" s="1">
        <v>0.31604276978302442</v>
      </c>
      <c r="V85" s="1">
        <v>0.68395723021697552</v>
      </c>
      <c r="W85" s="1">
        <v>0.28125</v>
      </c>
      <c r="X85" s="1">
        <v>0.71875</v>
      </c>
      <c r="Y85" s="17"/>
      <c r="Z85" s="12">
        <v>-0.34792769783024424</v>
      </c>
      <c r="AA85" s="12">
        <v>0.3479276978302448</v>
      </c>
      <c r="AB85" s="12">
        <v>-0.17426189271100337</v>
      </c>
      <c r="AC85" s="12">
        <v>-0.17366580511924085</v>
      </c>
      <c r="AD85" s="12">
        <v>0.17056361620517388</v>
      </c>
      <c r="AE85" s="12">
        <v>0.17736408162507092</v>
      </c>
      <c r="AF85" s="17"/>
      <c r="AG85">
        <v>83</v>
      </c>
      <c r="AH85">
        <v>9</v>
      </c>
      <c r="AI85">
        <v>2</v>
      </c>
      <c r="AJ85">
        <v>11</v>
      </c>
      <c r="AK85">
        <v>39</v>
      </c>
    </row>
    <row r="86" spans="1:37" x14ac:dyDescent="0.25">
      <c r="A86">
        <v>84</v>
      </c>
      <c r="B86" t="s">
        <v>227</v>
      </c>
      <c r="C86" t="s">
        <v>225</v>
      </c>
      <c r="D86" t="s">
        <v>224</v>
      </c>
      <c r="E86" t="s">
        <v>200</v>
      </c>
      <c r="F86">
        <v>10</v>
      </c>
      <c r="G86">
        <v>8</v>
      </c>
      <c r="H86" s="17"/>
      <c r="I86" s="1">
        <v>106.56024644742084</v>
      </c>
      <c r="J86" s="1">
        <v>91.122353893769272</v>
      </c>
      <c r="K86" s="1">
        <v>197.6826003411901</v>
      </c>
      <c r="L86" s="1">
        <v>0.53904717088657916</v>
      </c>
      <c r="M86" s="1">
        <v>0.46095282911342089</v>
      </c>
      <c r="N86" s="19"/>
      <c r="O86" s="1">
        <v>105.28452615085557</v>
      </c>
      <c r="P86" s="1">
        <v>103.71572838339243</v>
      </c>
      <c r="Q86" s="1">
        <v>209.000254534248</v>
      </c>
      <c r="R86" s="1">
        <v>0.503753100136072</v>
      </c>
      <c r="S86" s="1">
        <v>0.496246899863928</v>
      </c>
      <c r="T86" s="19"/>
      <c r="U86" s="1">
        <v>0.37257232235858523</v>
      </c>
      <c r="V86" s="1">
        <v>0.62742767764141483</v>
      </c>
      <c r="W86" s="1">
        <v>0.55600000000000005</v>
      </c>
      <c r="X86" s="1">
        <v>0.44400000000000001</v>
      </c>
      <c r="Y86" s="17"/>
      <c r="Z86" s="12">
        <v>1.8342767764141481</v>
      </c>
      <c r="AA86" s="12">
        <v>-1.8342767764141481</v>
      </c>
      <c r="AB86" s="12">
        <v>0.84551506946514721</v>
      </c>
      <c r="AC86" s="12">
        <v>0.9887617069490009</v>
      </c>
      <c r="AD86" s="12">
        <v>-0.92402261262622765</v>
      </c>
      <c r="AE86" s="12">
        <v>-0.91025416378792046</v>
      </c>
      <c r="AF86" s="17"/>
      <c r="AG86">
        <v>84</v>
      </c>
      <c r="AH86">
        <v>46</v>
      </c>
      <c r="AI86">
        <v>41</v>
      </c>
      <c r="AJ86">
        <v>40</v>
      </c>
      <c r="AK86">
        <v>12</v>
      </c>
    </row>
    <row r="87" spans="1:37" x14ac:dyDescent="0.25">
      <c r="A87">
        <v>85</v>
      </c>
      <c r="B87" t="s">
        <v>227</v>
      </c>
      <c r="C87" t="s">
        <v>225</v>
      </c>
      <c r="D87" t="s">
        <v>224</v>
      </c>
      <c r="E87" t="s">
        <v>200</v>
      </c>
      <c r="F87">
        <v>7</v>
      </c>
      <c r="G87">
        <v>10</v>
      </c>
      <c r="H87" s="17"/>
      <c r="I87" s="1">
        <v>107.40576151688599</v>
      </c>
      <c r="J87" s="1">
        <v>92.111115600718279</v>
      </c>
      <c r="K87" s="1">
        <v>199.51687711760428</v>
      </c>
      <c r="L87" s="1">
        <v>0.53832920336647094</v>
      </c>
      <c r="M87" s="1">
        <v>0.461670796633529</v>
      </c>
      <c r="N87" s="19"/>
      <c r="O87" s="1">
        <v>104.36050353822934</v>
      </c>
      <c r="P87" s="1">
        <v>102.80547421960451</v>
      </c>
      <c r="Q87" s="1">
        <v>207.16597775783384</v>
      </c>
      <c r="R87" s="1">
        <v>0.503753100136072</v>
      </c>
      <c r="S87" s="1">
        <v>0.496246899863928</v>
      </c>
      <c r="T87" s="19"/>
      <c r="U87" s="1">
        <v>0.41283591410997073</v>
      </c>
      <c r="V87" s="1">
        <v>0.58716408589002922</v>
      </c>
      <c r="W87" s="1">
        <v>0.40475</v>
      </c>
      <c r="X87" s="1">
        <v>0.59525000000000006</v>
      </c>
      <c r="Y87" s="17"/>
      <c r="Z87" s="12">
        <v>-8.0859141099707266E-2</v>
      </c>
      <c r="AA87" s="12">
        <v>8.0859141099708376E-2</v>
      </c>
      <c r="AB87" s="12">
        <v>-4.3528837013102478E-2</v>
      </c>
      <c r="AC87" s="12">
        <v>-3.7330304086604781E-2</v>
      </c>
      <c r="AD87" s="12">
        <v>4.0126098096390207E-2</v>
      </c>
      <c r="AE87" s="12">
        <v>4.0733043003318169E-2</v>
      </c>
      <c r="AF87" s="17"/>
      <c r="AG87">
        <v>85</v>
      </c>
      <c r="AH87">
        <v>46</v>
      </c>
      <c r="AI87">
        <v>41</v>
      </c>
      <c r="AJ87">
        <v>40</v>
      </c>
      <c r="AK87">
        <v>12</v>
      </c>
    </row>
    <row r="88" spans="1:37" x14ac:dyDescent="0.25">
      <c r="A88">
        <v>86</v>
      </c>
      <c r="B88" t="s">
        <v>230</v>
      </c>
      <c r="C88" t="s">
        <v>212</v>
      </c>
      <c r="D88" t="s">
        <v>222</v>
      </c>
      <c r="E88" t="s">
        <v>196</v>
      </c>
      <c r="F88">
        <v>9</v>
      </c>
      <c r="G88">
        <v>10</v>
      </c>
      <c r="H88" s="17"/>
      <c r="I88" s="1">
        <v>92.267697290004975</v>
      </c>
      <c r="J88" s="1">
        <v>97.780579176900417</v>
      </c>
      <c r="K88" s="1">
        <v>190.04827646690541</v>
      </c>
      <c r="L88" s="1">
        <v>0.48549610133440108</v>
      </c>
      <c r="M88" s="1">
        <v>0.51450389866559887</v>
      </c>
      <c r="N88" s="19"/>
      <c r="O88" s="1">
        <v>92.127908063259142</v>
      </c>
      <c r="P88" s="1">
        <v>95.232863044770994</v>
      </c>
      <c r="Q88" s="1">
        <v>187.36077110803012</v>
      </c>
      <c r="R88" s="1">
        <v>0.49171396722176824</v>
      </c>
      <c r="S88" s="1">
        <v>0.50828603277823181</v>
      </c>
      <c r="T88" s="19"/>
      <c r="U88" s="1">
        <v>0.53090161413092307</v>
      </c>
      <c r="V88" s="1">
        <v>0.46909838586907693</v>
      </c>
      <c r="W88" s="1">
        <v>0.47425</v>
      </c>
      <c r="X88" s="1">
        <v>0.52575000000000005</v>
      </c>
      <c r="Y88" s="17"/>
      <c r="Z88" s="12">
        <v>-0.56651614130923067</v>
      </c>
      <c r="AA88" s="12">
        <v>0.56651614130923122</v>
      </c>
      <c r="AB88" s="12">
        <v>-0.27504137794864014</v>
      </c>
      <c r="AC88" s="12">
        <v>-0.29147476336059053</v>
      </c>
      <c r="AD88" s="12">
        <v>0.28795224197090125</v>
      </c>
      <c r="AE88" s="12">
        <v>0.27856389933832992</v>
      </c>
      <c r="AF88" s="17"/>
      <c r="AG88">
        <v>86</v>
      </c>
      <c r="AH88">
        <v>31</v>
      </c>
      <c r="AI88">
        <v>26</v>
      </c>
      <c r="AJ88">
        <v>37</v>
      </c>
      <c r="AK88">
        <v>9</v>
      </c>
    </row>
    <row r="89" spans="1:37" x14ac:dyDescent="0.25">
      <c r="A89">
        <v>87</v>
      </c>
      <c r="B89" t="s">
        <v>230</v>
      </c>
      <c r="C89" t="s">
        <v>212</v>
      </c>
      <c r="D89" t="s">
        <v>222</v>
      </c>
      <c r="E89" t="s">
        <v>196</v>
      </c>
      <c r="F89">
        <v>10</v>
      </c>
      <c r="G89">
        <v>6</v>
      </c>
      <c r="H89" s="17"/>
      <c r="I89" s="1">
        <v>91.992655912056335</v>
      </c>
      <c r="J89" s="1">
        <v>97.48910441353982</v>
      </c>
      <c r="K89" s="1">
        <v>189.48176032559616</v>
      </c>
      <c r="L89" s="1">
        <v>0.48549610133440113</v>
      </c>
      <c r="M89" s="1">
        <v>0.51450389866559887</v>
      </c>
      <c r="N89" s="19"/>
      <c r="O89" s="1">
        <v>92.415860305230041</v>
      </c>
      <c r="P89" s="1">
        <v>95.511426944109317</v>
      </c>
      <c r="Q89" s="1">
        <v>187.92728724933937</v>
      </c>
      <c r="R89" s="1">
        <v>0.49176392453648271</v>
      </c>
      <c r="S89" s="1">
        <v>0.50823607546351723</v>
      </c>
      <c r="T89" s="19"/>
      <c r="U89" s="1">
        <v>0.51788889390311199</v>
      </c>
      <c r="V89" s="1">
        <v>0.48211110609688806</v>
      </c>
      <c r="W89" s="1">
        <v>0.64800000000000002</v>
      </c>
      <c r="X89" s="1">
        <v>0.35199999999999998</v>
      </c>
      <c r="Y89" s="17"/>
      <c r="Z89" s="12">
        <v>1.3011110609688803</v>
      </c>
      <c r="AA89" s="12">
        <v>-1.3011110609688807</v>
      </c>
      <c r="AB89" s="12">
        <v>0.6694267134654226</v>
      </c>
      <c r="AC89" s="12">
        <v>0.6316843475034577</v>
      </c>
      <c r="AD89" s="12">
        <v>-0.63983948159988357</v>
      </c>
      <c r="AE89" s="12">
        <v>-0.66127157936899705</v>
      </c>
      <c r="AF89" s="17"/>
      <c r="AG89">
        <v>87</v>
      </c>
      <c r="AH89">
        <v>31</v>
      </c>
      <c r="AI89">
        <v>26</v>
      </c>
      <c r="AJ89">
        <v>37</v>
      </c>
      <c r="AK89">
        <v>9</v>
      </c>
    </row>
    <row r="90" spans="1:37" x14ac:dyDescent="0.25">
      <c r="A90">
        <v>88</v>
      </c>
      <c r="B90" t="s">
        <v>191</v>
      </c>
      <c r="C90" t="s">
        <v>236</v>
      </c>
      <c r="D90" t="s">
        <v>208</v>
      </c>
      <c r="E90" t="s">
        <v>215</v>
      </c>
      <c r="F90">
        <v>10</v>
      </c>
      <c r="G90">
        <v>5</v>
      </c>
      <c r="H90" s="17"/>
      <c r="I90" s="1">
        <v>100</v>
      </c>
      <c r="J90" s="1">
        <v>100</v>
      </c>
      <c r="K90" s="1">
        <v>200</v>
      </c>
      <c r="L90" s="1">
        <v>0.5</v>
      </c>
      <c r="M90" s="1">
        <v>0.5</v>
      </c>
      <c r="N90" s="19"/>
      <c r="O90" s="1">
        <v>100.91781215891351</v>
      </c>
      <c r="P90" s="1">
        <v>100.57277765612425</v>
      </c>
      <c r="Q90" s="1">
        <v>201.49058981503777</v>
      </c>
      <c r="R90" s="1">
        <v>0.50085620500467531</v>
      </c>
      <c r="S90" s="1">
        <v>0.49914379499532457</v>
      </c>
      <c r="T90" s="19"/>
      <c r="U90" s="1">
        <v>0.48284568599598854</v>
      </c>
      <c r="V90" s="1">
        <v>0.51715431400401146</v>
      </c>
      <c r="W90" s="1">
        <v>0.71875</v>
      </c>
      <c r="X90" s="1">
        <v>0.28125</v>
      </c>
      <c r="Y90" s="17"/>
      <c r="Z90" s="12">
        <v>2.3590431400401144</v>
      </c>
      <c r="AA90" s="12">
        <v>-2.3590431400401144</v>
      </c>
      <c r="AB90" s="12">
        <v>1.1795215700200572</v>
      </c>
      <c r="AC90" s="12">
        <v>1.1795215700200572</v>
      </c>
      <c r="AD90" s="12">
        <v>-1.1815413945628046</v>
      </c>
      <c r="AE90" s="12">
        <v>-1.1775017454773096</v>
      </c>
      <c r="AF90" s="17"/>
      <c r="AG90">
        <v>88</v>
      </c>
      <c r="AH90">
        <v>4</v>
      </c>
      <c r="AI90">
        <v>48</v>
      </c>
      <c r="AJ90">
        <v>20</v>
      </c>
      <c r="AK90">
        <v>29</v>
      </c>
    </row>
    <row r="91" spans="1:37" x14ac:dyDescent="0.25">
      <c r="A91">
        <v>89</v>
      </c>
      <c r="B91" t="s">
        <v>191</v>
      </c>
      <c r="C91" t="s">
        <v>236</v>
      </c>
      <c r="D91" t="s">
        <v>208</v>
      </c>
      <c r="E91" t="s">
        <v>215</v>
      </c>
      <c r="F91">
        <v>5</v>
      </c>
      <c r="G91">
        <v>10</v>
      </c>
      <c r="H91" s="17"/>
      <c r="I91" s="1">
        <v>101.17952157002006</v>
      </c>
      <c r="J91" s="1">
        <v>101.17952157002006</v>
      </c>
      <c r="K91" s="1">
        <v>202.35904314004011</v>
      </c>
      <c r="L91" s="1">
        <v>0.5</v>
      </c>
      <c r="M91" s="1">
        <v>0.5</v>
      </c>
      <c r="N91" s="19"/>
      <c r="O91" s="1">
        <v>99.736270764350706</v>
      </c>
      <c r="P91" s="1">
        <v>99.39527591064693</v>
      </c>
      <c r="Q91" s="1">
        <v>199.13154667499765</v>
      </c>
      <c r="R91" s="1">
        <v>0.50085620500467543</v>
      </c>
      <c r="S91" s="1">
        <v>0.49914379499532457</v>
      </c>
      <c r="T91" s="19"/>
      <c r="U91" s="1">
        <v>0.53708967118747974</v>
      </c>
      <c r="V91" s="1">
        <v>0.46291032881252026</v>
      </c>
      <c r="W91" s="1">
        <v>0.28125</v>
      </c>
      <c r="X91" s="1">
        <v>0.71875</v>
      </c>
      <c r="Y91" s="17"/>
      <c r="Z91" s="12">
        <v>-2.5583967118747974</v>
      </c>
      <c r="AA91" s="12">
        <v>2.5583967118747974</v>
      </c>
      <c r="AB91" s="12">
        <v>-1.2791983559373987</v>
      </c>
      <c r="AC91" s="12">
        <v>-1.2791983559373987</v>
      </c>
      <c r="AD91" s="12">
        <v>1.2770078438687464</v>
      </c>
      <c r="AE91" s="12">
        <v>1.281388868006051</v>
      </c>
      <c r="AF91" s="17"/>
      <c r="AG91">
        <v>89</v>
      </c>
      <c r="AH91">
        <v>4</v>
      </c>
      <c r="AI91">
        <v>48</v>
      </c>
      <c r="AJ91">
        <v>20</v>
      </c>
      <c r="AK91">
        <v>29</v>
      </c>
    </row>
    <row r="92" spans="1:37" x14ac:dyDescent="0.25">
      <c r="A92">
        <v>90</v>
      </c>
      <c r="B92" t="s">
        <v>227</v>
      </c>
      <c r="C92" t="s">
        <v>225</v>
      </c>
      <c r="D92" t="s">
        <v>222</v>
      </c>
      <c r="E92" t="s">
        <v>199</v>
      </c>
      <c r="F92">
        <v>5</v>
      </c>
      <c r="G92">
        <v>10</v>
      </c>
      <c r="H92" s="17"/>
      <c r="I92" s="1">
        <v>107.36223267987289</v>
      </c>
      <c r="J92" s="1">
        <v>92.073785296631669</v>
      </c>
      <c r="K92" s="1">
        <v>199.43601797650456</v>
      </c>
      <c r="L92" s="1">
        <v>0.53832920336647105</v>
      </c>
      <c r="M92" s="1">
        <v>0.461670796633529</v>
      </c>
      <c r="N92" s="19"/>
      <c r="O92" s="1">
        <v>91.776020823630162</v>
      </c>
      <c r="P92" s="1">
        <v>105.82202463424333</v>
      </c>
      <c r="Q92" s="1">
        <v>197.5980454578735</v>
      </c>
      <c r="R92" s="1">
        <v>0.46445814082303843</v>
      </c>
      <c r="S92" s="1">
        <v>0.53554185917696151</v>
      </c>
      <c r="T92" s="19"/>
      <c r="U92" s="1">
        <v>0.52114781647279917</v>
      </c>
      <c r="V92" s="1">
        <v>0.47885218352720088</v>
      </c>
      <c r="W92" s="1">
        <v>0.28125</v>
      </c>
      <c r="X92" s="1">
        <v>0.71875</v>
      </c>
      <c r="Y92" s="17"/>
      <c r="Z92" s="12">
        <v>-2.3989781647279917</v>
      </c>
      <c r="AA92" s="12">
        <v>2.3989781647279913</v>
      </c>
      <c r="AB92" s="12">
        <v>-1.2914400043115786</v>
      </c>
      <c r="AC92" s="12">
        <v>-1.1075381604164134</v>
      </c>
      <c r="AD92" s="12">
        <v>1.2847532264633637</v>
      </c>
      <c r="AE92" s="12">
        <v>1.1142249382646279</v>
      </c>
      <c r="AF92" s="17"/>
      <c r="AG92">
        <v>90</v>
      </c>
      <c r="AH92">
        <v>46</v>
      </c>
      <c r="AI92">
        <v>41</v>
      </c>
      <c r="AJ92">
        <v>37</v>
      </c>
      <c r="AK92">
        <v>11</v>
      </c>
    </row>
    <row r="93" spans="1:37" x14ac:dyDescent="0.25">
      <c r="A93">
        <v>91</v>
      </c>
      <c r="B93" t="s">
        <v>227</v>
      </c>
      <c r="C93" t="s">
        <v>225</v>
      </c>
      <c r="D93" t="s">
        <v>222</v>
      </c>
      <c r="E93" t="s">
        <v>199</v>
      </c>
      <c r="F93">
        <v>10</v>
      </c>
      <c r="G93">
        <v>5</v>
      </c>
      <c r="H93" s="17"/>
      <c r="I93" s="1">
        <v>106.07079267556131</v>
      </c>
      <c r="J93" s="1">
        <v>90.966247136215259</v>
      </c>
      <c r="K93" s="1">
        <v>197.03703981177657</v>
      </c>
      <c r="L93" s="1">
        <v>0.53832920336647094</v>
      </c>
      <c r="M93" s="1">
        <v>0.461670796633529</v>
      </c>
      <c r="N93" s="19"/>
      <c r="O93" s="1">
        <v>93.060774050093528</v>
      </c>
      <c r="P93" s="1">
        <v>106.93624957250796</v>
      </c>
      <c r="Q93" s="1">
        <v>199.99702362260149</v>
      </c>
      <c r="R93" s="1">
        <v>0.46531079495313454</v>
      </c>
      <c r="S93" s="1">
        <v>0.53468920504686546</v>
      </c>
      <c r="T93" s="19"/>
      <c r="U93" s="1">
        <v>0.46597459631801286</v>
      </c>
      <c r="V93" s="1">
        <v>0.53402540368198725</v>
      </c>
      <c r="W93" s="1">
        <v>0.71875</v>
      </c>
      <c r="X93" s="1">
        <v>0.28125</v>
      </c>
      <c r="Y93" s="17"/>
      <c r="Z93" s="12">
        <v>2.5277540368198714</v>
      </c>
      <c r="AA93" s="12">
        <v>-2.5277540368198723</v>
      </c>
      <c r="AB93" s="12">
        <v>1.166990219872249</v>
      </c>
      <c r="AC93" s="12">
        <v>1.3607638169476228</v>
      </c>
      <c r="AD93" s="12">
        <v>-1.1761912403186496</v>
      </c>
      <c r="AE93" s="12">
        <v>-1.3515627965012227</v>
      </c>
      <c r="AF93" s="17"/>
      <c r="AG93">
        <v>91</v>
      </c>
      <c r="AH93">
        <v>46</v>
      </c>
      <c r="AI93">
        <v>41</v>
      </c>
      <c r="AJ93">
        <v>37</v>
      </c>
      <c r="AK93">
        <v>11</v>
      </c>
    </row>
    <row r="94" spans="1:37" x14ac:dyDescent="0.25">
      <c r="A94">
        <v>92</v>
      </c>
      <c r="B94" t="s">
        <v>208</v>
      </c>
      <c r="C94" t="s">
        <v>225</v>
      </c>
      <c r="D94" t="s">
        <v>224</v>
      </c>
      <c r="E94" t="s">
        <v>214</v>
      </c>
      <c r="F94">
        <v>10</v>
      </c>
      <c r="G94">
        <v>9</v>
      </c>
      <c r="H94" s="17"/>
      <c r="I94" s="1">
        <v>101.01327860821945</v>
      </c>
      <c r="J94" s="1">
        <v>92.327010953162883</v>
      </c>
      <c r="K94" s="1">
        <v>193.34028956138235</v>
      </c>
      <c r="L94" s="1">
        <v>0.52246367706069563</v>
      </c>
      <c r="M94" s="1">
        <v>0.47753632293930431</v>
      </c>
      <c r="N94" s="19"/>
      <c r="O94" s="1">
        <v>104.40062963632573</v>
      </c>
      <c r="P94" s="1">
        <v>95.229690126370755</v>
      </c>
      <c r="Q94" s="1">
        <v>199.6303197626965</v>
      </c>
      <c r="R94" s="1">
        <v>0.52296980619190658</v>
      </c>
      <c r="S94" s="1">
        <v>0.47703019380809331</v>
      </c>
      <c r="T94" s="19"/>
      <c r="U94" s="1">
        <v>0.42808549196372664</v>
      </c>
      <c r="V94" s="1">
        <v>0.57191450803627331</v>
      </c>
      <c r="W94" s="1">
        <v>0.52575000000000005</v>
      </c>
      <c r="X94" s="1">
        <v>0.47425</v>
      </c>
      <c r="Y94" s="17"/>
      <c r="Z94" s="12">
        <v>0.97664508036273412</v>
      </c>
      <c r="AA94" s="12">
        <v>-0.97664508036273301</v>
      </c>
      <c r="AB94" s="12">
        <v>0.46638350049318145</v>
      </c>
      <c r="AC94" s="12">
        <v>0.51026157986955267</v>
      </c>
      <c r="AD94" s="12">
        <v>-0.51075588839557751</v>
      </c>
      <c r="AE94" s="12">
        <v>-0.46588919196715539</v>
      </c>
      <c r="AF94" s="17"/>
      <c r="AG94">
        <v>92</v>
      </c>
      <c r="AH94">
        <v>20</v>
      </c>
      <c r="AI94">
        <v>41</v>
      </c>
      <c r="AJ94">
        <v>40</v>
      </c>
      <c r="AK94">
        <v>28</v>
      </c>
    </row>
    <row r="95" spans="1:37" x14ac:dyDescent="0.25">
      <c r="A95">
        <v>93</v>
      </c>
      <c r="B95" t="s">
        <v>208</v>
      </c>
      <c r="C95" t="s">
        <v>225</v>
      </c>
      <c r="D95" t="s">
        <v>224</v>
      </c>
      <c r="E95" t="s">
        <v>214</v>
      </c>
      <c r="F95">
        <v>10</v>
      </c>
      <c r="G95">
        <v>7</v>
      </c>
      <c r="H95" s="17"/>
      <c r="I95" s="1">
        <v>101.47966210871263</v>
      </c>
      <c r="J95" s="1">
        <v>92.837272533032433</v>
      </c>
      <c r="K95" s="1">
        <v>194.31693464174506</v>
      </c>
      <c r="L95" s="1">
        <v>0.52223787029065138</v>
      </c>
      <c r="M95" s="1">
        <v>0.47776212970934867</v>
      </c>
      <c r="N95" s="19"/>
      <c r="O95" s="1">
        <v>103.88987374793015</v>
      </c>
      <c r="P95" s="1">
        <v>94.763800934403605</v>
      </c>
      <c r="Q95" s="1">
        <v>198.65367468233376</v>
      </c>
      <c r="R95" s="1">
        <v>0.52296980619190658</v>
      </c>
      <c r="S95" s="1">
        <v>0.47703019380809336</v>
      </c>
      <c r="T95" s="19"/>
      <c r="U95" s="1">
        <v>0.45023672922988794</v>
      </c>
      <c r="V95" s="1">
        <v>0.549763270770112</v>
      </c>
      <c r="W95" s="1">
        <v>0.59525000000000006</v>
      </c>
      <c r="X95" s="1">
        <v>0.40475</v>
      </c>
      <c r="Y95" s="17"/>
      <c r="Z95" s="12">
        <v>1.4501327077011212</v>
      </c>
      <c r="AA95" s="12">
        <v>-1.4501327077011199</v>
      </c>
      <c r="AB95" s="12">
        <v>0.69281849079247204</v>
      </c>
      <c r="AC95" s="12">
        <v>0.7573142169086492</v>
      </c>
      <c r="AD95" s="12">
        <v>-0.75837562109899936</v>
      </c>
      <c r="AE95" s="12">
        <v>-0.69175708660212043</v>
      </c>
      <c r="AF95" s="17"/>
      <c r="AG95">
        <v>93</v>
      </c>
      <c r="AH95">
        <v>20</v>
      </c>
      <c r="AI95">
        <v>41</v>
      </c>
      <c r="AJ95">
        <v>40</v>
      </c>
      <c r="AK95">
        <v>28</v>
      </c>
    </row>
    <row r="96" spans="1:37" x14ac:dyDescent="0.25">
      <c r="A96">
        <v>94</v>
      </c>
      <c r="B96" t="s">
        <v>230</v>
      </c>
      <c r="C96" t="s">
        <v>196</v>
      </c>
      <c r="D96" t="s">
        <v>222</v>
      </c>
      <c r="E96" t="s">
        <v>192</v>
      </c>
      <c r="F96">
        <v>7</v>
      </c>
      <c r="G96">
        <v>10</v>
      </c>
      <c r="H96" s="17"/>
      <c r="I96" s="1">
        <v>92.662082625521762</v>
      </c>
      <c r="J96" s="1">
        <v>94.850155364740317</v>
      </c>
      <c r="K96" s="1">
        <v>187.51223799026207</v>
      </c>
      <c r="L96" s="1">
        <v>0.49416552017438942</v>
      </c>
      <c r="M96" s="1">
        <v>0.50583447982561058</v>
      </c>
      <c r="N96" s="19"/>
      <c r="O96" s="1">
        <v>91.884582809774884</v>
      </c>
      <c r="P96" s="1">
        <v>113.3289008703652</v>
      </c>
      <c r="Q96" s="1">
        <v>205.21348368014009</v>
      </c>
      <c r="R96" s="1">
        <v>0.44775119627613036</v>
      </c>
      <c r="S96" s="1">
        <v>0.55224880372386964</v>
      </c>
      <c r="T96" s="19"/>
      <c r="U96" s="1">
        <v>0.30678936626363895</v>
      </c>
      <c r="V96" s="1">
        <v>0.69321063373636105</v>
      </c>
      <c r="W96" s="1">
        <v>0.40475</v>
      </c>
      <c r="X96" s="1">
        <v>0.59525000000000006</v>
      </c>
      <c r="Y96" s="17"/>
      <c r="Z96" s="12">
        <v>0.97960633736361047</v>
      </c>
      <c r="AA96" s="12">
        <v>-0.97960633736360991</v>
      </c>
      <c r="AB96" s="12">
        <v>0.49551866209419348</v>
      </c>
      <c r="AC96" s="12">
        <v>0.48408767526941698</v>
      </c>
      <c r="AD96" s="12">
        <v>-0.4386199094342349</v>
      </c>
      <c r="AE96" s="12">
        <v>-0.54098642792937501</v>
      </c>
      <c r="AF96" s="17"/>
      <c r="AG96">
        <v>94</v>
      </c>
      <c r="AH96">
        <v>31</v>
      </c>
      <c r="AI96">
        <v>9</v>
      </c>
      <c r="AJ96">
        <v>37</v>
      </c>
      <c r="AK96">
        <v>5</v>
      </c>
    </row>
    <row r="97" spans="1:37" x14ac:dyDescent="0.25">
      <c r="A97">
        <v>95</v>
      </c>
      <c r="B97" t="s">
        <v>230</v>
      </c>
      <c r="C97" t="s">
        <v>196</v>
      </c>
      <c r="D97" t="s">
        <v>222</v>
      </c>
      <c r="E97" t="s">
        <v>192</v>
      </c>
      <c r="F97">
        <v>3</v>
      </c>
      <c r="G97">
        <v>10</v>
      </c>
      <c r="H97" s="17"/>
      <c r="I97" s="1">
        <v>93.157601287615961</v>
      </c>
      <c r="J97" s="1">
        <v>95.334243040009738</v>
      </c>
      <c r="K97" s="1">
        <v>188.4918443276257</v>
      </c>
      <c r="L97" s="1">
        <v>0.4942261646381621</v>
      </c>
      <c r="M97" s="1">
        <v>0.50577383536183784</v>
      </c>
      <c r="N97" s="19"/>
      <c r="O97" s="1">
        <v>91.445962900340646</v>
      </c>
      <c r="P97" s="1">
        <v>112.78791444243583</v>
      </c>
      <c r="Q97" s="1">
        <v>204.23387734277648</v>
      </c>
      <c r="R97" s="1">
        <v>0.44775119627613036</v>
      </c>
      <c r="S97" s="1">
        <v>0.55224880372386964</v>
      </c>
      <c r="T97" s="19"/>
      <c r="U97" s="1">
        <v>0.3263044610543176</v>
      </c>
      <c r="V97" s="1">
        <v>0.67369553894568246</v>
      </c>
      <c r="W97" s="1">
        <v>6.7749999999999977E-2</v>
      </c>
      <c r="X97" s="1">
        <v>0.93224999999999991</v>
      </c>
      <c r="Y97" s="17"/>
      <c r="Z97" s="12">
        <v>-2.5855446105431761</v>
      </c>
      <c r="AA97" s="12">
        <v>2.5855446105431747</v>
      </c>
      <c r="AB97" s="12">
        <v>-1.2778437963696245</v>
      </c>
      <c r="AC97" s="12">
        <v>-1.3077008141735516</v>
      </c>
      <c r="AD97" s="12">
        <v>1.4278639181471666</v>
      </c>
      <c r="AE97" s="12">
        <v>1.1576806923960081</v>
      </c>
      <c r="AF97" s="17"/>
      <c r="AG97">
        <v>95</v>
      </c>
      <c r="AH97">
        <v>31</v>
      </c>
      <c r="AI97">
        <v>9</v>
      </c>
      <c r="AJ97">
        <v>37</v>
      </c>
      <c r="AK97">
        <v>5</v>
      </c>
    </row>
    <row r="98" spans="1:37" x14ac:dyDescent="0.25">
      <c r="A98">
        <v>96</v>
      </c>
      <c r="B98" t="s">
        <v>227</v>
      </c>
      <c r="C98" t="s">
        <v>190</v>
      </c>
      <c r="D98" t="s">
        <v>225</v>
      </c>
      <c r="E98" t="s">
        <v>208</v>
      </c>
      <c r="F98">
        <v>9</v>
      </c>
      <c r="G98">
        <v>10</v>
      </c>
      <c r="H98" s="17"/>
      <c r="I98" s="1">
        <v>107.23778289543355</v>
      </c>
      <c r="J98" s="1">
        <v>94.907105490403367</v>
      </c>
      <c r="K98" s="1">
        <v>202.14488838583691</v>
      </c>
      <c r="L98" s="1">
        <v>0.53049960229885817</v>
      </c>
      <c r="M98" s="1">
        <v>0.46950039770114188</v>
      </c>
      <c r="N98" s="19"/>
      <c r="O98" s="1">
        <v>93.594586749941087</v>
      </c>
      <c r="P98" s="1">
        <v>102.17248059950511</v>
      </c>
      <c r="Q98" s="1">
        <v>195.76706734944619</v>
      </c>
      <c r="R98" s="1">
        <v>0.4780915810669718</v>
      </c>
      <c r="S98" s="1">
        <v>0.5219084189330282</v>
      </c>
      <c r="T98" s="19"/>
      <c r="U98" s="1">
        <v>0.57290403958696945</v>
      </c>
      <c r="V98" s="1">
        <v>0.42709596041303055</v>
      </c>
      <c r="W98" s="1">
        <v>0.47425</v>
      </c>
      <c r="X98" s="1">
        <v>0.52575000000000005</v>
      </c>
      <c r="Y98" s="17"/>
      <c r="Z98" s="12">
        <v>-0.98654039586969444</v>
      </c>
      <c r="AA98" s="12">
        <v>0.986540395869695</v>
      </c>
      <c r="AB98" s="12">
        <v>-0.523359287660631</v>
      </c>
      <c r="AC98" s="12">
        <v>-0.4631811082090635</v>
      </c>
      <c r="AD98" s="12">
        <v>0.51488373822191624</v>
      </c>
      <c r="AE98" s="12">
        <v>0.47165665764777875</v>
      </c>
      <c r="AF98" s="17"/>
      <c r="AG98">
        <v>96</v>
      </c>
      <c r="AH98">
        <v>46</v>
      </c>
      <c r="AI98">
        <v>2</v>
      </c>
      <c r="AJ98">
        <v>41</v>
      </c>
      <c r="AK98">
        <v>20</v>
      </c>
    </row>
    <row r="99" spans="1:37" x14ac:dyDescent="0.25">
      <c r="A99">
        <v>97</v>
      </c>
      <c r="B99" t="s">
        <v>227</v>
      </c>
      <c r="C99" t="s">
        <v>190</v>
      </c>
      <c r="D99" t="s">
        <v>225</v>
      </c>
      <c r="E99" t="s">
        <v>208</v>
      </c>
      <c r="F99">
        <v>10</v>
      </c>
      <c r="G99">
        <v>5</v>
      </c>
      <c r="H99" s="17"/>
      <c r="I99" s="1">
        <v>106.71442360777293</v>
      </c>
      <c r="J99" s="1">
        <v>94.443924382194311</v>
      </c>
      <c r="K99" s="1">
        <v>201.15834798996724</v>
      </c>
      <c r="L99" s="1">
        <v>0.53049960229885817</v>
      </c>
      <c r="M99" s="1">
        <v>0.46950039770114188</v>
      </c>
      <c r="N99" s="19"/>
      <c r="O99" s="1">
        <v>94.109470488162998</v>
      </c>
      <c r="P99" s="1">
        <v>102.64413725715289</v>
      </c>
      <c r="Q99" s="1">
        <v>196.75360774531589</v>
      </c>
      <c r="R99" s="1">
        <v>0.47831128265755252</v>
      </c>
      <c r="S99" s="1">
        <v>0.52168871734244748</v>
      </c>
      <c r="T99" s="19"/>
      <c r="U99" s="1">
        <v>0.55053827578894643</v>
      </c>
      <c r="V99" s="1">
        <v>0.44946172421105357</v>
      </c>
      <c r="W99" s="1">
        <v>0.71875</v>
      </c>
      <c r="X99" s="1">
        <v>0.28125</v>
      </c>
      <c r="Y99" s="17"/>
      <c r="Z99" s="12">
        <v>1.6821172421105357</v>
      </c>
      <c r="AA99" s="12">
        <v>-1.6821172421105357</v>
      </c>
      <c r="AB99" s="12">
        <v>0.78975471415084442</v>
      </c>
      <c r="AC99" s="12">
        <v>0.89236252795969129</v>
      </c>
      <c r="AD99" s="12">
        <v>-0.80457565565427513</v>
      </c>
      <c r="AE99" s="12">
        <v>-0.87754158645626057</v>
      </c>
      <c r="AF99" s="17"/>
      <c r="AG99">
        <v>97</v>
      </c>
      <c r="AH99">
        <v>46</v>
      </c>
      <c r="AI99">
        <v>2</v>
      </c>
      <c r="AJ99">
        <v>41</v>
      </c>
      <c r="AK99">
        <v>20</v>
      </c>
    </row>
    <row r="100" spans="1:37" x14ac:dyDescent="0.25">
      <c r="A100">
        <v>98</v>
      </c>
      <c r="B100" t="s">
        <v>196</v>
      </c>
      <c r="C100" t="s">
        <v>214</v>
      </c>
      <c r="D100" t="s">
        <v>225</v>
      </c>
      <c r="E100" t="s">
        <v>222</v>
      </c>
      <c r="F100">
        <v>5</v>
      </c>
      <c r="G100">
        <v>10</v>
      </c>
      <c r="H100" s="17"/>
      <c r="I100" s="1">
        <v>94.026542225836181</v>
      </c>
      <c r="J100" s="1">
        <v>94.072043847801481</v>
      </c>
      <c r="K100" s="1">
        <v>188.09858607363765</v>
      </c>
      <c r="L100" s="1">
        <v>0.4998790484742201</v>
      </c>
      <c r="M100" s="1">
        <v>0.50012095152577996</v>
      </c>
      <c r="N100" s="19"/>
      <c r="O100" s="1">
        <v>93.304894832508722</v>
      </c>
      <c r="P100" s="1">
        <v>92.873826818487814</v>
      </c>
      <c r="Q100" s="1">
        <v>186.17872165099652</v>
      </c>
      <c r="R100" s="1">
        <v>0.50115767261209632</v>
      </c>
      <c r="S100" s="1">
        <v>0.49884232738790374</v>
      </c>
      <c r="T100" s="19"/>
      <c r="U100" s="1">
        <v>0.52208886907001995</v>
      </c>
      <c r="V100" s="1">
        <v>0.47791113092998005</v>
      </c>
      <c r="W100" s="1">
        <v>0.28125</v>
      </c>
      <c r="X100" s="1">
        <v>0.71875</v>
      </c>
      <c r="Y100" s="17"/>
      <c r="Z100" s="12">
        <v>-2.4083886907001997</v>
      </c>
      <c r="AA100" s="12">
        <v>2.4083886907001997</v>
      </c>
      <c r="AB100" s="12">
        <v>-1.2039030470632885</v>
      </c>
      <c r="AC100" s="12">
        <v>-1.2044856436369111</v>
      </c>
      <c r="AD100" s="12">
        <v>1.2014062197235937</v>
      </c>
      <c r="AE100" s="12">
        <v>1.2069824709766059</v>
      </c>
      <c r="AF100" s="17"/>
      <c r="AG100">
        <v>98</v>
      </c>
      <c r="AH100">
        <v>9</v>
      </c>
      <c r="AI100">
        <v>28</v>
      </c>
      <c r="AJ100">
        <v>41</v>
      </c>
      <c r="AK100">
        <v>37</v>
      </c>
    </row>
    <row r="101" spans="1:37" x14ac:dyDescent="0.25">
      <c r="A101">
        <v>99</v>
      </c>
      <c r="B101" t="s">
        <v>196</v>
      </c>
      <c r="C101" t="s">
        <v>214</v>
      </c>
      <c r="D101" t="s">
        <v>225</v>
      </c>
      <c r="E101" t="s">
        <v>222</v>
      </c>
      <c r="F101">
        <v>6</v>
      </c>
      <c r="G101">
        <v>10</v>
      </c>
      <c r="H101" s="17"/>
      <c r="I101" s="1">
        <v>92.822639178772889</v>
      </c>
      <c r="J101" s="1">
        <v>92.867558204164567</v>
      </c>
      <c r="K101" s="1">
        <v>185.69019738293747</v>
      </c>
      <c r="L101" s="1">
        <v>0.49987904847422004</v>
      </c>
      <c r="M101" s="1">
        <v>0.50012095152577984</v>
      </c>
      <c r="N101" s="19"/>
      <c r="O101" s="1">
        <v>94.506301052232317</v>
      </c>
      <c r="P101" s="1">
        <v>94.080809289464426</v>
      </c>
      <c r="Q101" s="1">
        <v>188.58711034169676</v>
      </c>
      <c r="R101" s="1">
        <v>0.50112810404167318</v>
      </c>
      <c r="S101" s="1">
        <v>0.49887189595832671</v>
      </c>
      <c r="T101" s="19"/>
      <c r="U101" s="1">
        <v>0.46669743462047053</v>
      </c>
      <c r="V101" s="1">
        <v>0.53330256537952947</v>
      </c>
      <c r="W101" s="1">
        <v>0.35199999999999998</v>
      </c>
      <c r="X101" s="1">
        <v>0.64800000000000002</v>
      </c>
      <c r="Y101" s="17"/>
      <c r="Z101" s="12">
        <v>-1.1469743462047055</v>
      </c>
      <c r="AA101" s="12">
        <v>1.1469743462047055</v>
      </c>
      <c r="AB101" s="12">
        <v>-0.57334844480514879</v>
      </c>
      <c r="AC101" s="12">
        <v>-0.5736259013995566</v>
      </c>
      <c r="AD101" s="12">
        <v>0.57219326670670378</v>
      </c>
      <c r="AE101" s="12">
        <v>0.57478107949800183</v>
      </c>
      <c r="AF101" s="17"/>
      <c r="AG101">
        <v>99</v>
      </c>
      <c r="AH101">
        <v>9</v>
      </c>
      <c r="AI101">
        <v>28</v>
      </c>
      <c r="AJ101">
        <v>41</v>
      </c>
      <c r="AK101">
        <v>37</v>
      </c>
    </row>
    <row r="102" spans="1:37" x14ac:dyDescent="0.25">
      <c r="A102">
        <v>100</v>
      </c>
      <c r="B102" t="s">
        <v>227</v>
      </c>
      <c r="C102" t="s">
        <v>214</v>
      </c>
      <c r="D102" t="s">
        <v>196</v>
      </c>
      <c r="E102" t="s">
        <v>192</v>
      </c>
      <c r="F102">
        <v>5</v>
      </c>
      <c r="G102">
        <v>10</v>
      </c>
      <c r="H102" s="17"/>
      <c r="I102" s="1">
        <v>107.50417832192377</v>
      </c>
      <c r="J102" s="1">
        <v>92.293932302765015</v>
      </c>
      <c r="K102" s="1">
        <v>199.79811062468877</v>
      </c>
      <c r="L102" s="1">
        <v>0.53806403867284436</v>
      </c>
      <c r="M102" s="1">
        <v>0.4619359613271557</v>
      </c>
      <c r="N102" s="19"/>
      <c r="O102" s="1">
        <v>92.24929073396774</v>
      </c>
      <c r="P102" s="1">
        <v>113.94559513483185</v>
      </c>
      <c r="Q102" s="1">
        <v>206.19488586879959</v>
      </c>
      <c r="R102" s="1">
        <v>0.44738883966630161</v>
      </c>
      <c r="S102" s="1">
        <v>0.55261116033369839</v>
      </c>
      <c r="T102" s="19"/>
      <c r="U102" s="1">
        <v>0.42688239495820479</v>
      </c>
      <c r="V102" s="1">
        <v>0.57311760504179521</v>
      </c>
      <c r="W102" s="1">
        <v>0.28125</v>
      </c>
      <c r="X102" s="1">
        <v>0.71875</v>
      </c>
      <c r="Y102" s="17"/>
      <c r="Z102" s="12">
        <v>-1.4563239495820479</v>
      </c>
      <c r="AA102" s="12">
        <v>1.4563239495820479</v>
      </c>
      <c r="AB102" s="12">
        <v>-0.78359554592810443</v>
      </c>
      <c r="AC102" s="12">
        <v>-0.67272840365394349</v>
      </c>
      <c r="AD102" s="12">
        <v>0.80478086760029</v>
      </c>
      <c r="AE102" s="12">
        <v>0.65154308198175792</v>
      </c>
      <c r="AF102" s="17"/>
      <c r="AG102">
        <v>100</v>
      </c>
      <c r="AH102">
        <v>46</v>
      </c>
      <c r="AI102">
        <v>28</v>
      </c>
      <c r="AJ102">
        <v>9</v>
      </c>
      <c r="AK102">
        <v>5</v>
      </c>
    </row>
    <row r="103" spans="1:37" x14ac:dyDescent="0.25">
      <c r="A103">
        <v>101</v>
      </c>
      <c r="B103" t="s">
        <v>227</v>
      </c>
      <c r="C103" t="s">
        <v>214</v>
      </c>
      <c r="D103" t="s">
        <v>196</v>
      </c>
      <c r="E103" t="s">
        <v>192</v>
      </c>
      <c r="F103">
        <v>5</v>
      </c>
      <c r="G103">
        <v>10</v>
      </c>
      <c r="H103" s="17"/>
      <c r="I103" s="1">
        <v>106.72058277599567</v>
      </c>
      <c r="J103" s="1">
        <v>91.621203899111066</v>
      </c>
      <c r="K103" s="1">
        <v>198.34178667510673</v>
      </c>
      <c r="L103" s="1">
        <v>0.53806403867284436</v>
      </c>
      <c r="M103" s="1">
        <v>0.4619359613271557</v>
      </c>
      <c r="N103" s="19"/>
      <c r="O103" s="1">
        <v>93.054071601568026</v>
      </c>
      <c r="P103" s="1">
        <v>114.5971382168136</v>
      </c>
      <c r="Q103" s="1">
        <v>207.65120981838163</v>
      </c>
      <c r="R103" s="1">
        <v>0.44812679725273974</v>
      </c>
      <c r="S103" s="1">
        <v>0.55187320274726026</v>
      </c>
      <c r="T103" s="19"/>
      <c r="U103" s="1">
        <v>0.39443327217974011</v>
      </c>
      <c r="V103" s="1">
        <v>0.60556672782025989</v>
      </c>
      <c r="W103" s="1">
        <v>0.28125</v>
      </c>
      <c r="X103" s="1">
        <v>0.71875</v>
      </c>
      <c r="Y103" s="17"/>
      <c r="Z103" s="12">
        <v>-1.1318327217974011</v>
      </c>
      <c r="AA103" s="12">
        <v>1.1318327217974011</v>
      </c>
      <c r="AB103" s="12">
        <v>-0.60899848539238755</v>
      </c>
      <c r="AC103" s="12">
        <v>-0.5228342364050137</v>
      </c>
      <c r="AD103" s="12">
        <v>0.62462814915248055</v>
      </c>
      <c r="AE103" s="12">
        <v>0.50720457264492058</v>
      </c>
      <c r="AF103" s="17"/>
      <c r="AG103">
        <v>101</v>
      </c>
      <c r="AH103">
        <v>46</v>
      </c>
      <c r="AI103">
        <v>28</v>
      </c>
      <c r="AJ103">
        <v>9</v>
      </c>
      <c r="AK103">
        <v>5</v>
      </c>
    </row>
    <row r="104" spans="1:37" x14ac:dyDescent="0.25">
      <c r="A104">
        <v>102</v>
      </c>
      <c r="B104" t="s">
        <v>199</v>
      </c>
      <c r="C104" t="s">
        <v>222</v>
      </c>
      <c r="D104" t="s">
        <v>208</v>
      </c>
      <c r="E104" t="s">
        <v>225</v>
      </c>
      <c r="F104">
        <v>10</v>
      </c>
      <c r="G104">
        <v>9</v>
      </c>
      <c r="H104" s="17"/>
      <c r="I104" s="1">
        <v>105.58468677600673</v>
      </c>
      <c r="J104" s="1">
        <v>94.655590368962422</v>
      </c>
      <c r="K104" s="1">
        <v>200.24027714496916</v>
      </c>
      <c r="L104" s="1">
        <v>0.52728995525493583</v>
      </c>
      <c r="M104" s="1">
        <v>0.47271004474506417</v>
      </c>
      <c r="N104" s="19"/>
      <c r="O104" s="1">
        <v>101.76659567069663</v>
      </c>
      <c r="P104" s="1">
        <v>95.078494318939022</v>
      </c>
      <c r="Q104" s="1">
        <v>196.84508998963565</v>
      </c>
      <c r="R104" s="1">
        <v>0.5169882351449806</v>
      </c>
      <c r="S104" s="1">
        <v>0.48301176485501934</v>
      </c>
      <c r="T104" s="19"/>
      <c r="U104" s="1">
        <v>0.53900909897081772</v>
      </c>
      <c r="V104" s="1">
        <v>0.46099090102918233</v>
      </c>
      <c r="W104" s="1">
        <v>0.52575000000000005</v>
      </c>
      <c r="X104" s="1">
        <v>0.47425</v>
      </c>
      <c r="Y104" s="17"/>
      <c r="Z104" s="12">
        <v>-0.13259098970817673</v>
      </c>
      <c r="AA104" s="12">
        <v>0.13259098970817673</v>
      </c>
      <c r="AB104" s="12">
        <v>-6.9913897030432159E-2</v>
      </c>
      <c r="AC104" s="12">
        <v>-6.2677092677744572E-2</v>
      </c>
      <c r="AD104" s="12">
        <v>6.4043007942820154E-2</v>
      </c>
      <c r="AE104" s="12">
        <v>6.8547981765356578E-2</v>
      </c>
      <c r="AF104" s="17"/>
      <c r="AG104">
        <v>102</v>
      </c>
      <c r="AH104">
        <v>11</v>
      </c>
      <c r="AI104">
        <v>37</v>
      </c>
      <c r="AJ104">
        <v>20</v>
      </c>
      <c r="AK104">
        <v>41</v>
      </c>
    </row>
    <row r="105" spans="1:37" x14ac:dyDescent="0.25">
      <c r="A105">
        <v>103</v>
      </c>
      <c r="B105" t="s">
        <v>199</v>
      </c>
      <c r="C105" t="s">
        <v>222</v>
      </c>
      <c r="D105" t="s">
        <v>208</v>
      </c>
      <c r="E105" t="s">
        <v>225</v>
      </c>
      <c r="F105">
        <v>7</v>
      </c>
      <c r="G105">
        <v>10</v>
      </c>
      <c r="H105" s="17"/>
      <c r="I105" s="1">
        <v>105.5147728789763</v>
      </c>
      <c r="J105" s="1">
        <v>94.592913276284676</v>
      </c>
      <c r="K105" s="1">
        <v>200.10768615526098</v>
      </c>
      <c r="L105" s="1">
        <v>0.52728995525493583</v>
      </c>
      <c r="M105" s="1">
        <v>0.47271004474506417</v>
      </c>
      <c r="N105" s="19"/>
      <c r="O105" s="1">
        <v>101.83063867863945</v>
      </c>
      <c r="P105" s="1">
        <v>95.147042300704385</v>
      </c>
      <c r="Q105" s="1">
        <v>196.97768097934383</v>
      </c>
      <c r="R105" s="1">
        <v>0.51696536466645671</v>
      </c>
      <c r="S105" s="1">
        <v>0.48303463533354335</v>
      </c>
      <c r="T105" s="19"/>
      <c r="U105" s="1">
        <v>0.53597325335723034</v>
      </c>
      <c r="V105" s="1">
        <v>0.46402674664276961</v>
      </c>
      <c r="W105" s="1">
        <v>0.40475</v>
      </c>
      <c r="X105" s="1">
        <v>0.59525000000000006</v>
      </c>
      <c r="Y105" s="17"/>
      <c r="Z105" s="12">
        <v>-1.3122325335723035</v>
      </c>
      <c r="AA105" s="12">
        <v>1.3122325335723044</v>
      </c>
      <c r="AB105" s="12">
        <v>-0.69192703391141097</v>
      </c>
      <c r="AC105" s="12">
        <v>-0.62030549966089255</v>
      </c>
      <c r="AD105" s="12">
        <v>0.63385376332690968</v>
      </c>
      <c r="AE105" s="12">
        <v>0.67837877024539472</v>
      </c>
      <c r="AF105" s="17"/>
      <c r="AG105">
        <v>103</v>
      </c>
      <c r="AH105">
        <v>11</v>
      </c>
      <c r="AI105">
        <v>37</v>
      </c>
      <c r="AJ105">
        <v>20</v>
      </c>
      <c r="AK105">
        <v>41</v>
      </c>
    </row>
    <row r="106" spans="1:37" x14ac:dyDescent="0.25">
      <c r="A106">
        <v>104</v>
      </c>
      <c r="B106" t="s">
        <v>227</v>
      </c>
      <c r="C106" t="s">
        <v>214</v>
      </c>
      <c r="D106" t="s">
        <v>200</v>
      </c>
      <c r="E106" t="s">
        <v>225</v>
      </c>
      <c r="F106">
        <v>6</v>
      </c>
      <c r="G106">
        <v>10</v>
      </c>
      <c r="H106" s="17"/>
      <c r="I106" s="1">
        <v>106.11158429060328</v>
      </c>
      <c r="J106" s="1">
        <v>91.098369662706048</v>
      </c>
      <c r="K106" s="1">
        <v>197.20995395330931</v>
      </c>
      <c r="L106" s="1">
        <v>0.53806403867284436</v>
      </c>
      <c r="M106" s="1">
        <v>0.4619359613271557</v>
      </c>
      <c r="N106" s="19"/>
      <c r="O106" s="1">
        <v>102.84620726260782</v>
      </c>
      <c r="P106" s="1">
        <v>95.825421070949773</v>
      </c>
      <c r="Q106" s="1">
        <v>198.67162833355758</v>
      </c>
      <c r="R106" s="1">
        <v>0.51766932261679199</v>
      </c>
      <c r="S106" s="1">
        <v>0.48233067738320806</v>
      </c>
      <c r="T106" s="19"/>
      <c r="U106" s="1">
        <v>0.48317820293593189</v>
      </c>
      <c r="V106" s="1">
        <v>0.51682179706406817</v>
      </c>
      <c r="W106" s="1">
        <v>0.35199999999999998</v>
      </c>
      <c r="X106" s="1">
        <v>0.64800000000000002</v>
      </c>
      <c r="Y106" s="17"/>
      <c r="Z106" s="12">
        <v>-1.311782029359319</v>
      </c>
      <c r="AA106" s="12">
        <v>1.3117820293593185</v>
      </c>
      <c r="AB106" s="12">
        <v>-0.70582273657553485</v>
      </c>
      <c r="AC106" s="12">
        <v>-0.60595929278378424</v>
      </c>
      <c r="AD106" s="12">
        <v>0.63271271479999935</v>
      </c>
      <c r="AE106" s="12">
        <v>0.67906931455931907</v>
      </c>
      <c r="AF106" s="17"/>
      <c r="AG106">
        <v>104</v>
      </c>
      <c r="AH106">
        <v>46</v>
      </c>
      <c r="AI106">
        <v>28</v>
      </c>
      <c r="AJ106">
        <v>12</v>
      </c>
      <c r="AK106">
        <v>41</v>
      </c>
    </row>
    <row r="107" spans="1:37" x14ac:dyDescent="0.25">
      <c r="A107">
        <v>105</v>
      </c>
      <c r="B107" t="s">
        <v>227</v>
      </c>
      <c r="C107" t="s">
        <v>214</v>
      </c>
      <c r="D107" t="s">
        <v>200</v>
      </c>
      <c r="E107" t="s">
        <v>225</v>
      </c>
      <c r="F107">
        <v>9</v>
      </c>
      <c r="G107">
        <v>10</v>
      </c>
      <c r="H107" s="17"/>
      <c r="I107" s="1">
        <v>105.40576155402773</v>
      </c>
      <c r="J107" s="1">
        <v>90.492410369922268</v>
      </c>
      <c r="K107" s="1">
        <v>195.89817192395</v>
      </c>
      <c r="L107" s="1">
        <v>0.53806403867284425</v>
      </c>
      <c r="M107" s="1">
        <v>0.4619359613271557</v>
      </c>
      <c r="N107" s="19"/>
      <c r="O107" s="1">
        <v>103.47891997740781</v>
      </c>
      <c r="P107" s="1">
        <v>96.504490385509087</v>
      </c>
      <c r="Q107" s="1">
        <v>199.98341036291691</v>
      </c>
      <c r="R107" s="1">
        <v>0.51743752039042135</v>
      </c>
      <c r="S107" s="1">
        <v>0.4825624796095786</v>
      </c>
      <c r="T107" s="19"/>
      <c r="U107" s="1">
        <v>0.45310518796937427</v>
      </c>
      <c r="V107" s="1">
        <v>0.54689481203062573</v>
      </c>
      <c r="W107" s="1">
        <v>0.47425</v>
      </c>
      <c r="X107" s="1">
        <v>0.52575000000000005</v>
      </c>
      <c r="Y107" s="17"/>
      <c r="Z107" s="12">
        <v>0.21144812030625737</v>
      </c>
      <c r="AA107" s="12">
        <v>-0.21144812030625681</v>
      </c>
      <c r="AB107" s="12">
        <v>9.7675490724491082E-2</v>
      </c>
      <c r="AC107" s="12">
        <v>0.11377262958176632</v>
      </c>
      <c r="AD107" s="12">
        <v>-0.10941119106248502</v>
      </c>
      <c r="AE107" s="12">
        <v>-0.10203692924377178</v>
      </c>
      <c r="AF107" s="17"/>
      <c r="AG107">
        <v>105</v>
      </c>
      <c r="AH107">
        <v>46</v>
      </c>
      <c r="AI107">
        <v>28</v>
      </c>
      <c r="AJ107">
        <v>12</v>
      </c>
      <c r="AK107">
        <v>41</v>
      </c>
    </row>
    <row r="108" spans="1:37" x14ac:dyDescent="0.25">
      <c r="A108">
        <v>106</v>
      </c>
      <c r="B108" t="s">
        <v>230</v>
      </c>
      <c r="C108" t="s">
        <v>224</v>
      </c>
      <c r="D108" t="s">
        <v>190</v>
      </c>
      <c r="E108" t="s">
        <v>212</v>
      </c>
      <c r="F108">
        <v>9</v>
      </c>
      <c r="G108">
        <v>10</v>
      </c>
      <c r="H108" s="17"/>
      <c r="I108" s="1">
        <v>91.879757491246338</v>
      </c>
      <c r="J108" s="1">
        <v>103.13149812683115</v>
      </c>
      <c r="K108" s="1">
        <v>195.01125561807748</v>
      </c>
      <c r="L108" s="1">
        <v>0.47115104817944214</v>
      </c>
      <c r="M108" s="1">
        <v>0.5288489518205578</v>
      </c>
      <c r="N108" s="19"/>
      <c r="O108" s="1">
        <v>95.336286910154001</v>
      </c>
      <c r="P108" s="1">
        <v>98.120788761043272</v>
      </c>
      <c r="Q108" s="1">
        <v>193.45707567119729</v>
      </c>
      <c r="R108" s="1">
        <v>0.49280330832762648</v>
      </c>
      <c r="S108" s="1">
        <v>0.50719669167237347</v>
      </c>
      <c r="T108" s="19"/>
      <c r="U108" s="1">
        <v>0.51788552344551708</v>
      </c>
      <c r="V108" s="1">
        <v>0.48211447655448286</v>
      </c>
      <c r="W108" s="1">
        <v>0.47425</v>
      </c>
      <c r="X108" s="1">
        <v>0.52575000000000005</v>
      </c>
      <c r="Y108" s="17"/>
      <c r="Z108" s="12">
        <v>-0.43635523445517077</v>
      </c>
      <c r="AA108" s="12">
        <v>0.43635523445517188</v>
      </c>
      <c r="AB108" s="12">
        <v>-0.20558922609213995</v>
      </c>
      <c r="AC108" s="12">
        <v>-0.23076600836303082</v>
      </c>
      <c r="AD108" s="12">
        <v>0.2213179313095861</v>
      </c>
      <c r="AE108" s="12">
        <v>0.21503730314558583</v>
      </c>
      <c r="AF108" s="17"/>
      <c r="AG108">
        <v>106</v>
      </c>
      <c r="AH108">
        <v>31</v>
      </c>
      <c r="AI108">
        <v>40</v>
      </c>
      <c r="AJ108">
        <v>2</v>
      </c>
      <c r="AK108">
        <v>26</v>
      </c>
    </row>
    <row r="109" spans="1:37" x14ac:dyDescent="0.25">
      <c r="A109">
        <v>107</v>
      </c>
      <c r="B109" t="s">
        <v>230</v>
      </c>
      <c r="C109" t="s">
        <v>224</v>
      </c>
      <c r="D109" t="s">
        <v>190</v>
      </c>
      <c r="E109" t="s">
        <v>212</v>
      </c>
      <c r="F109">
        <v>10</v>
      </c>
      <c r="G109">
        <v>3</v>
      </c>
      <c r="H109" s="17"/>
      <c r="I109" s="1">
        <v>91.674168265154194</v>
      </c>
      <c r="J109" s="1">
        <v>102.90073211846811</v>
      </c>
      <c r="K109" s="1">
        <v>194.57490038362232</v>
      </c>
      <c r="L109" s="1">
        <v>0.47115104817944214</v>
      </c>
      <c r="M109" s="1">
        <v>0.5288489518205578</v>
      </c>
      <c r="N109" s="19"/>
      <c r="O109" s="1">
        <v>95.557604841463586</v>
      </c>
      <c r="P109" s="1">
        <v>98.335826064188865</v>
      </c>
      <c r="Q109" s="1">
        <v>193.89343090565245</v>
      </c>
      <c r="R109" s="1">
        <v>0.49283570049343978</v>
      </c>
      <c r="S109" s="1">
        <v>0.50716429950656028</v>
      </c>
      <c r="T109" s="19"/>
      <c r="U109" s="1">
        <v>0.50784506344529268</v>
      </c>
      <c r="V109" s="1">
        <v>0.49215493655470721</v>
      </c>
      <c r="W109" s="1">
        <v>0.93224999999999991</v>
      </c>
      <c r="X109" s="1">
        <v>6.7749999999999977E-2</v>
      </c>
      <c r="Y109" s="17"/>
      <c r="Z109" s="12">
        <v>4.2440493655470721</v>
      </c>
      <c r="AA109" s="12">
        <v>-4.2440493655470721</v>
      </c>
      <c r="AB109" s="12">
        <v>2.2444610584442728</v>
      </c>
      <c r="AC109" s="12">
        <v>1.9995883071027998</v>
      </c>
      <c r="AD109" s="12">
        <v>-2.09161904199813</v>
      </c>
      <c r="AE109" s="12">
        <v>-2.1524303235489426</v>
      </c>
      <c r="AF109" s="17"/>
      <c r="AG109">
        <v>107</v>
      </c>
      <c r="AH109">
        <v>31</v>
      </c>
      <c r="AI109">
        <v>40</v>
      </c>
      <c r="AJ109">
        <v>2</v>
      </c>
      <c r="AK109">
        <v>26</v>
      </c>
    </row>
    <row r="110" spans="1:37" x14ac:dyDescent="0.25">
      <c r="A110">
        <v>108</v>
      </c>
      <c r="B110" t="s">
        <v>199</v>
      </c>
      <c r="C110" t="s">
        <v>208</v>
      </c>
      <c r="D110" t="s">
        <v>196</v>
      </c>
      <c r="E110" t="s">
        <v>225</v>
      </c>
      <c r="F110">
        <v>10</v>
      </c>
      <c r="G110">
        <v>5</v>
      </c>
      <c r="H110" s="17"/>
      <c r="I110" s="1">
        <v>104.82284584506489</v>
      </c>
      <c r="J110" s="1">
        <v>102.46449244196636</v>
      </c>
      <c r="K110" s="1">
        <v>207.28733828703125</v>
      </c>
      <c r="L110" s="1">
        <v>0.50568860940226101</v>
      </c>
      <c r="M110" s="1">
        <v>0.49431139059773899</v>
      </c>
      <c r="N110" s="19"/>
      <c r="O110" s="1">
        <v>93.678699750720511</v>
      </c>
      <c r="P110" s="1">
        <v>96.40245345626532</v>
      </c>
      <c r="Q110" s="1">
        <v>190.08115320698585</v>
      </c>
      <c r="R110" s="1">
        <v>0.49283528729810777</v>
      </c>
      <c r="S110" s="1">
        <v>0.50716471270189212</v>
      </c>
      <c r="T110" s="19"/>
      <c r="U110" s="1">
        <v>0.68834086960152951</v>
      </c>
      <c r="V110" s="1">
        <v>0.31165913039847054</v>
      </c>
      <c r="W110" s="1">
        <v>0.71875</v>
      </c>
      <c r="X110" s="1">
        <v>0.28125</v>
      </c>
      <c r="Y110" s="17"/>
      <c r="Z110" s="12">
        <v>0.30409130398470485</v>
      </c>
      <c r="AA110" s="12">
        <v>-0.30409130398470541</v>
      </c>
      <c r="AB110" s="12">
        <v>0.15031579534135922</v>
      </c>
      <c r="AC110" s="12">
        <v>0.15377550864334563</v>
      </c>
      <c r="AD110" s="12">
        <v>-0.1498669251641585</v>
      </c>
      <c r="AE110" s="12">
        <v>-0.15422437882054685</v>
      </c>
      <c r="AF110" s="17"/>
      <c r="AG110">
        <v>108</v>
      </c>
      <c r="AH110">
        <v>11</v>
      </c>
      <c r="AI110">
        <v>20</v>
      </c>
      <c r="AJ110">
        <v>9</v>
      </c>
      <c r="AK110">
        <v>41</v>
      </c>
    </row>
    <row r="111" spans="1:37" x14ac:dyDescent="0.25">
      <c r="A111">
        <v>109</v>
      </c>
      <c r="B111" t="s">
        <v>199</v>
      </c>
      <c r="C111" t="s">
        <v>208</v>
      </c>
      <c r="D111" t="s">
        <v>196</v>
      </c>
      <c r="E111" t="s">
        <v>225</v>
      </c>
      <c r="F111">
        <v>10</v>
      </c>
      <c r="G111">
        <v>2</v>
      </c>
      <c r="H111" s="17"/>
      <c r="I111" s="1">
        <v>104.97316164040625</v>
      </c>
      <c r="J111" s="1">
        <v>102.61826795060971</v>
      </c>
      <c r="K111" s="1">
        <v>207.59142959101595</v>
      </c>
      <c r="L111" s="1">
        <v>0.50567194342857991</v>
      </c>
      <c r="M111" s="1">
        <v>0.49432805657142009</v>
      </c>
      <c r="N111" s="19"/>
      <c r="O111" s="1">
        <v>93.52883282555635</v>
      </c>
      <c r="P111" s="1">
        <v>96.248229077444776</v>
      </c>
      <c r="Q111" s="1">
        <v>189.77706190300114</v>
      </c>
      <c r="R111" s="1">
        <v>0.49283528729810777</v>
      </c>
      <c r="S111" s="1">
        <v>0.50716471270189212</v>
      </c>
      <c r="T111" s="19"/>
      <c r="U111" s="1">
        <v>0.69431741138928249</v>
      </c>
      <c r="V111" s="1">
        <v>0.30568258861071751</v>
      </c>
      <c r="W111" s="1">
        <v>1.0840000000000001</v>
      </c>
      <c r="X111" s="1">
        <v>-8.4000000000000075E-2</v>
      </c>
      <c r="Y111" s="17"/>
      <c r="Z111" s="12">
        <v>3.8968258861071758</v>
      </c>
      <c r="AA111" s="12">
        <v>-3.8968258861071758</v>
      </c>
      <c r="AB111" s="12">
        <v>1.9263103670765622</v>
      </c>
      <c r="AC111" s="12">
        <v>1.9705155190306136</v>
      </c>
      <c r="AD111" s="12">
        <v>-1.9204933051303335</v>
      </c>
      <c r="AE111" s="12">
        <v>-1.9763325809768419</v>
      </c>
      <c r="AF111" s="17"/>
      <c r="AG111">
        <v>109</v>
      </c>
      <c r="AH111">
        <v>11</v>
      </c>
      <c r="AI111">
        <v>20</v>
      </c>
      <c r="AJ111">
        <v>9</v>
      </c>
      <c r="AK111">
        <v>41</v>
      </c>
    </row>
    <row r="112" spans="1:37" x14ac:dyDescent="0.25">
      <c r="A112">
        <v>110</v>
      </c>
      <c r="B112" t="s">
        <v>222</v>
      </c>
      <c r="C112" t="s">
        <v>230</v>
      </c>
      <c r="D112" t="s">
        <v>196</v>
      </c>
      <c r="E112" t="s">
        <v>200</v>
      </c>
      <c r="F112">
        <v>10</v>
      </c>
      <c r="G112">
        <v>8</v>
      </c>
      <c r="H112" s="17"/>
      <c r="I112" s="1">
        <v>93.972607776623789</v>
      </c>
      <c r="J112" s="1">
        <v>93.918629323598466</v>
      </c>
      <c r="K112" s="1">
        <v>187.89123710022227</v>
      </c>
      <c r="L112" s="1">
        <v>0.50014364281660595</v>
      </c>
      <c r="M112" s="1">
        <v>0.49985635718339394</v>
      </c>
      <c r="N112" s="19"/>
      <c r="O112" s="1">
        <v>91.608339520426014</v>
      </c>
      <c r="P112" s="1">
        <v>103.36950878634532</v>
      </c>
      <c r="Q112" s="1">
        <v>194.97784830677134</v>
      </c>
      <c r="R112" s="1">
        <v>0.46983972956913883</v>
      </c>
      <c r="S112" s="1">
        <v>0.53016027043086122</v>
      </c>
      <c r="T112" s="19"/>
      <c r="U112" s="1">
        <v>0.41912886519733134</v>
      </c>
      <c r="V112" s="1">
        <v>0.58087113480266872</v>
      </c>
      <c r="W112" s="1">
        <v>0.55600000000000005</v>
      </c>
      <c r="X112" s="1">
        <v>0.44400000000000001</v>
      </c>
      <c r="Y112" s="17"/>
      <c r="Z112" s="12">
        <v>1.3687113480266873</v>
      </c>
      <c r="AA112" s="12">
        <v>-1.3687113480266873</v>
      </c>
      <c r="AB112" s="12">
        <v>0.68415906846019259</v>
      </c>
      <c r="AC112" s="12">
        <v>0.68455227956649489</v>
      </c>
      <c r="AD112" s="12">
        <v>-0.64307496961507016</v>
      </c>
      <c r="AE112" s="12">
        <v>-0.7256363784116171</v>
      </c>
      <c r="AF112" s="17"/>
      <c r="AG112">
        <v>110</v>
      </c>
      <c r="AH112">
        <v>37</v>
      </c>
      <c r="AI112">
        <v>31</v>
      </c>
      <c r="AJ112">
        <v>9</v>
      </c>
      <c r="AK112">
        <v>12</v>
      </c>
    </row>
    <row r="113" spans="1:37" x14ac:dyDescent="0.25">
      <c r="A113">
        <v>111</v>
      </c>
      <c r="B113" t="s">
        <v>222</v>
      </c>
      <c r="C113" t="s">
        <v>230</v>
      </c>
      <c r="D113" t="s">
        <v>196</v>
      </c>
      <c r="E113" t="s">
        <v>200</v>
      </c>
      <c r="F113">
        <v>7</v>
      </c>
      <c r="G113">
        <v>10</v>
      </c>
      <c r="H113" s="17"/>
      <c r="I113" s="1">
        <v>94.656766845083979</v>
      </c>
      <c r="J113" s="1">
        <v>94.603181603164956</v>
      </c>
      <c r="K113" s="1">
        <v>189.25994844824893</v>
      </c>
      <c r="L113" s="1">
        <v>0.50014156519210318</v>
      </c>
      <c r="M113" s="1">
        <v>0.49985843480789682</v>
      </c>
      <c r="N113" s="19"/>
      <c r="O113" s="1">
        <v>90.965264550810943</v>
      </c>
      <c r="P113" s="1">
        <v>102.6438724079337</v>
      </c>
      <c r="Q113" s="1">
        <v>193.60913695874464</v>
      </c>
      <c r="R113" s="1">
        <v>0.46983972956913883</v>
      </c>
      <c r="S113" s="1">
        <v>0.53016027043086122</v>
      </c>
      <c r="T113" s="19"/>
      <c r="U113" s="1">
        <v>0.45009483461967975</v>
      </c>
      <c r="V113" s="1">
        <v>0.5499051653803203</v>
      </c>
      <c r="W113" s="1">
        <v>0.40475</v>
      </c>
      <c r="X113" s="1">
        <v>0.59525000000000006</v>
      </c>
      <c r="Y113" s="17"/>
      <c r="Z113" s="12">
        <v>-0.45344834619679752</v>
      </c>
      <c r="AA113" s="12">
        <v>0.45344834619679752</v>
      </c>
      <c r="AB113" s="12">
        <v>-0.22678836560063698</v>
      </c>
      <c r="AC113" s="12">
        <v>-0.22665998059616055</v>
      </c>
      <c r="AD113" s="12">
        <v>0.24040029784612096</v>
      </c>
      <c r="AE113" s="12">
        <v>0.21304804835067656</v>
      </c>
      <c r="AF113" s="17"/>
      <c r="AG113">
        <v>111</v>
      </c>
      <c r="AH113">
        <v>37</v>
      </c>
      <c r="AI113">
        <v>31</v>
      </c>
      <c r="AJ113">
        <v>9</v>
      </c>
      <c r="AK113">
        <v>12</v>
      </c>
    </row>
    <row r="114" spans="1:37" x14ac:dyDescent="0.25">
      <c r="A114">
        <v>112</v>
      </c>
      <c r="B114" t="s">
        <v>199</v>
      </c>
      <c r="C114" t="s">
        <v>230</v>
      </c>
      <c r="D114" t="s">
        <v>224</v>
      </c>
      <c r="E114" t="s">
        <v>196</v>
      </c>
      <c r="F114">
        <v>2</v>
      </c>
      <c r="G114">
        <v>10</v>
      </c>
      <c r="H114" s="17"/>
      <c r="I114" s="1">
        <v>106.89947200748281</v>
      </c>
      <c r="J114" s="1">
        <v>94.376521622568788</v>
      </c>
      <c r="K114" s="1">
        <v>201.2759936300516</v>
      </c>
      <c r="L114" s="1">
        <v>0.53110890215733175</v>
      </c>
      <c r="M114" s="1">
        <v>0.46889109784266819</v>
      </c>
      <c r="N114" s="19"/>
      <c r="O114" s="1">
        <v>104.90032042557091</v>
      </c>
      <c r="P114" s="1">
        <v>91.205664848657065</v>
      </c>
      <c r="Q114" s="1">
        <v>196.10598527422798</v>
      </c>
      <c r="R114" s="1">
        <v>0.53491646508841562</v>
      </c>
      <c r="S114" s="1">
        <v>0.46508353491158438</v>
      </c>
      <c r="T114" s="19"/>
      <c r="U114" s="1">
        <v>0.55924233523000155</v>
      </c>
      <c r="V114" s="1">
        <v>0.4407576647699985</v>
      </c>
      <c r="W114" s="1">
        <v>-8.4000000000000075E-2</v>
      </c>
      <c r="X114" s="1">
        <v>1.0840000000000001</v>
      </c>
      <c r="Y114" s="17"/>
      <c r="Z114" s="12">
        <v>-6.4324233523000167</v>
      </c>
      <c r="AA114" s="12">
        <v>6.4324233523000167</v>
      </c>
      <c r="AB114" s="12">
        <v>-3.4163173048512454</v>
      </c>
      <c r="AC114" s="12">
        <v>-3.0161060474487709</v>
      </c>
      <c r="AD114" s="12">
        <v>2.9916141907355156</v>
      </c>
      <c r="AE114" s="12">
        <v>3.4408091615645011</v>
      </c>
      <c r="AF114" s="17"/>
      <c r="AG114">
        <v>112</v>
      </c>
      <c r="AH114">
        <v>11</v>
      </c>
      <c r="AI114">
        <v>31</v>
      </c>
      <c r="AJ114">
        <v>40</v>
      </c>
      <c r="AK114">
        <v>9</v>
      </c>
    </row>
    <row r="115" spans="1:37" x14ac:dyDescent="0.25">
      <c r="A115">
        <v>113</v>
      </c>
      <c r="B115" t="s">
        <v>199</v>
      </c>
      <c r="C115" t="s">
        <v>230</v>
      </c>
      <c r="D115" t="s">
        <v>224</v>
      </c>
      <c r="E115" t="s">
        <v>196</v>
      </c>
      <c r="F115">
        <v>9</v>
      </c>
      <c r="G115">
        <v>10</v>
      </c>
      <c r="H115" s="17"/>
      <c r="I115" s="1">
        <v>103.48315470263157</v>
      </c>
      <c r="J115" s="1">
        <v>91.360415575120015</v>
      </c>
      <c r="K115" s="1">
        <v>194.84357027775158</v>
      </c>
      <c r="L115" s="1">
        <v>0.53110890215733175</v>
      </c>
      <c r="M115" s="1">
        <v>0.46889109784266819</v>
      </c>
      <c r="N115" s="19"/>
      <c r="O115" s="1">
        <v>107.89193461630643</v>
      </c>
      <c r="P115" s="1">
        <v>94.646474010221567</v>
      </c>
      <c r="Q115" s="1">
        <v>202.538408626528</v>
      </c>
      <c r="R115" s="1">
        <v>0.53269863897891312</v>
      </c>
      <c r="S115" s="1">
        <v>0.46730136102108683</v>
      </c>
      <c r="T115" s="19"/>
      <c r="U115" s="1">
        <v>0.41232543596289101</v>
      </c>
      <c r="V115" s="1">
        <v>0.58767456403710905</v>
      </c>
      <c r="W115" s="1">
        <v>0.47425</v>
      </c>
      <c r="X115" s="1">
        <v>0.52575000000000005</v>
      </c>
      <c r="Y115" s="17"/>
      <c r="Z115" s="12">
        <v>0.61924564037108998</v>
      </c>
      <c r="AA115" s="12">
        <v>-0.61924564037108998</v>
      </c>
      <c r="AB115" s="12">
        <v>0.29035876814788653</v>
      </c>
      <c r="AC115" s="12">
        <v>0.32888687222320356</v>
      </c>
      <c r="AD115" s="12">
        <v>-0.32987130981930513</v>
      </c>
      <c r="AE115" s="12">
        <v>-0.2893743305517848</v>
      </c>
      <c r="AF115" s="17"/>
      <c r="AG115">
        <v>113</v>
      </c>
      <c r="AH115">
        <v>11</v>
      </c>
      <c r="AI115">
        <v>31</v>
      </c>
      <c r="AJ115">
        <v>40</v>
      </c>
      <c r="AK115">
        <v>9</v>
      </c>
    </row>
    <row r="116" spans="1:37" x14ac:dyDescent="0.25">
      <c r="A116">
        <v>114</v>
      </c>
      <c r="B116" t="s">
        <v>192</v>
      </c>
      <c r="C116" t="s">
        <v>214</v>
      </c>
      <c r="D116" t="s">
        <v>224</v>
      </c>
      <c r="E116" t="s">
        <v>200</v>
      </c>
      <c r="F116">
        <v>9</v>
      </c>
      <c r="G116">
        <v>10</v>
      </c>
      <c r="H116" s="17"/>
      <c r="I116" s="1">
        <v>115.10434278945853</v>
      </c>
      <c r="J116" s="1">
        <v>90.606182999504028</v>
      </c>
      <c r="K116" s="1">
        <v>205.71052578896257</v>
      </c>
      <c r="L116" s="1">
        <v>0.55954522671116746</v>
      </c>
      <c r="M116" s="1">
        <v>0.44045477328883242</v>
      </c>
      <c r="N116" s="19"/>
      <c r="O116" s="1">
        <v>107.56206330648712</v>
      </c>
      <c r="P116" s="1">
        <v>102.85692045628437</v>
      </c>
      <c r="Q116" s="1">
        <v>210.41898376277149</v>
      </c>
      <c r="R116" s="1">
        <v>0.5111804143477553</v>
      </c>
      <c r="S116" s="1">
        <v>0.4888195856522447</v>
      </c>
      <c r="T116" s="19"/>
      <c r="U116" s="1">
        <v>0.44600326939252072</v>
      </c>
      <c r="V116" s="1">
        <v>0.55399673060747923</v>
      </c>
      <c r="W116" s="1">
        <v>0.47425</v>
      </c>
      <c r="X116" s="1">
        <v>0.52575000000000005</v>
      </c>
      <c r="Y116" s="17"/>
      <c r="Z116" s="12">
        <v>0.28246730607479287</v>
      </c>
      <c r="AA116" s="12">
        <v>-0.28246730607479176</v>
      </c>
      <c r="AB116" s="12">
        <v>0.12441407325868016</v>
      </c>
      <c r="AC116" s="12">
        <v>0.15805323281611275</v>
      </c>
      <c r="AD116" s="12">
        <v>-0.14439175455900627</v>
      </c>
      <c r="AE116" s="12">
        <v>-0.13807555151578549</v>
      </c>
      <c r="AF116" s="17"/>
      <c r="AG116">
        <v>114</v>
      </c>
      <c r="AH116">
        <v>5</v>
      </c>
      <c r="AI116">
        <v>28</v>
      </c>
      <c r="AJ116">
        <v>40</v>
      </c>
      <c r="AK116">
        <v>12</v>
      </c>
    </row>
    <row r="117" spans="1:37" x14ac:dyDescent="0.25">
      <c r="A117">
        <v>115</v>
      </c>
      <c r="B117" t="s">
        <v>192</v>
      </c>
      <c r="C117" t="s">
        <v>214</v>
      </c>
      <c r="D117" t="s">
        <v>224</v>
      </c>
      <c r="E117" t="s">
        <v>200</v>
      </c>
      <c r="F117">
        <v>7</v>
      </c>
      <c r="G117">
        <v>10</v>
      </c>
      <c r="H117" s="17"/>
      <c r="I117" s="1">
        <v>115.2287568627172</v>
      </c>
      <c r="J117" s="1">
        <v>90.764236232320144</v>
      </c>
      <c r="K117" s="1">
        <v>205.99299309503735</v>
      </c>
      <c r="L117" s="1">
        <v>0.55938192426552602</v>
      </c>
      <c r="M117" s="1">
        <v>0.44061807573447398</v>
      </c>
      <c r="N117" s="19"/>
      <c r="O117" s="1">
        <v>107.41767155192811</v>
      </c>
      <c r="P117" s="1">
        <v>102.71884490476859</v>
      </c>
      <c r="Q117" s="1">
        <v>210.13651645669671</v>
      </c>
      <c r="R117" s="1">
        <v>0.51118041434775519</v>
      </c>
      <c r="S117" s="1">
        <v>0.4888195856522447</v>
      </c>
      <c r="T117" s="19"/>
      <c r="U117" s="1">
        <v>0.45244014481863409</v>
      </c>
      <c r="V117" s="1">
        <v>0.54755985518136585</v>
      </c>
      <c r="W117" s="1">
        <v>0.40475</v>
      </c>
      <c r="X117" s="1">
        <v>0.59525000000000006</v>
      </c>
      <c r="Y117" s="17"/>
      <c r="Z117" s="12">
        <v>-0.47690144818634095</v>
      </c>
      <c r="AA117" s="12">
        <v>0.47690144818634206</v>
      </c>
      <c r="AB117" s="12">
        <v>-0.26677004977149144</v>
      </c>
      <c r="AC117" s="12">
        <v>-0.21013139841484949</v>
      </c>
      <c r="AD117" s="12">
        <v>0.23311876829940323</v>
      </c>
      <c r="AE117" s="12">
        <v>0.24378267988693889</v>
      </c>
      <c r="AF117" s="17"/>
      <c r="AG117">
        <v>115</v>
      </c>
      <c r="AH117">
        <v>5</v>
      </c>
      <c r="AI117">
        <v>28</v>
      </c>
      <c r="AJ117">
        <v>40</v>
      </c>
      <c r="AK117">
        <v>12</v>
      </c>
    </row>
    <row r="118" spans="1:37" x14ac:dyDescent="0.25">
      <c r="A118">
        <v>116</v>
      </c>
      <c r="B118" t="s">
        <v>198</v>
      </c>
      <c r="C118" t="s">
        <v>208</v>
      </c>
      <c r="D118" t="s">
        <v>225</v>
      </c>
      <c r="E118" t="s">
        <v>234</v>
      </c>
      <c r="F118">
        <v>8</v>
      </c>
      <c r="G118">
        <v>10</v>
      </c>
      <c r="H118" s="17"/>
      <c r="I118" s="1">
        <v>100</v>
      </c>
      <c r="J118" s="1">
        <v>104.58878346964032</v>
      </c>
      <c r="K118" s="1">
        <v>204.5887834696403</v>
      </c>
      <c r="L118" s="1">
        <v>0.48878534934364753</v>
      </c>
      <c r="M118" s="1">
        <v>0.51121465065635252</v>
      </c>
      <c r="N118" s="19"/>
      <c r="O118" s="1">
        <v>94.271896496467932</v>
      </c>
      <c r="P118" s="1">
        <v>100</v>
      </c>
      <c r="Q118" s="1">
        <v>194.27189649646795</v>
      </c>
      <c r="R118" s="1">
        <v>0.48525750865968348</v>
      </c>
      <c r="S118" s="1">
        <v>0.51474249134031647</v>
      </c>
      <c r="T118" s="19"/>
      <c r="U118" s="1">
        <v>0.61659255752831721</v>
      </c>
      <c r="V118" s="1">
        <v>0.38340744247168274</v>
      </c>
      <c r="W118" s="1">
        <v>0.44400000000000001</v>
      </c>
      <c r="X118" s="1">
        <v>0.55600000000000005</v>
      </c>
      <c r="Y118" s="17"/>
      <c r="Z118" s="12">
        <v>-1.7259255752831719</v>
      </c>
      <c r="AA118" s="12">
        <v>1.7259255752831733</v>
      </c>
      <c r="AB118" s="12">
        <v>-0.84360713525592101</v>
      </c>
      <c r="AC118" s="12">
        <v>-0.88231844002725102</v>
      </c>
      <c r="AD118" s="12">
        <v>0.88840723048922954</v>
      </c>
      <c r="AE118" s="12">
        <v>0.83751834479394371</v>
      </c>
      <c r="AF118" s="17"/>
      <c r="AG118">
        <v>116</v>
      </c>
      <c r="AH118">
        <v>10</v>
      </c>
      <c r="AI118">
        <v>20</v>
      </c>
      <c r="AJ118">
        <v>41</v>
      </c>
      <c r="AK118">
        <v>44</v>
      </c>
    </row>
    <row r="119" spans="1:37" x14ac:dyDescent="0.25">
      <c r="A119">
        <v>117</v>
      </c>
      <c r="B119" t="s">
        <v>198</v>
      </c>
      <c r="C119" t="s">
        <v>208</v>
      </c>
      <c r="D119" t="s">
        <v>225</v>
      </c>
      <c r="E119" t="s">
        <v>234</v>
      </c>
      <c r="F119">
        <v>10</v>
      </c>
      <c r="G119">
        <v>5</v>
      </c>
      <c r="H119" s="17"/>
      <c r="I119" s="1">
        <v>99.156392864744078</v>
      </c>
      <c r="J119" s="1">
        <v>103.70646502961307</v>
      </c>
      <c r="K119" s="1">
        <v>202.86285789435715</v>
      </c>
      <c r="L119" s="1">
        <v>0.48878534934364748</v>
      </c>
      <c r="M119" s="1">
        <v>0.51121465065635252</v>
      </c>
      <c r="N119" s="19"/>
      <c r="O119" s="1">
        <v>95.160303726957167</v>
      </c>
      <c r="P119" s="1">
        <v>100.83751834479395</v>
      </c>
      <c r="Q119" s="1">
        <v>195.9978220717511</v>
      </c>
      <c r="R119" s="1">
        <v>0.48551714871668716</v>
      </c>
      <c r="S119" s="1">
        <v>0.51448285128331295</v>
      </c>
      <c r="T119" s="19"/>
      <c r="U119" s="1">
        <v>0.57838485890591362</v>
      </c>
      <c r="V119" s="1">
        <v>0.42161514109408632</v>
      </c>
      <c r="W119" s="1">
        <v>0.71875</v>
      </c>
      <c r="X119" s="1">
        <v>0.28125</v>
      </c>
      <c r="Y119" s="17"/>
      <c r="Z119" s="12">
        <v>1.4036514109408638</v>
      </c>
      <c r="AA119" s="12">
        <v>-1.4036514109408631</v>
      </c>
      <c r="AB119" s="12">
        <v>0.71756716568742995</v>
      </c>
      <c r="AC119" s="12">
        <v>0.68608424525343381</v>
      </c>
      <c r="AD119" s="12">
        <v>-0.68149683083216284</v>
      </c>
      <c r="AE119" s="12">
        <v>-0.72215458010870048</v>
      </c>
      <c r="AF119" s="17"/>
      <c r="AG119">
        <v>117</v>
      </c>
      <c r="AH119">
        <v>10</v>
      </c>
      <c r="AI119">
        <v>20</v>
      </c>
      <c r="AJ119">
        <v>41</v>
      </c>
      <c r="AK119">
        <v>44</v>
      </c>
    </row>
    <row r="120" spans="1:37" x14ac:dyDescent="0.25">
      <c r="A120">
        <v>118</v>
      </c>
      <c r="B120" t="s">
        <v>196</v>
      </c>
      <c r="C120" t="s">
        <v>192</v>
      </c>
      <c r="D120" t="s">
        <v>224</v>
      </c>
      <c r="E120" t="s">
        <v>230</v>
      </c>
      <c r="F120">
        <v>10</v>
      </c>
      <c r="G120">
        <v>6</v>
      </c>
      <c r="H120" s="17"/>
      <c r="I120" s="1">
        <v>94.357099679669787</v>
      </c>
      <c r="J120" s="1">
        <v>114.96198681294571</v>
      </c>
      <c r="K120" s="1">
        <v>209.3190864926155</v>
      </c>
      <c r="L120" s="1">
        <v>0.45078115551110332</v>
      </c>
      <c r="M120" s="1">
        <v>0.54921884448889668</v>
      </c>
      <c r="N120" s="19"/>
      <c r="O120" s="1">
        <v>107.65079032022751</v>
      </c>
      <c r="P120" s="1">
        <v>91.689302447343223</v>
      </c>
      <c r="Q120" s="1">
        <v>199.34009276757075</v>
      </c>
      <c r="R120" s="1">
        <v>0.54003581931582445</v>
      </c>
      <c r="S120" s="1">
        <v>0.45996418068417549</v>
      </c>
      <c r="T120" s="19"/>
      <c r="U120" s="1">
        <v>0.612907333715215</v>
      </c>
      <c r="V120" s="1">
        <v>0.38709266628478495</v>
      </c>
      <c r="W120" s="1">
        <v>0.64800000000000002</v>
      </c>
      <c r="X120" s="1">
        <v>0.35199999999999998</v>
      </c>
      <c r="Y120" s="17"/>
      <c r="Z120" s="12">
        <v>0.35092666284785023</v>
      </c>
      <c r="AA120" s="12">
        <v>-0.35092666284784968</v>
      </c>
      <c r="AB120" s="12">
        <v>0.19273553626964093</v>
      </c>
      <c r="AC120" s="12">
        <v>0.1581911265782093</v>
      </c>
      <c r="AD120" s="12">
        <v>-0.1895129678908066</v>
      </c>
      <c r="AE120" s="12">
        <v>-0.16141369495704305</v>
      </c>
      <c r="AF120" s="17"/>
      <c r="AG120">
        <v>118</v>
      </c>
      <c r="AH120">
        <v>9</v>
      </c>
      <c r="AI120">
        <v>5</v>
      </c>
      <c r="AJ120">
        <v>40</v>
      </c>
      <c r="AK120">
        <v>31</v>
      </c>
    </row>
    <row r="121" spans="1:37" x14ac:dyDescent="0.25">
      <c r="A121">
        <v>119</v>
      </c>
      <c r="B121" t="s">
        <v>196</v>
      </c>
      <c r="C121" t="s">
        <v>192</v>
      </c>
      <c r="D121" t="s">
        <v>224</v>
      </c>
      <c r="E121" t="s">
        <v>230</v>
      </c>
      <c r="F121">
        <v>10</v>
      </c>
      <c r="G121">
        <v>7</v>
      </c>
      <c r="H121" s="17"/>
      <c r="I121" s="1">
        <v>94.549835215939424</v>
      </c>
      <c r="J121" s="1">
        <v>115.12017793952391</v>
      </c>
      <c r="K121" s="1">
        <v>209.67001315546332</v>
      </c>
      <c r="L121" s="1">
        <v>0.45094591159220215</v>
      </c>
      <c r="M121" s="1">
        <v>0.5490540884077979</v>
      </c>
      <c r="N121" s="19"/>
      <c r="O121" s="1">
        <v>107.46127735233671</v>
      </c>
      <c r="P121" s="1">
        <v>91.527888752386175</v>
      </c>
      <c r="Q121" s="1">
        <v>198.98916610472287</v>
      </c>
      <c r="R121" s="1">
        <v>0.54003581931582445</v>
      </c>
      <c r="S121" s="1">
        <v>0.45996418068417555</v>
      </c>
      <c r="T121" s="19"/>
      <c r="U121" s="1">
        <v>0.62054713630031766</v>
      </c>
      <c r="V121" s="1">
        <v>0.37945286369968229</v>
      </c>
      <c r="W121" s="1">
        <v>0.59525000000000006</v>
      </c>
      <c r="X121" s="1">
        <v>0.40475</v>
      </c>
      <c r="Y121" s="17"/>
      <c r="Z121" s="12">
        <v>-0.25297136300317602</v>
      </c>
      <c r="AA121" s="12">
        <v>0.25297136300317713</v>
      </c>
      <c r="AB121" s="12">
        <v>-0.11407640189618909</v>
      </c>
      <c r="AC121" s="12">
        <v>-0.13889496110698693</v>
      </c>
      <c r="AD121" s="12">
        <v>0.11635776572031553</v>
      </c>
      <c r="AE121" s="12">
        <v>0.1366135972828616</v>
      </c>
      <c r="AF121" s="17"/>
      <c r="AG121">
        <v>119</v>
      </c>
      <c r="AH121">
        <v>9</v>
      </c>
      <c r="AI121">
        <v>5</v>
      </c>
      <c r="AJ121">
        <v>40</v>
      </c>
      <c r="AK121">
        <v>31</v>
      </c>
    </row>
    <row r="122" spans="1:37" x14ac:dyDescent="0.25">
      <c r="A122">
        <v>120</v>
      </c>
      <c r="B122" t="s">
        <v>225</v>
      </c>
      <c r="C122" t="s">
        <v>227</v>
      </c>
      <c r="D122" t="s">
        <v>199</v>
      </c>
      <c r="E122" t="s">
        <v>222</v>
      </c>
      <c r="F122">
        <v>10</v>
      </c>
      <c r="G122">
        <v>5</v>
      </c>
      <c r="H122" s="17"/>
      <c r="I122" s="1">
        <v>94.478806896125008</v>
      </c>
      <c r="J122" s="1">
        <v>105.50343704475223</v>
      </c>
      <c r="K122" s="1">
        <v>199.98224394087725</v>
      </c>
      <c r="L122" s="1">
        <v>0.47243597748636484</v>
      </c>
      <c r="M122" s="1">
        <v>0.5275640225136351</v>
      </c>
      <c r="N122" s="19"/>
      <c r="O122" s="1">
        <v>103.77351347077945</v>
      </c>
      <c r="P122" s="1">
        <v>94.429978479483339</v>
      </c>
      <c r="Q122" s="1">
        <v>198.20349195026279</v>
      </c>
      <c r="R122" s="1">
        <v>0.52357056099102628</v>
      </c>
      <c r="S122" s="1">
        <v>0.47642943900897372</v>
      </c>
      <c r="T122" s="19"/>
      <c r="U122" s="1">
        <v>0.52046719580394429</v>
      </c>
      <c r="V122" s="1">
        <v>0.47953280419605565</v>
      </c>
      <c r="W122" s="1">
        <v>0.71875</v>
      </c>
      <c r="X122" s="1">
        <v>0.28125</v>
      </c>
      <c r="Y122" s="17"/>
      <c r="Z122" s="12">
        <v>1.9828280419605571</v>
      </c>
      <c r="AA122" s="12">
        <v>-1.9828280419605564</v>
      </c>
      <c r="AB122" s="12">
        <v>1.0460687377695463</v>
      </c>
      <c r="AC122" s="12">
        <v>0.93675930419101072</v>
      </c>
      <c r="AD122" s="12">
        <v>-1.0381503902780267</v>
      </c>
      <c r="AE122" s="12">
        <v>-0.94467765168252971</v>
      </c>
      <c r="AF122" s="17"/>
      <c r="AG122">
        <v>120</v>
      </c>
      <c r="AH122">
        <v>41</v>
      </c>
      <c r="AI122">
        <v>46</v>
      </c>
      <c r="AJ122">
        <v>11</v>
      </c>
      <c r="AK122">
        <v>37</v>
      </c>
    </row>
    <row r="123" spans="1:37" x14ac:dyDescent="0.25">
      <c r="A123">
        <v>121</v>
      </c>
      <c r="B123" t="s">
        <v>225</v>
      </c>
      <c r="C123" t="s">
        <v>227</v>
      </c>
      <c r="D123" t="s">
        <v>199</v>
      </c>
      <c r="E123" t="s">
        <v>222</v>
      </c>
      <c r="F123">
        <v>8</v>
      </c>
      <c r="G123">
        <v>10</v>
      </c>
      <c r="H123" s="17"/>
      <c r="I123" s="1">
        <v>95.524875633894553</v>
      </c>
      <c r="J123" s="1">
        <v>106.44019634894325</v>
      </c>
      <c r="K123" s="1">
        <v>201.9650719828378</v>
      </c>
      <c r="L123" s="1">
        <v>0.47297720688066242</v>
      </c>
      <c r="M123" s="1">
        <v>0.52702279311933753</v>
      </c>
      <c r="N123" s="19"/>
      <c r="O123" s="1">
        <v>102.73536308050143</v>
      </c>
      <c r="P123" s="1">
        <v>93.485300827800813</v>
      </c>
      <c r="Q123" s="1">
        <v>196.22066390830224</v>
      </c>
      <c r="R123" s="1">
        <v>0.52357056099102628</v>
      </c>
      <c r="S123" s="1">
        <v>0.47642943900897372</v>
      </c>
      <c r="T123" s="19"/>
      <c r="U123" s="1">
        <v>0.56575193805040092</v>
      </c>
      <c r="V123" s="1">
        <v>0.43424806194959914</v>
      </c>
      <c r="W123" s="1">
        <v>0.44400000000000001</v>
      </c>
      <c r="X123" s="1">
        <v>0.55600000000000005</v>
      </c>
      <c r="Y123" s="17"/>
      <c r="Z123" s="12">
        <v>-1.217519380504009</v>
      </c>
      <c r="AA123" s="12">
        <v>1.217519380504009</v>
      </c>
      <c r="AB123" s="12">
        <v>-0.57585891591386063</v>
      </c>
      <c r="AC123" s="12">
        <v>-0.64166046459014836</v>
      </c>
      <c r="AD123" s="12">
        <v>0.58006207543607824</v>
      </c>
      <c r="AE123" s="12">
        <v>0.63745730506793075</v>
      </c>
      <c r="AF123" s="17"/>
      <c r="AG123">
        <v>121</v>
      </c>
      <c r="AH123">
        <v>41</v>
      </c>
      <c r="AI123">
        <v>46</v>
      </c>
      <c r="AJ123">
        <v>11</v>
      </c>
      <c r="AK123">
        <v>37</v>
      </c>
    </row>
    <row r="124" spans="1:37" x14ac:dyDescent="0.25">
      <c r="A124">
        <v>122</v>
      </c>
      <c r="B124" t="s">
        <v>196</v>
      </c>
      <c r="C124" t="s">
        <v>197</v>
      </c>
      <c r="D124" t="s">
        <v>231</v>
      </c>
      <c r="E124" t="s">
        <v>217</v>
      </c>
      <c r="F124">
        <v>2</v>
      </c>
      <c r="G124">
        <v>10</v>
      </c>
      <c r="H124" s="17"/>
      <c r="I124" s="1">
        <v>94.43575881404324</v>
      </c>
      <c r="J124" s="1">
        <v>100</v>
      </c>
      <c r="K124" s="1">
        <v>194.43575881404325</v>
      </c>
      <c r="L124" s="1">
        <v>0.48569131208195515</v>
      </c>
      <c r="M124" s="1">
        <v>0.51430868791804485</v>
      </c>
      <c r="N124" s="19"/>
      <c r="O124" s="1">
        <v>100</v>
      </c>
      <c r="P124" s="1">
        <v>100.94957983664952</v>
      </c>
      <c r="Q124" s="1">
        <v>200.94957983664952</v>
      </c>
      <c r="R124" s="1">
        <v>0.49763726841971645</v>
      </c>
      <c r="S124" s="1">
        <v>0.50236273158028355</v>
      </c>
      <c r="T124" s="19"/>
      <c r="U124" s="1">
        <v>0.42556419512238974</v>
      </c>
      <c r="V124" s="1">
        <v>0.57443580487761026</v>
      </c>
      <c r="W124" s="1">
        <v>-8.4000000000000075E-2</v>
      </c>
      <c r="X124" s="1">
        <v>1.0840000000000001</v>
      </c>
      <c r="Y124" s="17"/>
      <c r="Z124" s="12">
        <v>-5.0956419512238984</v>
      </c>
      <c r="AA124" s="12">
        <v>5.0956419512238984</v>
      </c>
      <c r="AB124" s="12">
        <v>-2.4749090251897892</v>
      </c>
      <c r="AC124" s="12">
        <v>-2.6207329260341092</v>
      </c>
      <c r="AD124" s="12">
        <v>2.5598606097719236</v>
      </c>
      <c r="AE124" s="12">
        <v>2.5357813414519748</v>
      </c>
      <c r="AF124" s="17"/>
      <c r="AG124">
        <v>122</v>
      </c>
      <c r="AH124">
        <v>9</v>
      </c>
      <c r="AI124">
        <v>3</v>
      </c>
      <c r="AJ124">
        <v>38</v>
      </c>
      <c r="AK124">
        <v>32</v>
      </c>
    </row>
    <row r="125" spans="1:37" x14ac:dyDescent="0.25">
      <c r="A125">
        <v>123</v>
      </c>
      <c r="B125" t="s">
        <v>196</v>
      </c>
      <c r="C125" t="s">
        <v>197</v>
      </c>
      <c r="D125" t="s">
        <v>231</v>
      </c>
      <c r="E125" t="s">
        <v>217</v>
      </c>
      <c r="F125">
        <v>1</v>
      </c>
      <c r="G125">
        <v>10</v>
      </c>
      <c r="H125" s="17"/>
      <c r="I125" s="1">
        <v>91.960849788853452</v>
      </c>
      <c r="J125" s="1">
        <v>97.379267073965892</v>
      </c>
      <c r="K125" s="1">
        <v>189.34011686281934</v>
      </c>
      <c r="L125" s="1">
        <v>0.48569131208195515</v>
      </c>
      <c r="M125" s="1">
        <v>0.51430868791804485</v>
      </c>
      <c r="N125" s="19"/>
      <c r="O125" s="1">
        <v>102.55986060977192</v>
      </c>
      <c r="P125" s="1">
        <v>103.4853611781015</v>
      </c>
      <c r="Q125" s="1">
        <v>206.0452217878734</v>
      </c>
      <c r="R125" s="1">
        <v>0.49775413241739142</v>
      </c>
      <c r="S125" s="1">
        <v>0.5022458675826087</v>
      </c>
      <c r="T125" s="19"/>
      <c r="U125" s="1">
        <v>0.31663087183487543</v>
      </c>
      <c r="V125" s="1">
        <v>0.68336912816512463</v>
      </c>
      <c r="W125" s="1">
        <v>-0.27175000000000005</v>
      </c>
      <c r="X125" s="1">
        <v>1.2717499999999999</v>
      </c>
      <c r="Y125" s="17"/>
      <c r="Z125" s="12">
        <v>-5.8838087183487549</v>
      </c>
      <c r="AA125" s="12">
        <v>5.8838087183487531</v>
      </c>
      <c r="AB125" s="12">
        <v>-2.8577147764540536</v>
      </c>
      <c r="AC125" s="12">
        <v>-3.0260939418947013</v>
      </c>
      <c r="AD125" s="12">
        <v>2.9551186144371857</v>
      </c>
      <c r="AE125" s="12">
        <v>2.9286901039115665</v>
      </c>
      <c r="AF125" s="17"/>
      <c r="AG125">
        <v>123</v>
      </c>
      <c r="AH125">
        <v>9</v>
      </c>
      <c r="AI125">
        <v>3</v>
      </c>
      <c r="AJ125">
        <v>38</v>
      </c>
      <c r="AK125">
        <v>32</v>
      </c>
    </row>
    <row r="126" spans="1:37" x14ac:dyDescent="0.25">
      <c r="A126">
        <v>124</v>
      </c>
      <c r="B126" t="s">
        <v>208</v>
      </c>
      <c r="C126" t="s">
        <v>225</v>
      </c>
      <c r="D126" t="s">
        <v>210</v>
      </c>
      <c r="E126" t="s">
        <v>190</v>
      </c>
      <c r="F126">
        <v>10</v>
      </c>
      <c r="G126">
        <v>8</v>
      </c>
      <c r="H126" s="17"/>
      <c r="I126" s="1">
        <v>104.39254927486651</v>
      </c>
      <c r="J126" s="1">
        <v>94.949016717980697</v>
      </c>
      <c r="K126" s="1">
        <v>199.34156599284722</v>
      </c>
      <c r="L126" s="1">
        <v>0.52368681240626114</v>
      </c>
      <c r="M126" s="1">
        <v>0.47631318759373875</v>
      </c>
      <c r="N126" s="19"/>
      <c r="O126" s="1">
        <v>100</v>
      </c>
      <c r="P126" s="1">
        <v>93.465985799465457</v>
      </c>
      <c r="Q126" s="1">
        <v>193.46598579946544</v>
      </c>
      <c r="R126" s="1">
        <v>0.51688672604006813</v>
      </c>
      <c r="S126" s="1">
        <v>0.48311327395993198</v>
      </c>
      <c r="T126" s="19"/>
      <c r="U126" s="1">
        <v>0.56723540329248279</v>
      </c>
      <c r="V126" s="1">
        <v>0.43276459670751721</v>
      </c>
      <c r="W126" s="1">
        <v>0.55600000000000005</v>
      </c>
      <c r="X126" s="1">
        <v>0.44400000000000001</v>
      </c>
      <c r="Y126" s="17"/>
      <c r="Z126" s="12">
        <v>-0.11235403292482737</v>
      </c>
      <c r="AA126" s="12">
        <v>0.11235403292482793</v>
      </c>
      <c r="AB126" s="12">
        <v>-5.883832536339096E-2</v>
      </c>
      <c r="AC126" s="12">
        <v>-5.35157075614364E-2</v>
      </c>
      <c r="AD126" s="12">
        <v>5.42797246889156E-2</v>
      </c>
      <c r="AE126" s="12">
        <v>5.8074308235912316E-2</v>
      </c>
      <c r="AF126" s="17"/>
      <c r="AG126">
        <v>124</v>
      </c>
      <c r="AH126">
        <v>20</v>
      </c>
      <c r="AI126">
        <v>41</v>
      </c>
      <c r="AJ126">
        <v>22</v>
      </c>
      <c r="AK126">
        <v>2</v>
      </c>
    </row>
    <row r="127" spans="1:37" x14ac:dyDescent="0.25">
      <c r="A127">
        <v>125</v>
      </c>
      <c r="B127" t="s">
        <v>208</v>
      </c>
      <c r="C127" t="s">
        <v>225</v>
      </c>
      <c r="D127" t="s">
        <v>210</v>
      </c>
      <c r="E127" t="s">
        <v>190</v>
      </c>
      <c r="F127">
        <v>10</v>
      </c>
      <c r="G127">
        <v>9</v>
      </c>
      <c r="H127" s="17"/>
      <c r="I127" s="1">
        <v>104.33371094950311</v>
      </c>
      <c r="J127" s="1">
        <v>94.895501010419267</v>
      </c>
      <c r="K127" s="1">
        <v>199.2292119599224</v>
      </c>
      <c r="L127" s="1">
        <v>0.52368681240626114</v>
      </c>
      <c r="M127" s="1">
        <v>0.47631318759373881</v>
      </c>
      <c r="N127" s="19"/>
      <c r="O127" s="1">
        <v>100.05427972468891</v>
      </c>
      <c r="P127" s="1">
        <v>93.524060107701374</v>
      </c>
      <c r="Q127" s="1">
        <v>193.57833983239027</v>
      </c>
      <c r="R127" s="1">
        <v>0.51686712372531385</v>
      </c>
      <c r="S127" s="1">
        <v>0.48313287627468621</v>
      </c>
      <c r="T127" s="19"/>
      <c r="U127" s="1">
        <v>0.56469339013723752</v>
      </c>
      <c r="V127" s="1">
        <v>0.43530660986276243</v>
      </c>
      <c r="W127" s="1">
        <v>0.52575000000000005</v>
      </c>
      <c r="X127" s="1">
        <v>0.47425</v>
      </c>
      <c r="Y127" s="17"/>
      <c r="Z127" s="12">
        <v>-0.38943390137237466</v>
      </c>
      <c r="AA127" s="12">
        <v>0.38943390137237577</v>
      </c>
      <c r="AB127" s="12">
        <v>-0.20394139845263318</v>
      </c>
      <c r="AC127" s="12">
        <v>-0.18549250291974145</v>
      </c>
      <c r="AD127" s="12">
        <v>0.18814832088890834</v>
      </c>
      <c r="AE127" s="12">
        <v>0.20128558048346737</v>
      </c>
      <c r="AF127" s="17"/>
      <c r="AG127">
        <v>125</v>
      </c>
      <c r="AH127">
        <v>20</v>
      </c>
      <c r="AI127">
        <v>41</v>
      </c>
      <c r="AJ127">
        <v>22</v>
      </c>
      <c r="AK127">
        <v>2</v>
      </c>
    </row>
    <row r="128" spans="1:37" x14ac:dyDescent="0.25">
      <c r="A128">
        <v>126</v>
      </c>
      <c r="B128" t="s">
        <v>225</v>
      </c>
      <c r="C128" t="s">
        <v>199</v>
      </c>
      <c r="D128" t="s">
        <v>231</v>
      </c>
      <c r="E128" t="s">
        <v>196</v>
      </c>
      <c r="F128">
        <v>10</v>
      </c>
      <c r="G128">
        <v>5</v>
      </c>
      <c r="H128" s="17"/>
      <c r="I128" s="1">
        <v>94.710008507499523</v>
      </c>
      <c r="J128" s="1">
        <v>103.3154251559375</v>
      </c>
      <c r="K128" s="1">
        <v>198.02543366343701</v>
      </c>
      <c r="L128" s="1">
        <v>0.47827194090870245</v>
      </c>
      <c r="M128" s="1">
        <v>0.5217280590912976</v>
      </c>
      <c r="N128" s="19"/>
      <c r="O128" s="1">
        <v>105.5149792242091</v>
      </c>
      <c r="P128" s="1">
        <v>89.103135012399392</v>
      </c>
      <c r="Q128" s="1">
        <v>194.61811423660851</v>
      </c>
      <c r="R128" s="1">
        <v>0.54216422576126921</v>
      </c>
      <c r="S128" s="1">
        <v>0.45783577423873068</v>
      </c>
      <c r="T128" s="19"/>
      <c r="U128" s="1">
        <v>0.53914792368184017</v>
      </c>
      <c r="V128" s="1">
        <v>0.46085207631815983</v>
      </c>
      <c r="W128" s="1">
        <v>0.71875</v>
      </c>
      <c r="X128" s="1">
        <v>0.28125</v>
      </c>
      <c r="Y128" s="17"/>
      <c r="Z128" s="12">
        <v>1.7960207631815983</v>
      </c>
      <c r="AA128" s="12">
        <v>-1.7960207631815983</v>
      </c>
      <c r="AB128" s="12">
        <v>0.93703442686240634</v>
      </c>
      <c r="AC128" s="12">
        <v>0.85898633631919197</v>
      </c>
      <c r="AD128" s="12">
        <v>-0.9737382065215151</v>
      </c>
      <c r="AE128" s="12">
        <v>-0.82228255666008299</v>
      </c>
      <c r="AF128" s="17"/>
      <c r="AG128">
        <v>126</v>
      </c>
      <c r="AH128">
        <v>41</v>
      </c>
      <c r="AI128">
        <v>11</v>
      </c>
      <c r="AJ128">
        <v>38</v>
      </c>
      <c r="AK128">
        <v>9</v>
      </c>
    </row>
    <row r="129" spans="1:37" x14ac:dyDescent="0.25">
      <c r="A129">
        <v>127</v>
      </c>
      <c r="B129" t="s">
        <v>225</v>
      </c>
      <c r="C129" t="s">
        <v>199</v>
      </c>
      <c r="D129" t="s">
        <v>231</v>
      </c>
      <c r="E129" t="s">
        <v>196</v>
      </c>
      <c r="F129">
        <v>10</v>
      </c>
      <c r="G129">
        <v>4</v>
      </c>
      <c r="H129" s="17"/>
      <c r="I129" s="1">
        <v>95.647042934361934</v>
      </c>
      <c r="J129" s="1">
        <v>104.1744114922567</v>
      </c>
      <c r="K129" s="1">
        <v>199.82145442661863</v>
      </c>
      <c r="L129" s="1">
        <v>0.47866253005123055</v>
      </c>
      <c r="M129" s="1">
        <v>0.52133746994876951</v>
      </c>
      <c r="N129" s="19"/>
      <c r="O129" s="1">
        <v>104.54124101768758</v>
      </c>
      <c r="P129" s="1">
        <v>88.280852455739307</v>
      </c>
      <c r="Q129" s="1">
        <v>192.82209347342689</v>
      </c>
      <c r="R129" s="1">
        <v>0.54216422576126932</v>
      </c>
      <c r="S129" s="1">
        <v>0.45783577423873073</v>
      </c>
      <c r="T129" s="19"/>
      <c r="U129" s="1">
        <v>0.5798925909178877</v>
      </c>
      <c r="V129" s="1">
        <v>0.4201074090821123</v>
      </c>
      <c r="W129" s="1">
        <v>0.81200000000000006</v>
      </c>
      <c r="X129" s="1">
        <v>0.18799999999999994</v>
      </c>
      <c r="Y129" s="17"/>
      <c r="Z129" s="12">
        <v>2.3210740908211234</v>
      </c>
      <c r="AA129" s="12">
        <v>-2.3210740908211234</v>
      </c>
      <c r="AB129" s="12">
        <v>1.2100628940723246</v>
      </c>
      <c r="AC129" s="12">
        <v>1.1110111967487986</v>
      </c>
      <c r="AD129" s="12">
        <v>-1.2584033373845764</v>
      </c>
      <c r="AE129" s="12">
        <v>-1.0626707534365469</v>
      </c>
      <c r="AF129" s="17"/>
      <c r="AG129">
        <v>127</v>
      </c>
      <c r="AH129">
        <v>41</v>
      </c>
      <c r="AI129">
        <v>11</v>
      </c>
      <c r="AJ129">
        <v>38</v>
      </c>
      <c r="AK129">
        <v>9</v>
      </c>
    </row>
    <row r="130" spans="1:37" x14ac:dyDescent="0.25">
      <c r="A130">
        <v>128</v>
      </c>
      <c r="B130" t="s">
        <v>208</v>
      </c>
      <c r="C130" t="s">
        <v>224</v>
      </c>
      <c r="D130" t="s">
        <v>227</v>
      </c>
      <c r="E130" t="s">
        <v>222</v>
      </c>
      <c r="F130">
        <v>10</v>
      </c>
      <c r="G130">
        <v>5</v>
      </c>
      <c r="H130" s="17"/>
      <c r="I130" s="1">
        <v>104.12976955105049</v>
      </c>
      <c r="J130" s="1">
        <v>107.57763511805702</v>
      </c>
      <c r="K130" s="1">
        <v>211.70740466910752</v>
      </c>
      <c r="L130" s="1">
        <v>0.49185700289417023</v>
      </c>
      <c r="M130" s="1">
        <v>0.50814299710582966</v>
      </c>
      <c r="N130" s="19"/>
      <c r="O130" s="1">
        <v>105.7985358843531</v>
      </c>
      <c r="P130" s="1">
        <v>94.122758132868739</v>
      </c>
      <c r="Q130" s="1">
        <v>199.92129401722184</v>
      </c>
      <c r="R130" s="1">
        <v>0.5292009358204699</v>
      </c>
      <c r="S130" s="1">
        <v>0.47079906417953016</v>
      </c>
      <c r="T130" s="19"/>
      <c r="U130" s="1">
        <v>0.63245666022911595</v>
      </c>
      <c r="V130" s="1">
        <v>0.36754333977088399</v>
      </c>
      <c r="W130" s="1">
        <v>0.71875</v>
      </c>
      <c r="X130" s="1">
        <v>0.28125</v>
      </c>
      <c r="Y130" s="17"/>
      <c r="Z130" s="12">
        <v>0.86293339770884048</v>
      </c>
      <c r="AA130" s="12">
        <v>-0.86293339770883992</v>
      </c>
      <c r="AB130" s="12">
        <v>0.43849356301448716</v>
      </c>
      <c r="AC130" s="12">
        <v>0.42443983469435337</v>
      </c>
      <c r="AD130" s="12">
        <v>-0.45666516161825582</v>
      </c>
      <c r="AE130" s="12">
        <v>-0.40626823609058416</v>
      </c>
      <c r="AF130" s="17"/>
      <c r="AG130">
        <v>128</v>
      </c>
      <c r="AH130">
        <v>20</v>
      </c>
      <c r="AI130">
        <v>40</v>
      </c>
      <c r="AJ130">
        <v>46</v>
      </c>
      <c r="AK130">
        <v>37</v>
      </c>
    </row>
    <row r="131" spans="1:37" x14ac:dyDescent="0.25">
      <c r="A131">
        <v>129</v>
      </c>
      <c r="B131" t="s">
        <v>208</v>
      </c>
      <c r="C131" t="s">
        <v>224</v>
      </c>
      <c r="D131" t="s">
        <v>227</v>
      </c>
      <c r="E131" t="s">
        <v>222</v>
      </c>
      <c r="F131">
        <v>10</v>
      </c>
      <c r="G131">
        <v>2</v>
      </c>
      <c r="H131" s="17"/>
      <c r="I131" s="1">
        <v>104.56826311406498</v>
      </c>
      <c r="J131" s="1">
        <v>108.00207495275137</v>
      </c>
      <c r="K131" s="1">
        <v>212.57033806681636</v>
      </c>
      <c r="L131" s="1">
        <v>0.49192311620258355</v>
      </c>
      <c r="M131" s="1">
        <v>0.50807688379741633</v>
      </c>
      <c r="N131" s="19"/>
      <c r="O131" s="1">
        <v>105.34187072273484</v>
      </c>
      <c r="P131" s="1">
        <v>93.716489896778157</v>
      </c>
      <c r="Q131" s="1">
        <v>199.058360619513</v>
      </c>
      <c r="R131" s="1">
        <v>0.5292009358204699</v>
      </c>
      <c r="S131" s="1">
        <v>0.47079906417953016</v>
      </c>
      <c r="T131" s="19"/>
      <c r="U131" s="1">
        <v>0.65073000213042076</v>
      </c>
      <c r="V131" s="1">
        <v>0.34926999786957913</v>
      </c>
      <c r="W131" s="1">
        <v>1.0840000000000001</v>
      </c>
      <c r="X131" s="1">
        <v>-8.4000000000000075E-2</v>
      </c>
      <c r="Y131" s="17"/>
      <c r="Z131" s="12">
        <v>4.3326999786957927</v>
      </c>
      <c r="AA131" s="12">
        <v>-4.3326999786957918</v>
      </c>
      <c r="AB131" s="12">
        <v>2.201344703604891</v>
      </c>
      <c r="AC131" s="12">
        <v>2.1313552750909022</v>
      </c>
      <c r="AD131" s="12">
        <v>-2.2928688833551432</v>
      </c>
      <c r="AE131" s="12">
        <v>-2.0398310953406491</v>
      </c>
      <c r="AF131" s="17"/>
      <c r="AG131">
        <v>129</v>
      </c>
      <c r="AH131">
        <v>20</v>
      </c>
      <c r="AI131">
        <v>40</v>
      </c>
      <c r="AJ131">
        <v>46</v>
      </c>
      <c r="AK131">
        <v>37</v>
      </c>
    </row>
    <row r="132" spans="1:37" x14ac:dyDescent="0.25">
      <c r="A132">
        <v>130</v>
      </c>
      <c r="B132" t="s">
        <v>208</v>
      </c>
      <c r="C132" t="s">
        <v>227</v>
      </c>
      <c r="D132" t="s">
        <v>190</v>
      </c>
      <c r="E132" t="s">
        <v>201</v>
      </c>
      <c r="F132">
        <v>10</v>
      </c>
      <c r="G132">
        <v>5</v>
      </c>
      <c r="H132" s="17"/>
      <c r="I132" s="1">
        <v>106.76960781766986</v>
      </c>
      <c r="J132" s="1">
        <v>103.0490018393797</v>
      </c>
      <c r="K132" s="1">
        <v>209.81860965704956</v>
      </c>
      <c r="L132" s="1">
        <v>0.50886624400088132</v>
      </c>
      <c r="M132" s="1">
        <v>0.49113375599911863</v>
      </c>
      <c r="N132" s="19"/>
      <c r="O132" s="1">
        <v>93.725345688184845</v>
      </c>
      <c r="P132" s="1">
        <v>100</v>
      </c>
      <c r="Q132" s="1">
        <v>193.72534568818486</v>
      </c>
      <c r="R132" s="1">
        <v>0.48380528296510389</v>
      </c>
      <c r="S132" s="1">
        <v>0.51619471703489606</v>
      </c>
      <c r="T132" s="19"/>
      <c r="U132" s="1">
        <v>0.67724120046578895</v>
      </c>
      <c r="V132" s="1">
        <v>0.3227587995342111</v>
      </c>
      <c r="W132" s="1">
        <v>0.71875</v>
      </c>
      <c r="X132" s="1">
        <v>0.28125</v>
      </c>
      <c r="Y132" s="17"/>
      <c r="Z132" s="12">
        <v>0.41508799534211049</v>
      </c>
      <c r="AA132" s="12">
        <v>-0.41508799534211105</v>
      </c>
      <c r="AB132" s="12">
        <v>0.20386372622251542</v>
      </c>
      <c r="AC132" s="12">
        <v>0.21122426911959508</v>
      </c>
      <c r="AD132" s="12">
        <v>-0.20082176504190777</v>
      </c>
      <c r="AE132" s="12">
        <v>-0.21426623030020325</v>
      </c>
      <c r="AF132" s="17"/>
      <c r="AG132">
        <v>130</v>
      </c>
      <c r="AH132">
        <v>20</v>
      </c>
      <c r="AI132">
        <v>46</v>
      </c>
      <c r="AJ132">
        <v>2</v>
      </c>
      <c r="AK132">
        <v>13</v>
      </c>
    </row>
    <row r="133" spans="1:37" x14ac:dyDescent="0.25">
      <c r="A133">
        <v>131</v>
      </c>
      <c r="B133" t="s">
        <v>208</v>
      </c>
      <c r="C133" t="s">
        <v>227</v>
      </c>
      <c r="D133" t="s">
        <v>190</v>
      </c>
      <c r="E133" t="s">
        <v>201</v>
      </c>
      <c r="F133">
        <v>10</v>
      </c>
      <c r="G133">
        <v>4</v>
      </c>
      <c r="H133" s="17"/>
      <c r="I133" s="1">
        <v>106.97347154389239</v>
      </c>
      <c r="J133" s="1">
        <v>103.2602261084993</v>
      </c>
      <c r="K133" s="1">
        <v>210.2336976523917</v>
      </c>
      <c r="L133" s="1">
        <v>0.50883123275872899</v>
      </c>
      <c r="M133" s="1">
        <v>0.4911687672412709</v>
      </c>
      <c r="N133" s="19"/>
      <c r="O133" s="1">
        <v>93.524523923142937</v>
      </c>
      <c r="P133" s="1">
        <v>99.785733769699803</v>
      </c>
      <c r="Q133" s="1">
        <v>193.31025769284275</v>
      </c>
      <c r="R133" s="1">
        <v>0.48380528296510389</v>
      </c>
      <c r="S133" s="1">
        <v>0.51619471703489606</v>
      </c>
      <c r="T133" s="19"/>
      <c r="U133" s="1">
        <v>0.6855406994614055</v>
      </c>
      <c r="V133" s="1">
        <v>0.31445930053859455</v>
      </c>
      <c r="W133" s="1">
        <v>0.81200000000000006</v>
      </c>
      <c r="X133" s="1">
        <v>0.18799999999999994</v>
      </c>
      <c r="Y133" s="17"/>
      <c r="Z133" s="12">
        <v>1.2645930053859455</v>
      </c>
      <c r="AA133" s="12">
        <v>-1.264593005385946</v>
      </c>
      <c r="AB133" s="12">
        <v>0.6211285875173489</v>
      </c>
      <c r="AC133" s="12">
        <v>0.64346441786859687</v>
      </c>
      <c r="AD133" s="12">
        <v>-0.61181677680643876</v>
      </c>
      <c r="AE133" s="12">
        <v>-0.65277622857950712</v>
      </c>
      <c r="AF133" s="17"/>
      <c r="AG133">
        <v>131</v>
      </c>
      <c r="AH133">
        <v>20</v>
      </c>
      <c r="AI133">
        <v>46</v>
      </c>
      <c r="AJ133">
        <v>2</v>
      </c>
      <c r="AK133">
        <v>13</v>
      </c>
    </row>
    <row r="134" spans="1:37" x14ac:dyDescent="0.25">
      <c r="A134">
        <v>132</v>
      </c>
      <c r="B134" t="s">
        <v>192</v>
      </c>
      <c r="C134" t="s">
        <v>210</v>
      </c>
      <c r="D134" t="s">
        <v>230</v>
      </c>
      <c r="E134" t="s">
        <v>217</v>
      </c>
      <c r="F134">
        <v>10</v>
      </c>
      <c r="G134">
        <v>4</v>
      </c>
      <c r="H134" s="17"/>
      <c r="I134" s="1">
        <v>114.98128297841693</v>
      </c>
      <c r="J134" s="1">
        <v>100.24242804557782</v>
      </c>
      <c r="K134" s="1">
        <v>215.22371102399475</v>
      </c>
      <c r="L134" s="1">
        <v>0.53424077872905906</v>
      </c>
      <c r="M134" s="1">
        <v>0.46575922127094094</v>
      </c>
      <c r="N134" s="19"/>
      <c r="O134" s="1">
        <v>91.664502349669036</v>
      </c>
      <c r="P134" s="1">
        <v>106.41405128201306</v>
      </c>
      <c r="Q134" s="1">
        <v>198.0785536316821</v>
      </c>
      <c r="R134" s="1">
        <v>0.4627684353961658</v>
      </c>
      <c r="S134" s="1">
        <v>0.53723156460383426</v>
      </c>
      <c r="T134" s="19"/>
      <c r="U134" s="1">
        <v>0.68773763580459868</v>
      </c>
      <c r="V134" s="1">
        <v>0.31226236419540132</v>
      </c>
      <c r="W134" s="1">
        <v>0.81200000000000006</v>
      </c>
      <c r="X134" s="1">
        <v>0.18799999999999994</v>
      </c>
      <c r="Y134" s="17"/>
      <c r="Z134" s="12">
        <v>1.2426236419540138</v>
      </c>
      <c r="AA134" s="12">
        <v>-1.2426236419540138</v>
      </c>
      <c r="AB134" s="12">
        <v>0.57876341980936197</v>
      </c>
      <c r="AC134" s="12">
        <v>0.66386022214465179</v>
      </c>
      <c r="AD134" s="12">
        <v>-0.57504699857334429</v>
      </c>
      <c r="AE134" s="12">
        <v>-0.66757664338066958</v>
      </c>
      <c r="AF134" s="17"/>
      <c r="AG134">
        <v>132</v>
      </c>
      <c r="AH134">
        <v>5</v>
      </c>
      <c r="AI134">
        <v>22</v>
      </c>
      <c r="AJ134">
        <v>31</v>
      </c>
      <c r="AK134">
        <v>32</v>
      </c>
    </row>
    <row r="135" spans="1:37" x14ac:dyDescent="0.25">
      <c r="A135">
        <v>133</v>
      </c>
      <c r="B135" t="s">
        <v>192</v>
      </c>
      <c r="C135" t="s">
        <v>210</v>
      </c>
      <c r="D135" t="s">
        <v>230</v>
      </c>
      <c r="E135" t="s">
        <v>217</v>
      </c>
      <c r="F135">
        <v>10</v>
      </c>
      <c r="G135">
        <v>9</v>
      </c>
      <c r="H135" s="17"/>
      <c r="I135" s="1">
        <v>115.56004639822629</v>
      </c>
      <c r="J135" s="1">
        <v>100.90628826772247</v>
      </c>
      <c r="K135" s="1">
        <v>216.46633466594875</v>
      </c>
      <c r="L135" s="1">
        <v>0.53384766077625312</v>
      </c>
      <c r="M135" s="1">
        <v>0.46615233922374694</v>
      </c>
      <c r="N135" s="19"/>
      <c r="O135" s="1">
        <v>91.089455351095694</v>
      </c>
      <c r="P135" s="1">
        <v>105.74647463863239</v>
      </c>
      <c r="Q135" s="1">
        <v>196.83592998972807</v>
      </c>
      <c r="R135" s="1">
        <v>0.4627684353961658</v>
      </c>
      <c r="S135" s="1">
        <v>0.53723156460383426</v>
      </c>
      <c r="T135" s="19"/>
      <c r="U135" s="1">
        <v>0.71177358823317549</v>
      </c>
      <c r="V135" s="1">
        <v>0.28822641176682462</v>
      </c>
      <c r="W135" s="1">
        <v>0.52575000000000005</v>
      </c>
      <c r="X135" s="1">
        <v>0.47425</v>
      </c>
      <c r="Y135" s="17"/>
      <c r="Z135" s="12">
        <v>-1.8602358823317544</v>
      </c>
      <c r="AA135" s="12">
        <v>1.8602358823317537</v>
      </c>
      <c r="AB135" s="12">
        <v>-0.99308257427485636</v>
      </c>
      <c r="AC135" s="12">
        <v>-0.86715330805689816</v>
      </c>
      <c r="AD135" s="12">
        <v>0.99937743359728193</v>
      </c>
      <c r="AE135" s="12">
        <v>0.86085844873447159</v>
      </c>
      <c r="AF135" s="17"/>
      <c r="AG135">
        <v>133</v>
      </c>
      <c r="AH135">
        <v>5</v>
      </c>
      <c r="AI135">
        <v>22</v>
      </c>
      <c r="AJ135">
        <v>31</v>
      </c>
      <c r="AK135">
        <v>32</v>
      </c>
    </row>
    <row r="136" spans="1:37" x14ac:dyDescent="0.25">
      <c r="A136">
        <v>134</v>
      </c>
      <c r="B136" t="s">
        <v>231</v>
      </c>
      <c r="C136" t="s">
        <v>196</v>
      </c>
      <c r="D136" t="s">
        <v>230</v>
      </c>
      <c r="E136" t="s">
        <v>222</v>
      </c>
      <c r="F136">
        <v>10</v>
      </c>
      <c r="G136">
        <v>8</v>
      </c>
      <c r="H136" s="17"/>
      <c r="I136" s="1">
        <v>103.282837680303</v>
      </c>
      <c r="J136" s="1">
        <v>87.218181702302758</v>
      </c>
      <c r="K136" s="1">
        <v>190.50101938260576</v>
      </c>
      <c r="L136" s="1">
        <v>0.54216422576126932</v>
      </c>
      <c r="M136" s="1">
        <v>0.45783577423873073</v>
      </c>
      <c r="N136" s="19"/>
      <c r="O136" s="1">
        <v>92.088832784692983</v>
      </c>
      <c r="P136" s="1">
        <v>91.676658801437512</v>
      </c>
      <c r="Q136" s="1">
        <v>183.76549158613051</v>
      </c>
      <c r="R136" s="1">
        <v>0.5011214673105866</v>
      </c>
      <c r="S136" s="1">
        <v>0.49887853268941329</v>
      </c>
      <c r="T136" s="19"/>
      <c r="U136" s="1">
        <v>0.57692981106852226</v>
      </c>
      <c r="V136" s="1">
        <v>0.42307018893147769</v>
      </c>
      <c r="W136" s="1">
        <v>0.55600000000000005</v>
      </c>
      <c r="X136" s="1">
        <v>0.44400000000000001</v>
      </c>
      <c r="Y136" s="17"/>
      <c r="Z136" s="12">
        <v>-0.20929811068522208</v>
      </c>
      <c r="AA136" s="12">
        <v>0.20929811068522319</v>
      </c>
      <c r="AB136" s="12">
        <v>-0.11347394813294988</v>
      </c>
      <c r="AC136" s="12">
        <v>-9.5824162552272218E-2</v>
      </c>
      <c r="AD136" s="12">
        <v>0.10441433435331059</v>
      </c>
      <c r="AE136" s="12">
        <v>0.10488377633191263</v>
      </c>
      <c r="AF136" s="17"/>
      <c r="AG136">
        <v>134</v>
      </c>
      <c r="AH136">
        <v>38</v>
      </c>
      <c r="AI136">
        <v>9</v>
      </c>
      <c r="AJ136">
        <v>31</v>
      </c>
      <c r="AK136">
        <v>37</v>
      </c>
    </row>
    <row r="137" spans="1:37" x14ac:dyDescent="0.25">
      <c r="A137">
        <v>135</v>
      </c>
      <c r="B137" t="s">
        <v>231</v>
      </c>
      <c r="C137" t="s">
        <v>196</v>
      </c>
      <c r="D137" t="s">
        <v>230</v>
      </c>
      <c r="E137" t="s">
        <v>222</v>
      </c>
      <c r="F137">
        <v>9</v>
      </c>
      <c r="G137">
        <v>10</v>
      </c>
      <c r="H137" s="17"/>
      <c r="I137" s="1">
        <v>103.16936373217005</v>
      </c>
      <c r="J137" s="1">
        <v>87.122357539750482</v>
      </c>
      <c r="K137" s="1">
        <v>190.29172127192055</v>
      </c>
      <c r="L137" s="1">
        <v>0.54216422576126921</v>
      </c>
      <c r="M137" s="1">
        <v>0.45783577423873068</v>
      </c>
      <c r="N137" s="19"/>
      <c r="O137" s="1">
        <v>92.193247119046291</v>
      </c>
      <c r="P137" s="1">
        <v>91.781542577769429</v>
      </c>
      <c r="Q137" s="1">
        <v>183.97478969681572</v>
      </c>
      <c r="R137" s="1">
        <v>0.50111891564587552</v>
      </c>
      <c r="S137" s="1">
        <v>0.49888108435412443</v>
      </c>
      <c r="T137" s="19"/>
      <c r="U137" s="1">
        <v>0.57221778751210617</v>
      </c>
      <c r="V137" s="1">
        <v>0.42778221248789389</v>
      </c>
      <c r="W137" s="1">
        <v>0.47425</v>
      </c>
      <c r="X137" s="1">
        <v>0.52575000000000005</v>
      </c>
      <c r="Y137" s="17"/>
      <c r="Z137" s="12">
        <v>-0.97967787512106164</v>
      </c>
      <c r="AA137" s="12">
        <v>0.97967787512106164</v>
      </c>
      <c r="AB137" s="12">
        <v>-0.53114629666045576</v>
      </c>
      <c r="AC137" s="12">
        <v>-0.44853157846060576</v>
      </c>
      <c r="AD137" s="12">
        <v>0.48874276065813976</v>
      </c>
      <c r="AE137" s="12">
        <v>0.49093511446292187</v>
      </c>
      <c r="AF137" s="17"/>
      <c r="AG137">
        <v>135</v>
      </c>
      <c r="AH137">
        <v>38</v>
      </c>
      <c r="AI137">
        <v>9</v>
      </c>
      <c r="AJ137">
        <v>31</v>
      </c>
      <c r="AK137">
        <v>37</v>
      </c>
    </row>
    <row r="138" spans="1:37" x14ac:dyDescent="0.25">
      <c r="A138">
        <v>136</v>
      </c>
      <c r="B138" t="s">
        <v>225</v>
      </c>
      <c r="C138" t="s">
        <v>224</v>
      </c>
      <c r="D138" t="s">
        <v>230</v>
      </c>
      <c r="E138" t="s">
        <v>200</v>
      </c>
      <c r="F138">
        <v>8</v>
      </c>
      <c r="G138">
        <v>10</v>
      </c>
      <c r="H138" s="17"/>
      <c r="I138" s="1">
        <v>96.857105828434257</v>
      </c>
      <c r="J138" s="1">
        <v>110.13343022784227</v>
      </c>
      <c r="K138" s="1">
        <v>206.99053605627654</v>
      </c>
      <c r="L138" s="1">
        <v>0.4679301173561905</v>
      </c>
      <c r="M138" s="1">
        <v>0.5320698826438095</v>
      </c>
      <c r="N138" s="19"/>
      <c r="O138" s="1">
        <v>92.681989879704432</v>
      </c>
      <c r="P138" s="1">
        <v>102.96262758465552</v>
      </c>
      <c r="Q138" s="1">
        <v>195.64461746435995</v>
      </c>
      <c r="R138" s="1">
        <v>0.47372624445744366</v>
      </c>
      <c r="S138" s="1">
        <v>0.5262737555425564</v>
      </c>
      <c r="T138" s="19"/>
      <c r="U138" s="1">
        <v>0.62773189753526804</v>
      </c>
      <c r="V138" s="1">
        <v>0.37226810246473196</v>
      </c>
      <c r="W138" s="1">
        <v>0.44400000000000001</v>
      </c>
      <c r="X138" s="1">
        <v>0.55600000000000005</v>
      </c>
      <c r="Y138" s="17"/>
      <c r="Z138" s="12">
        <v>-1.8373189753526802</v>
      </c>
      <c r="AA138" s="12">
        <v>1.8373189753526808</v>
      </c>
      <c r="AB138" s="12">
        <v>-0.85973688375753532</v>
      </c>
      <c r="AC138" s="12">
        <v>-0.97758209159514486</v>
      </c>
      <c r="AD138" s="12">
        <v>0.96693275728845673</v>
      </c>
      <c r="AE138" s="12">
        <v>0.87038621806422389</v>
      </c>
      <c r="AF138" s="17"/>
      <c r="AG138">
        <v>136</v>
      </c>
      <c r="AH138">
        <v>41</v>
      </c>
      <c r="AI138">
        <v>40</v>
      </c>
      <c r="AJ138">
        <v>31</v>
      </c>
      <c r="AK138">
        <v>12</v>
      </c>
    </row>
    <row r="139" spans="1:37" x14ac:dyDescent="0.25">
      <c r="A139">
        <v>137</v>
      </c>
      <c r="B139" t="s">
        <v>225</v>
      </c>
      <c r="C139" t="s">
        <v>224</v>
      </c>
      <c r="D139" t="s">
        <v>230</v>
      </c>
      <c r="E139" t="s">
        <v>200</v>
      </c>
      <c r="F139">
        <v>10</v>
      </c>
      <c r="G139">
        <v>5</v>
      </c>
      <c r="H139" s="17"/>
      <c r="I139" s="1">
        <v>95.997368944676722</v>
      </c>
      <c r="J139" s="1">
        <v>109.15584813624713</v>
      </c>
      <c r="K139" s="1">
        <v>205.15321708092387</v>
      </c>
      <c r="L139" s="1">
        <v>0.46793011735619044</v>
      </c>
      <c r="M139" s="1">
        <v>0.5320698826438095</v>
      </c>
      <c r="N139" s="19"/>
      <c r="O139" s="1">
        <v>93.648922636992893</v>
      </c>
      <c r="P139" s="1">
        <v>103.83301380271975</v>
      </c>
      <c r="Q139" s="1">
        <v>197.48193643971263</v>
      </c>
      <c r="R139" s="1">
        <v>0.4742151324082346</v>
      </c>
      <c r="S139" s="1">
        <v>0.52578486759176546</v>
      </c>
      <c r="T139" s="19"/>
      <c r="U139" s="1">
        <v>0.58741166015506041</v>
      </c>
      <c r="V139" s="1">
        <v>0.41258833984493953</v>
      </c>
      <c r="W139" s="1">
        <v>0.71875</v>
      </c>
      <c r="X139" s="1">
        <v>0.28125</v>
      </c>
      <c r="Y139" s="17"/>
      <c r="Z139" s="12">
        <v>1.3133833984493959</v>
      </c>
      <c r="AA139" s="12">
        <v>-1.3133833984493952</v>
      </c>
      <c r="AB139" s="12">
        <v>0.69881175067929779</v>
      </c>
      <c r="AC139" s="12">
        <v>0.6145716477700981</v>
      </c>
      <c r="AD139" s="12">
        <v>-0.62282628219845704</v>
      </c>
      <c r="AE139" s="12">
        <v>-0.69055711625093819</v>
      </c>
      <c r="AF139" s="17"/>
      <c r="AG139">
        <v>137</v>
      </c>
      <c r="AH139">
        <v>41</v>
      </c>
      <c r="AI139">
        <v>40</v>
      </c>
      <c r="AJ139">
        <v>31</v>
      </c>
      <c r="AK139">
        <v>12</v>
      </c>
    </row>
    <row r="140" spans="1:37" x14ac:dyDescent="0.25">
      <c r="A140">
        <v>138</v>
      </c>
      <c r="B140" t="s">
        <v>190</v>
      </c>
      <c r="C140" t="s">
        <v>223</v>
      </c>
      <c r="D140" t="s">
        <v>231</v>
      </c>
      <c r="E140" t="s">
        <v>192</v>
      </c>
      <c r="F140">
        <v>10</v>
      </c>
      <c r="G140">
        <v>6</v>
      </c>
      <c r="H140" s="17"/>
      <c r="I140" s="1">
        <v>92.912707146336501</v>
      </c>
      <c r="J140" s="1">
        <v>101.77795357803487</v>
      </c>
      <c r="K140" s="1">
        <v>194.69066072437136</v>
      </c>
      <c r="L140" s="1">
        <v>0.47723248152039222</v>
      </c>
      <c r="M140" s="1">
        <v>0.5227675184796079</v>
      </c>
      <c r="N140" s="19"/>
      <c r="O140" s="1">
        <v>102.6382174355096</v>
      </c>
      <c r="P140" s="1">
        <v>114.56696382395144</v>
      </c>
      <c r="Q140" s="1">
        <v>217.20518125946103</v>
      </c>
      <c r="R140" s="1">
        <v>0.47254037330216259</v>
      </c>
      <c r="S140" s="1">
        <v>0.52745962669783752</v>
      </c>
      <c r="T140" s="19"/>
      <c r="U140" s="1">
        <v>0.26176172649671559</v>
      </c>
      <c r="V140" s="1">
        <v>0.73823827350328441</v>
      </c>
      <c r="W140" s="1">
        <v>0.64800000000000002</v>
      </c>
      <c r="X140" s="1">
        <v>0.35199999999999998</v>
      </c>
      <c r="Y140" s="17"/>
      <c r="Z140" s="12">
        <v>3.8623827350328446</v>
      </c>
      <c r="AA140" s="12">
        <v>-3.8623827350328446</v>
      </c>
      <c r="AB140" s="12">
        <v>2.0191282378116004</v>
      </c>
      <c r="AC140" s="12">
        <v>1.8432544972212435</v>
      </c>
      <c r="AD140" s="12">
        <v>-1.825131779448248</v>
      </c>
      <c r="AE140" s="12">
        <v>-2.037250955584597</v>
      </c>
      <c r="AF140" s="17"/>
      <c r="AG140">
        <v>138</v>
      </c>
      <c r="AH140">
        <v>2</v>
      </c>
      <c r="AI140">
        <v>39</v>
      </c>
      <c r="AJ140">
        <v>38</v>
      </c>
      <c r="AK140">
        <v>5</v>
      </c>
    </row>
    <row r="141" spans="1:37" x14ac:dyDescent="0.25">
      <c r="A141">
        <v>139</v>
      </c>
      <c r="B141" t="s">
        <v>190</v>
      </c>
      <c r="C141" t="s">
        <v>223</v>
      </c>
      <c r="D141" t="s">
        <v>231</v>
      </c>
      <c r="E141" t="s">
        <v>192</v>
      </c>
      <c r="F141">
        <v>3</v>
      </c>
      <c r="G141">
        <v>10</v>
      </c>
      <c r="H141" s="17"/>
      <c r="I141" s="1">
        <v>94.931835384148101</v>
      </c>
      <c r="J141" s="1">
        <v>103.62120807525611</v>
      </c>
      <c r="K141" s="1">
        <v>198.55304345940419</v>
      </c>
      <c r="L141" s="1">
        <v>0.47811825862824259</v>
      </c>
      <c r="M141" s="1">
        <v>0.52188174137175747</v>
      </c>
      <c r="N141" s="19"/>
      <c r="O141" s="1">
        <v>100.81308565606136</v>
      </c>
      <c r="P141" s="1">
        <v>112.52971286836684</v>
      </c>
      <c r="Q141" s="1">
        <v>213.34279852442819</v>
      </c>
      <c r="R141" s="1">
        <v>0.47254037330216259</v>
      </c>
      <c r="S141" s="1">
        <v>0.52745962669783741</v>
      </c>
      <c r="T141" s="19"/>
      <c r="U141" s="1">
        <v>0.33601731279579172</v>
      </c>
      <c r="V141" s="1">
        <v>0.66398268720420828</v>
      </c>
      <c r="W141" s="1">
        <v>6.7749999999999977E-2</v>
      </c>
      <c r="X141" s="1">
        <v>0.93224999999999991</v>
      </c>
      <c r="Y141" s="17"/>
      <c r="Z141" s="12">
        <v>-2.6826731279579175</v>
      </c>
      <c r="AA141" s="12">
        <v>2.6826731279579166</v>
      </c>
      <c r="AB141" s="12">
        <v>-1.2826350044080201</v>
      </c>
      <c r="AC141" s="12">
        <v>-1.4000381235498975</v>
      </c>
      <c r="AD141" s="12">
        <v>1.4150017666250025</v>
      </c>
      <c r="AE141" s="12">
        <v>1.267671361332914</v>
      </c>
      <c r="AF141" s="17"/>
      <c r="AG141">
        <v>139</v>
      </c>
      <c r="AH141">
        <v>2</v>
      </c>
      <c r="AI141">
        <v>39</v>
      </c>
      <c r="AJ141">
        <v>38</v>
      </c>
      <c r="AK141">
        <v>5</v>
      </c>
    </row>
    <row r="142" spans="1:37" x14ac:dyDescent="0.25">
      <c r="A142">
        <v>140</v>
      </c>
      <c r="B142" t="s">
        <v>225</v>
      </c>
      <c r="C142" t="s">
        <v>208</v>
      </c>
      <c r="D142" t="s">
        <v>222</v>
      </c>
      <c r="E142" t="s">
        <v>196</v>
      </c>
      <c r="F142">
        <v>10</v>
      </c>
      <c r="G142">
        <v>5</v>
      </c>
      <c r="H142" s="17"/>
      <c r="I142" s="1">
        <v>96.69618069535602</v>
      </c>
      <c r="J142" s="1">
        <v>107.59460013140973</v>
      </c>
      <c r="K142" s="1">
        <v>204.29078082676574</v>
      </c>
      <c r="L142" s="1">
        <v>0.47332620837820544</v>
      </c>
      <c r="M142" s="1">
        <v>0.52667379162179462</v>
      </c>
      <c r="N142" s="19"/>
      <c r="O142" s="1">
        <v>92.272477692232357</v>
      </c>
      <c r="P142" s="1">
        <v>86.673825961289879</v>
      </c>
      <c r="Q142" s="1">
        <v>178.94630365352225</v>
      </c>
      <c r="R142" s="1">
        <v>0.51564338468198434</v>
      </c>
      <c r="S142" s="1">
        <v>0.48435661531801555</v>
      </c>
      <c r="T142" s="19"/>
      <c r="U142" s="1">
        <v>0.76263062019579875</v>
      </c>
      <c r="V142" s="1">
        <v>0.23736937980420125</v>
      </c>
      <c r="W142" s="1">
        <v>0.71875</v>
      </c>
      <c r="X142" s="1">
        <v>0.28125</v>
      </c>
      <c r="Y142" s="17"/>
      <c r="Z142" s="12">
        <v>-0.43880620195798747</v>
      </c>
      <c r="AA142" s="12">
        <v>0.43880620195798747</v>
      </c>
      <c r="AB142" s="12">
        <v>-0.20769847578561529</v>
      </c>
      <c r="AC142" s="12">
        <v>-0.23110772617237221</v>
      </c>
      <c r="AD142" s="12">
        <v>0.21253868676092444</v>
      </c>
      <c r="AE142" s="12">
        <v>0.22626751519706309</v>
      </c>
      <c r="AF142" s="17"/>
      <c r="AG142">
        <v>140</v>
      </c>
      <c r="AH142">
        <v>41</v>
      </c>
      <c r="AI142">
        <v>20</v>
      </c>
      <c r="AJ142">
        <v>37</v>
      </c>
      <c r="AK142">
        <v>9</v>
      </c>
    </row>
    <row r="143" spans="1:37" x14ac:dyDescent="0.25">
      <c r="A143">
        <v>141</v>
      </c>
      <c r="B143" t="s">
        <v>225</v>
      </c>
      <c r="C143" t="s">
        <v>208</v>
      </c>
      <c r="D143" t="s">
        <v>222</v>
      </c>
      <c r="E143" t="s">
        <v>196</v>
      </c>
      <c r="F143">
        <v>10</v>
      </c>
      <c r="G143">
        <v>7</v>
      </c>
      <c r="H143" s="17"/>
      <c r="I143" s="1">
        <v>96.4884822195704</v>
      </c>
      <c r="J143" s="1">
        <v>107.36349240523737</v>
      </c>
      <c r="K143" s="1">
        <v>203.85197462480778</v>
      </c>
      <c r="L143" s="1">
        <v>0.47332620837820538</v>
      </c>
      <c r="M143" s="1">
        <v>0.52667379162179462</v>
      </c>
      <c r="N143" s="19"/>
      <c r="O143" s="1">
        <v>92.485016378993279</v>
      </c>
      <c r="P143" s="1">
        <v>86.900093476486944</v>
      </c>
      <c r="Q143" s="1">
        <v>179.38510985548021</v>
      </c>
      <c r="R143" s="1">
        <v>0.51556685197284713</v>
      </c>
      <c r="S143" s="1">
        <v>0.48443314802715298</v>
      </c>
      <c r="T143" s="19"/>
      <c r="U143" s="1">
        <v>0.75523691680675376</v>
      </c>
      <c r="V143" s="1">
        <v>0.24476308319324616</v>
      </c>
      <c r="W143" s="1">
        <v>0.59525000000000006</v>
      </c>
      <c r="X143" s="1">
        <v>0.40475</v>
      </c>
      <c r="Y143" s="17"/>
      <c r="Z143" s="12">
        <v>-1.599869168067537</v>
      </c>
      <c r="AA143" s="12">
        <v>1.5998691680675383</v>
      </c>
      <c r="AB143" s="12">
        <v>-0.75726000722260112</v>
      </c>
      <c r="AC143" s="12">
        <v>-0.84260916084493587</v>
      </c>
      <c r="AD143" s="12">
        <v>0.77502965751853969</v>
      </c>
      <c r="AE143" s="12">
        <v>0.8248395105489984</v>
      </c>
      <c r="AF143" s="17"/>
      <c r="AG143">
        <v>141</v>
      </c>
      <c r="AH143">
        <v>41</v>
      </c>
      <c r="AI143">
        <v>20</v>
      </c>
      <c r="AJ143">
        <v>37</v>
      </c>
      <c r="AK143">
        <v>9</v>
      </c>
    </row>
    <row r="144" spans="1:37" x14ac:dyDescent="0.25">
      <c r="A144">
        <v>142</v>
      </c>
      <c r="B144" t="s">
        <v>231</v>
      </c>
      <c r="C144" t="s">
        <v>211</v>
      </c>
      <c r="D144" t="s">
        <v>215</v>
      </c>
      <c r="E144" t="s">
        <v>217</v>
      </c>
      <c r="F144">
        <v>5</v>
      </c>
      <c r="G144">
        <v>10</v>
      </c>
      <c r="H144" s="17"/>
      <c r="I144" s="1">
        <v>102.22808742268636</v>
      </c>
      <c r="J144" s="1">
        <v>100</v>
      </c>
      <c r="K144" s="1">
        <v>202.22808742268637</v>
      </c>
      <c r="L144" s="1">
        <v>0.50550884758660974</v>
      </c>
      <c r="M144" s="1">
        <v>0.4944911524133902</v>
      </c>
      <c r="N144" s="19"/>
      <c r="O144" s="1">
        <v>100.67666477865298</v>
      </c>
      <c r="P144" s="1">
        <v>106.60733308736687</v>
      </c>
      <c r="Q144" s="1">
        <v>207.28399786601983</v>
      </c>
      <c r="R144" s="1">
        <v>0.48569434117015819</v>
      </c>
      <c r="S144" s="1">
        <v>0.51430565882984192</v>
      </c>
      <c r="T144" s="19"/>
      <c r="U144" s="1">
        <v>0.44205322469922742</v>
      </c>
      <c r="V144" s="1">
        <v>0.55794677530077263</v>
      </c>
      <c r="W144" s="1">
        <v>0.28125</v>
      </c>
      <c r="X144" s="1">
        <v>0.71875</v>
      </c>
      <c r="Y144" s="17"/>
      <c r="Z144" s="12">
        <v>-1.6080322469922743</v>
      </c>
      <c r="AA144" s="12">
        <v>1.6080322469922737</v>
      </c>
      <c r="AB144" s="12">
        <v>-0.81287452805917115</v>
      </c>
      <c r="AC144" s="12">
        <v>-0.79515771893310305</v>
      </c>
      <c r="AD144" s="12">
        <v>0.8270200842089922</v>
      </c>
      <c r="AE144" s="12">
        <v>0.78101216278328123</v>
      </c>
      <c r="AF144" s="17"/>
      <c r="AG144">
        <v>142</v>
      </c>
      <c r="AH144">
        <v>38</v>
      </c>
      <c r="AI144">
        <v>24</v>
      </c>
      <c r="AJ144">
        <v>29</v>
      </c>
      <c r="AK144">
        <v>32</v>
      </c>
    </row>
    <row r="145" spans="1:37" x14ac:dyDescent="0.25">
      <c r="A145">
        <v>143</v>
      </c>
      <c r="B145" t="s">
        <v>231</v>
      </c>
      <c r="C145" t="s">
        <v>211</v>
      </c>
      <c r="D145" t="s">
        <v>215</v>
      </c>
      <c r="E145" t="s">
        <v>217</v>
      </c>
      <c r="F145">
        <v>6</v>
      </c>
      <c r="G145">
        <v>10</v>
      </c>
      <c r="H145" s="17"/>
      <c r="I145" s="1">
        <v>101.41521289462719</v>
      </c>
      <c r="J145" s="1">
        <v>99.204842281066902</v>
      </c>
      <c r="K145" s="1">
        <v>200.62005517569409</v>
      </c>
      <c r="L145" s="1">
        <v>0.50550884758660974</v>
      </c>
      <c r="M145" s="1">
        <v>0.4944911524133902</v>
      </c>
      <c r="N145" s="19"/>
      <c r="O145" s="1">
        <v>101.50368486286197</v>
      </c>
      <c r="P145" s="1">
        <v>107.38834525015015</v>
      </c>
      <c r="Q145" s="1">
        <v>208.89203011301214</v>
      </c>
      <c r="R145" s="1">
        <v>0.48591458854580388</v>
      </c>
      <c r="S145" s="1">
        <v>0.51408541145419606</v>
      </c>
      <c r="T145" s="19"/>
      <c r="U145" s="1">
        <v>0.40590055654177332</v>
      </c>
      <c r="V145" s="1">
        <v>0.59409944345822674</v>
      </c>
      <c r="W145" s="1">
        <v>0.35199999999999998</v>
      </c>
      <c r="X145" s="1">
        <v>0.64800000000000002</v>
      </c>
      <c r="Y145" s="17"/>
      <c r="Z145" s="12">
        <v>-0.53900556541773337</v>
      </c>
      <c r="AA145" s="12">
        <v>0.53900556541773281</v>
      </c>
      <c r="AB145" s="12">
        <v>-0.27247208221708741</v>
      </c>
      <c r="AC145" s="12">
        <v>-0.26653348320064596</v>
      </c>
      <c r="AD145" s="12">
        <v>0.27709489787387681</v>
      </c>
      <c r="AE145" s="12">
        <v>0.26191066754385606</v>
      </c>
      <c r="AF145" s="17"/>
      <c r="AG145">
        <v>143</v>
      </c>
      <c r="AH145">
        <v>38</v>
      </c>
      <c r="AI145">
        <v>24</v>
      </c>
      <c r="AJ145">
        <v>29</v>
      </c>
      <c r="AK145">
        <v>32</v>
      </c>
    </row>
    <row r="146" spans="1:37" x14ac:dyDescent="0.25">
      <c r="A146">
        <v>144</v>
      </c>
      <c r="B146" t="s">
        <v>196</v>
      </c>
      <c r="C146" t="s">
        <v>224</v>
      </c>
      <c r="D146" t="s">
        <v>199</v>
      </c>
      <c r="E146" t="s">
        <v>222</v>
      </c>
      <c r="F146">
        <v>4</v>
      </c>
      <c r="G146">
        <v>10</v>
      </c>
      <c r="H146" s="17"/>
      <c r="I146" s="1">
        <v>87.724932987035942</v>
      </c>
      <c r="J146" s="1">
        <v>109.77041978401722</v>
      </c>
      <c r="K146" s="1">
        <v>197.49535277105315</v>
      </c>
      <c r="L146" s="1">
        <v>0.444187327732877</v>
      </c>
      <c r="M146" s="1">
        <v>0.55581267226712305</v>
      </c>
      <c r="N146" s="19"/>
      <c r="O146" s="1">
        <v>105.2854226890055</v>
      </c>
      <c r="P146" s="1">
        <v>93.260046036511824</v>
      </c>
      <c r="Q146" s="1">
        <v>198.54546872551731</v>
      </c>
      <c r="R146" s="1">
        <v>0.53028368446201712</v>
      </c>
      <c r="S146" s="1">
        <v>0.46971631553798299</v>
      </c>
      <c r="T146" s="19"/>
      <c r="U146" s="1">
        <v>0.48791244891101093</v>
      </c>
      <c r="V146" s="1">
        <v>0.51208755108898907</v>
      </c>
      <c r="W146" s="1">
        <v>0.18799999999999994</v>
      </c>
      <c r="X146" s="1">
        <v>0.81200000000000006</v>
      </c>
      <c r="Y146" s="17"/>
      <c r="Z146" s="12">
        <v>-2.9991244891101099</v>
      </c>
      <c r="AA146" s="12">
        <v>2.9991244891101099</v>
      </c>
      <c r="AB146" s="12">
        <v>-1.3321730923560497</v>
      </c>
      <c r="AC146" s="12">
        <v>-1.6669513967540603</v>
      </c>
      <c r="AD146" s="12">
        <v>1.408737704864536</v>
      </c>
      <c r="AE146" s="12">
        <v>1.5903867842455734</v>
      </c>
      <c r="AF146" s="17"/>
      <c r="AG146">
        <v>144</v>
      </c>
      <c r="AH146">
        <v>9</v>
      </c>
      <c r="AI146">
        <v>40</v>
      </c>
      <c r="AJ146">
        <v>11</v>
      </c>
      <c r="AK146">
        <v>37</v>
      </c>
    </row>
    <row r="147" spans="1:37" x14ac:dyDescent="0.25">
      <c r="A147">
        <v>145</v>
      </c>
      <c r="B147" t="s">
        <v>196</v>
      </c>
      <c r="C147" t="s">
        <v>224</v>
      </c>
      <c r="D147" t="s">
        <v>199</v>
      </c>
      <c r="E147" t="s">
        <v>222</v>
      </c>
      <c r="F147">
        <v>10</v>
      </c>
      <c r="G147">
        <v>6</v>
      </c>
      <c r="H147" s="17"/>
      <c r="I147" s="1">
        <v>86.392759894679898</v>
      </c>
      <c r="J147" s="1">
        <v>108.10346838726316</v>
      </c>
      <c r="K147" s="1">
        <v>194.49622828194305</v>
      </c>
      <c r="L147" s="1">
        <v>0.444187327732877</v>
      </c>
      <c r="M147" s="1">
        <v>0.55581267226712305</v>
      </c>
      <c r="N147" s="19"/>
      <c r="O147" s="1">
        <v>106.69416039387004</v>
      </c>
      <c r="P147" s="1">
        <v>94.850432820757391</v>
      </c>
      <c r="Q147" s="1">
        <v>201.54459321462741</v>
      </c>
      <c r="R147" s="1">
        <v>0.52938239965708267</v>
      </c>
      <c r="S147" s="1">
        <v>0.47061760034291744</v>
      </c>
      <c r="T147" s="19"/>
      <c r="U147" s="1">
        <v>0.419557733485656</v>
      </c>
      <c r="V147" s="1">
        <v>0.58044226651434394</v>
      </c>
      <c r="W147" s="1">
        <v>0.64800000000000002</v>
      </c>
      <c r="X147" s="1">
        <v>0.35199999999999998</v>
      </c>
      <c r="Y147" s="17"/>
      <c r="Z147" s="12">
        <v>2.2844226651434401</v>
      </c>
      <c r="AA147" s="12">
        <v>-2.2844226651434396</v>
      </c>
      <c r="AB147" s="12">
        <v>1.2697110661009587</v>
      </c>
      <c r="AC147" s="12">
        <v>1.0147115990424813</v>
      </c>
      <c r="AD147" s="12">
        <v>-1.2093331523046622</v>
      </c>
      <c r="AE147" s="12">
        <v>-1.0750895128387776</v>
      </c>
      <c r="AF147" s="17"/>
      <c r="AG147">
        <v>145</v>
      </c>
      <c r="AH147">
        <v>9</v>
      </c>
      <c r="AI147">
        <v>40</v>
      </c>
      <c r="AJ147">
        <v>11</v>
      </c>
      <c r="AK147">
        <v>37</v>
      </c>
    </row>
    <row r="148" spans="1:37" x14ac:dyDescent="0.25">
      <c r="A148">
        <v>146</v>
      </c>
      <c r="B148" t="s">
        <v>190</v>
      </c>
      <c r="C148" t="s">
        <v>223</v>
      </c>
      <c r="D148" t="s">
        <v>224</v>
      </c>
      <c r="E148" t="s">
        <v>230</v>
      </c>
      <c r="F148">
        <v>9</v>
      </c>
      <c r="G148">
        <v>10</v>
      </c>
      <c r="H148" s="17"/>
      <c r="I148" s="1">
        <v>93.64920037974008</v>
      </c>
      <c r="J148" s="1">
        <v>102.22116995170622</v>
      </c>
      <c r="K148" s="1">
        <v>195.87037033144628</v>
      </c>
      <c r="L148" s="1">
        <v>0.47811825862824253</v>
      </c>
      <c r="M148" s="1">
        <v>0.52188174137175747</v>
      </c>
      <c r="N148" s="19"/>
      <c r="O148" s="1">
        <v>109.11817998630565</v>
      </c>
      <c r="P148" s="1">
        <v>93.026096354794433</v>
      </c>
      <c r="Q148" s="1">
        <v>202.14427634110007</v>
      </c>
      <c r="R148" s="1">
        <v>0.5398034609804071</v>
      </c>
      <c r="S148" s="1">
        <v>0.46019653901959295</v>
      </c>
      <c r="T148" s="19"/>
      <c r="U148" s="1">
        <v>0.42826729805562258</v>
      </c>
      <c r="V148" s="1">
        <v>0.57173270194437742</v>
      </c>
      <c r="W148" s="1">
        <v>0.47425</v>
      </c>
      <c r="X148" s="1">
        <v>0.52575000000000005</v>
      </c>
      <c r="Y148" s="17"/>
      <c r="Z148" s="12">
        <v>0.45982701944377424</v>
      </c>
      <c r="AA148" s="12">
        <v>-0.45982701944377369</v>
      </c>
      <c r="AB148" s="12">
        <v>0.23997532563710189</v>
      </c>
      <c r="AC148" s="12">
        <v>0.21985169380667235</v>
      </c>
      <c r="AD148" s="12">
        <v>-0.24821621654805398</v>
      </c>
      <c r="AE148" s="12">
        <v>-0.21161080289571974</v>
      </c>
      <c r="AF148" s="17"/>
      <c r="AG148">
        <v>146</v>
      </c>
      <c r="AH148">
        <v>2</v>
      </c>
      <c r="AI148">
        <v>39</v>
      </c>
      <c r="AJ148">
        <v>40</v>
      </c>
      <c r="AK148">
        <v>31</v>
      </c>
    </row>
    <row r="149" spans="1:37" x14ac:dyDescent="0.25">
      <c r="A149">
        <v>147</v>
      </c>
      <c r="B149" t="s">
        <v>190</v>
      </c>
      <c r="C149" t="s">
        <v>223</v>
      </c>
      <c r="D149" t="s">
        <v>224</v>
      </c>
      <c r="E149" t="s">
        <v>230</v>
      </c>
      <c r="F149">
        <v>10</v>
      </c>
      <c r="G149">
        <v>3</v>
      </c>
      <c r="H149" s="17"/>
      <c r="I149" s="1">
        <v>93.889175705377184</v>
      </c>
      <c r="J149" s="1">
        <v>102.44102164551289</v>
      </c>
      <c r="K149" s="1">
        <v>196.33019735089007</v>
      </c>
      <c r="L149" s="1">
        <v>0.47822075754130816</v>
      </c>
      <c r="M149" s="1">
        <v>0.52177924245869189</v>
      </c>
      <c r="N149" s="19"/>
      <c r="O149" s="1">
        <v>108.86996376975759</v>
      </c>
      <c r="P149" s="1">
        <v>92.814485551898713</v>
      </c>
      <c r="Q149" s="1">
        <v>201.6844493216563</v>
      </c>
      <c r="R149" s="1">
        <v>0.5398034609804071</v>
      </c>
      <c r="S149" s="1">
        <v>0.4601965390195929</v>
      </c>
      <c r="T149" s="19"/>
      <c r="U149" s="1">
        <v>0.43866732350147075</v>
      </c>
      <c r="V149" s="1">
        <v>0.56133267649852925</v>
      </c>
      <c r="W149" s="1">
        <v>0.93224999999999991</v>
      </c>
      <c r="X149" s="1">
        <v>6.7749999999999977E-2</v>
      </c>
      <c r="Y149" s="17"/>
      <c r="Z149" s="12">
        <v>4.9358267649852916</v>
      </c>
      <c r="AA149" s="12">
        <v>-4.9358267649852925</v>
      </c>
      <c r="AB149" s="12">
        <v>2.5754119503413606</v>
      </c>
      <c r="AC149" s="12">
        <v>2.3604148146439301</v>
      </c>
      <c r="AD149" s="12">
        <v>-2.6643763705387875</v>
      </c>
      <c r="AE149" s="12">
        <v>-2.271450394446505</v>
      </c>
      <c r="AF149" s="17"/>
      <c r="AG149">
        <v>147</v>
      </c>
      <c r="AH149">
        <v>2</v>
      </c>
      <c r="AI149">
        <v>39</v>
      </c>
      <c r="AJ149">
        <v>40</v>
      </c>
      <c r="AK149">
        <v>31</v>
      </c>
    </row>
    <row r="150" spans="1:37" x14ac:dyDescent="0.25">
      <c r="A150">
        <v>148</v>
      </c>
      <c r="B150" t="s">
        <v>208</v>
      </c>
      <c r="C150" t="s">
        <v>225</v>
      </c>
      <c r="D150" t="s">
        <v>210</v>
      </c>
      <c r="E150" t="s">
        <v>204</v>
      </c>
      <c r="F150">
        <v>10</v>
      </c>
      <c r="G150">
        <v>6</v>
      </c>
      <c r="H150" s="17"/>
      <c r="I150" s="1">
        <v>106.52088324439244</v>
      </c>
      <c r="J150" s="1">
        <v>95.731222212347802</v>
      </c>
      <c r="K150" s="1">
        <v>202.25210545674025</v>
      </c>
      <c r="L150" s="1">
        <v>0.52667379162179462</v>
      </c>
      <c r="M150" s="1">
        <v>0.47332620837820538</v>
      </c>
      <c r="N150" s="19"/>
      <c r="O150" s="1">
        <v>100.03913495966557</v>
      </c>
      <c r="P150" s="1">
        <v>95.861485755846545</v>
      </c>
      <c r="Q150" s="1">
        <v>195.9006207155121</v>
      </c>
      <c r="R150" s="1">
        <v>0.51066267474947369</v>
      </c>
      <c r="S150" s="1">
        <v>0.48933732525052631</v>
      </c>
      <c r="T150" s="19"/>
      <c r="U150" s="1">
        <v>0.57260725177472316</v>
      </c>
      <c r="V150" s="1">
        <v>0.42739274822527679</v>
      </c>
      <c r="W150" s="1">
        <v>0.64800000000000002</v>
      </c>
      <c r="X150" s="1">
        <v>0.35199999999999998</v>
      </c>
      <c r="Y150" s="17"/>
      <c r="Z150" s="12">
        <v>0.75392748225276862</v>
      </c>
      <c r="AA150" s="12">
        <v>-0.75392748225276807</v>
      </c>
      <c r="AB150" s="12">
        <v>0.35685363656682972</v>
      </c>
      <c r="AC150" s="12">
        <v>0.3970738456859389</v>
      </c>
      <c r="AD150" s="12">
        <v>-0.38500262465433488</v>
      </c>
      <c r="AE150" s="12">
        <v>-0.36892485759843319</v>
      </c>
      <c r="AF150" s="17"/>
      <c r="AG150">
        <v>148</v>
      </c>
      <c r="AH150">
        <v>20</v>
      </c>
      <c r="AI150">
        <v>41</v>
      </c>
      <c r="AJ150">
        <v>22</v>
      </c>
      <c r="AK150">
        <v>16</v>
      </c>
    </row>
    <row r="151" spans="1:37" x14ac:dyDescent="0.25">
      <c r="A151">
        <v>149</v>
      </c>
      <c r="B151" t="s">
        <v>208</v>
      </c>
      <c r="C151" t="s">
        <v>225</v>
      </c>
      <c r="D151" t="s">
        <v>210</v>
      </c>
      <c r="E151" t="s">
        <v>204</v>
      </c>
      <c r="F151">
        <v>10</v>
      </c>
      <c r="G151">
        <v>7</v>
      </c>
      <c r="H151" s="17"/>
      <c r="I151" s="1">
        <v>106.87773688095926</v>
      </c>
      <c r="J151" s="1">
        <v>96.12829605803374</v>
      </c>
      <c r="K151" s="1">
        <v>203.006032938993</v>
      </c>
      <c r="L151" s="1">
        <v>0.52647566840083992</v>
      </c>
      <c r="M151" s="1">
        <v>0.47352433159916008</v>
      </c>
      <c r="N151" s="19"/>
      <c r="O151" s="1">
        <v>99.654132335011241</v>
      </c>
      <c r="P151" s="1">
        <v>95.492560898248115</v>
      </c>
      <c r="Q151" s="1">
        <v>195.14669323325936</v>
      </c>
      <c r="R151" s="1">
        <v>0.51066267474947369</v>
      </c>
      <c r="S151" s="1">
        <v>0.48933732525052631</v>
      </c>
      <c r="T151" s="19"/>
      <c r="U151" s="1">
        <v>0.58950899663087497</v>
      </c>
      <c r="V151" s="1">
        <v>0.41049100336912503</v>
      </c>
      <c r="W151" s="1">
        <v>0.59525000000000006</v>
      </c>
      <c r="X151" s="1">
        <v>0.40475</v>
      </c>
      <c r="Y151" s="17"/>
      <c r="Z151" s="12">
        <v>5.7410033691250861E-2</v>
      </c>
      <c r="AA151" s="12">
        <v>-5.7410033691250306E-2</v>
      </c>
      <c r="AB151" s="12">
        <v>2.7185047830734825E-2</v>
      </c>
      <c r="AC151" s="12">
        <v>3.0224985860516036E-2</v>
      </c>
      <c r="AD151" s="12">
        <v>-2.9317161362231281E-2</v>
      </c>
      <c r="AE151" s="12">
        <v>-2.8092872329019025E-2</v>
      </c>
      <c r="AF151" s="17"/>
      <c r="AG151">
        <v>149</v>
      </c>
      <c r="AH151">
        <v>20</v>
      </c>
      <c r="AI151">
        <v>41</v>
      </c>
      <c r="AJ151">
        <v>22</v>
      </c>
      <c r="AK151">
        <v>16</v>
      </c>
    </row>
    <row r="152" spans="1:37" x14ac:dyDescent="0.25">
      <c r="A152">
        <v>150</v>
      </c>
      <c r="B152" t="s">
        <v>223</v>
      </c>
      <c r="C152" t="s">
        <v>210</v>
      </c>
      <c r="D152" t="s">
        <v>234</v>
      </c>
      <c r="E152" t="s">
        <v>204</v>
      </c>
      <c r="F152">
        <v>10</v>
      </c>
      <c r="G152">
        <v>0</v>
      </c>
      <c r="H152" s="17"/>
      <c r="I152" s="1">
        <v>104.80143646015682</v>
      </c>
      <c r="J152" s="1">
        <v>99.624815173649012</v>
      </c>
      <c r="K152" s="1">
        <v>204.42625163380583</v>
      </c>
      <c r="L152" s="1">
        <v>0.51266134179229783</v>
      </c>
      <c r="M152" s="1">
        <v>0.48733865820770211</v>
      </c>
      <c r="N152" s="19"/>
      <c r="O152" s="1">
        <v>100.11536376468524</v>
      </c>
      <c r="P152" s="1">
        <v>95.464468025919089</v>
      </c>
      <c r="Q152" s="1">
        <v>195.57983179060432</v>
      </c>
      <c r="R152" s="1">
        <v>0.51189001876161133</v>
      </c>
      <c r="S152" s="1">
        <v>0.48810998123838867</v>
      </c>
      <c r="T152" s="19"/>
      <c r="U152" s="1">
        <v>0.60046253014954065</v>
      </c>
      <c r="V152" s="1">
        <v>0.3995374698504594</v>
      </c>
      <c r="W152" s="1">
        <v>1.5</v>
      </c>
      <c r="X152" s="1">
        <v>-0.5</v>
      </c>
      <c r="Y152" s="17"/>
      <c r="Z152" s="12">
        <v>8.9953746985045928</v>
      </c>
      <c r="AA152" s="12">
        <v>-8.9953746985045946</v>
      </c>
      <c r="AB152" s="12">
        <v>4.3837938356447417</v>
      </c>
      <c r="AC152" s="12">
        <v>4.6115808628598511</v>
      </c>
      <c r="AD152" s="12">
        <v>-4.604642523185241</v>
      </c>
      <c r="AE152" s="12">
        <v>-4.3907321753193536</v>
      </c>
      <c r="AF152" s="17"/>
      <c r="AG152">
        <v>150</v>
      </c>
      <c r="AH152">
        <v>39</v>
      </c>
      <c r="AI152">
        <v>22</v>
      </c>
      <c r="AJ152">
        <v>44</v>
      </c>
      <c r="AK152">
        <v>16</v>
      </c>
    </row>
    <row r="153" spans="1:37" x14ac:dyDescent="0.25">
      <c r="A153">
        <v>151</v>
      </c>
      <c r="B153" t="s">
        <v>223</v>
      </c>
      <c r="C153" t="s">
        <v>210</v>
      </c>
      <c r="D153" t="s">
        <v>234</v>
      </c>
      <c r="E153" t="s">
        <v>204</v>
      </c>
      <c r="F153">
        <v>10</v>
      </c>
      <c r="G153">
        <v>8</v>
      </c>
      <c r="H153" s="17"/>
      <c r="I153" s="1">
        <v>109.18523029580156</v>
      </c>
      <c r="J153" s="1">
        <v>104.23639603650886</v>
      </c>
      <c r="K153" s="1">
        <v>213.42162633231044</v>
      </c>
      <c r="L153" s="1">
        <v>0.51159403183346341</v>
      </c>
      <c r="M153" s="1">
        <v>0.48840596816653653</v>
      </c>
      <c r="N153" s="19"/>
      <c r="O153" s="1">
        <v>95.510721241499994</v>
      </c>
      <c r="P153" s="1">
        <v>91.073735850599732</v>
      </c>
      <c r="Q153" s="1">
        <v>186.58445709209974</v>
      </c>
      <c r="R153" s="1">
        <v>0.51189001876161133</v>
      </c>
      <c r="S153" s="1">
        <v>0.48810998123838861</v>
      </c>
      <c r="T153" s="19"/>
      <c r="U153" s="1">
        <v>0.77484907557073879</v>
      </c>
      <c r="V153" s="1">
        <v>0.22515092442926116</v>
      </c>
      <c r="W153" s="1">
        <v>0.55600000000000005</v>
      </c>
      <c r="X153" s="1">
        <v>0.44400000000000001</v>
      </c>
      <c r="Y153" s="17"/>
      <c r="Z153" s="12">
        <v>-2.1884907557073872</v>
      </c>
      <c r="AA153" s="12">
        <v>2.1884907557073885</v>
      </c>
      <c r="AB153" s="12">
        <v>-1.1196188093426054</v>
      </c>
      <c r="AC153" s="12">
        <v>-1.0688719463647816</v>
      </c>
      <c r="AD153" s="12">
        <v>1.0682241817087204</v>
      </c>
      <c r="AE153" s="12">
        <v>1.1202665739986681</v>
      </c>
      <c r="AF153" s="17"/>
      <c r="AG153">
        <v>151</v>
      </c>
      <c r="AH153">
        <v>39</v>
      </c>
      <c r="AI153">
        <v>22</v>
      </c>
      <c r="AJ153">
        <v>44</v>
      </c>
      <c r="AK153">
        <v>16</v>
      </c>
    </row>
    <row r="154" spans="1:37" x14ac:dyDescent="0.25">
      <c r="A154">
        <v>152</v>
      </c>
      <c r="B154" t="s">
        <v>192</v>
      </c>
      <c r="C154" t="s">
        <v>210</v>
      </c>
      <c r="D154" t="s">
        <v>196</v>
      </c>
      <c r="E154" t="s">
        <v>199</v>
      </c>
      <c r="F154">
        <v>10</v>
      </c>
      <c r="G154">
        <v>9</v>
      </c>
      <c r="H154" s="17"/>
      <c r="I154" s="1">
        <v>113.79738422969976</v>
      </c>
      <c r="J154" s="1">
        <v>103.16752409014408</v>
      </c>
      <c r="K154" s="1">
        <v>216.96490831984386</v>
      </c>
      <c r="L154" s="1">
        <v>0.52449672673307479</v>
      </c>
      <c r="M154" s="1">
        <v>0.47550327326692521</v>
      </c>
      <c r="N154" s="19"/>
      <c r="O154" s="1">
        <v>87.662470960780851</v>
      </c>
      <c r="P154" s="1">
        <v>105.48482724156537</v>
      </c>
      <c r="Q154" s="1">
        <v>193.14729820234624</v>
      </c>
      <c r="R154" s="1">
        <v>0.45386330420704785</v>
      </c>
      <c r="S154" s="1">
        <v>0.5461366957929521</v>
      </c>
      <c r="T154" s="19"/>
      <c r="U154" s="1">
        <v>0.74966782643493923</v>
      </c>
      <c r="V154" s="1">
        <v>0.25033217356506082</v>
      </c>
      <c r="W154" s="1">
        <v>0.52575000000000005</v>
      </c>
      <c r="X154" s="1">
        <v>0.47425</v>
      </c>
      <c r="Y154" s="17"/>
      <c r="Z154" s="12">
        <v>-2.239178264349392</v>
      </c>
      <c r="AA154" s="12">
        <v>2.239178264349392</v>
      </c>
      <c r="AB154" s="12">
        <v>-1.1744416702231038</v>
      </c>
      <c r="AC154" s="12">
        <v>-1.0647365941262883</v>
      </c>
      <c r="AD154" s="12">
        <v>1.2228974185831745</v>
      </c>
      <c r="AE154" s="12">
        <v>1.0162808457662176</v>
      </c>
      <c r="AF154" s="17"/>
      <c r="AG154">
        <v>152</v>
      </c>
      <c r="AH154">
        <v>5</v>
      </c>
      <c r="AI154">
        <v>22</v>
      </c>
      <c r="AJ154">
        <v>9</v>
      </c>
      <c r="AK154">
        <v>11</v>
      </c>
    </row>
    <row r="155" spans="1:37" x14ac:dyDescent="0.25">
      <c r="A155">
        <v>153</v>
      </c>
      <c r="B155" t="s">
        <v>192</v>
      </c>
      <c r="C155" t="s">
        <v>210</v>
      </c>
      <c r="D155" t="s">
        <v>196</v>
      </c>
      <c r="E155" t="s">
        <v>199</v>
      </c>
      <c r="F155">
        <v>8</v>
      </c>
      <c r="G155">
        <v>10</v>
      </c>
      <c r="H155" s="17"/>
      <c r="I155" s="1">
        <v>112.62294255947666</v>
      </c>
      <c r="J155" s="1">
        <v>102.1027874960178</v>
      </c>
      <c r="K155" s="1">
        <v>214.72573005549447</v>
      </c>
      <c r="L155" s="1">
        <v>0.52449672673307479</v>
      </c>
      <c r="M155" s="1">
        <v>0.47550327326692521</v>
      </c>
      <c r="N155" s="19"/>
      <c r="O155" s="1">
        <v>88.885368379364024</v>
      </c>
      <c r="P155" s="1">
        <v>106.50110808733159</v>
      </c>
      <c r="Q155" s="1">
        <v>195.38647646669563</v>
      </c>
      <c r="R155" s="1">
        <v>0.45492078053065704</v>
      </c>
      <c r="S155" s="1">
        <v>0.5450792194693429</v>
      </c>
      <c r="T155" s="19"/>
      <c r="U155" s="1">
        <v>0.709015119052398</v>
      </c>
      <c r="V155" s="1">
        <v>0.290984880947602</v>
      </c>
      <c r="W155" s="1">
        <v>0.44400000000000001</v>
      </c>
      <c r="X155" s="1">
        <v>0.55600000000000005</v>
      </c>
      <c r="Y155" s="17"/>
      <c r="Z155" s="12">
        <v>-2.6501511905239798</v>
      </c>
      <c r="AA155" s="12">
        <v>2.6501511905239807</v>
      </c>
      <c r="AB155" s="12">
        <v>-1.3899956247775886</v>
      </c>
      <c r="AC155" s="12">
        <v>-1.2601555657463912</v>
      </c>
      <c r="AD155" s="12">
        <v>1.4445423424065615</v>
      </c>
      <c r="AE155" s="12">
        <v>1.2056088481174194</v>
      </c>
      <c r="AF155" s="17"/>
      <c r="AG155">
        <v>153</v>
      </c>
      <c r="AH155">
        <v>5</v>
      </c>
      <c r="AI155">
        <v>22</v>
      </c>
      <c r="AJ155">
        <v>9</v>
      </c>
      <c r="AK155">
        <v>11</v>
      </c>
    </row>
    <row r="156" spans="1:37" x14ac:dyDescent="0.25">
      <c r="A156">
        <v>154</v>
      </c>
      <c r="B156" t="s">
        <v>231</v>
      </c>
      <c r="C156" t="s">
        <v>210</v>
      </c>
      <c r="D156" t="s">
        <v>196</v>
      </c>
      <c r="E156" t="s">
        <v>199</v>
      </c>
      <c r="F156">
        <v>10</v>
      </c>
      <c r="G156">
        <v>8</v>
      </c>
      <c r="H156" s="17"/>
      <c r="I156" s="1">
        <v>101.1427408124101</v>
      </c>
      <c r="J156" s="1">
        <v>100.84263193027141</v>
      </c>
      <c r="K156" s="1">
        <v>201.98537274268151</v>
      </c>
      <c r="L156" s="1">
        <v>0.5007428975624908</v>
      </c>
      <c r="M156" s="1">
        <v>0.49925710243750915</v>
      </c>
      <c r="N156" s="19"/>
      <c r="O156" s="1">
        <v>90.329910721770588</v>
      </c>
      <c r="P156" s="1">
        <v>107.70671693544901</v>
      </c>
      <c r="Q156" s="1">
        <v>198.03662765721958</v>
      </c>
      <c r="R156" s="1">
        <v>0.45612729215992354</v>
      </c>
      <c r="S156" s="1">
        <v>0.54387270784007657</v>
      </c>
      <c r="T156" s="19"/>
      <c r="U156" s="1">
        <v>0.54533674322727943</v>
      </c>
      <c r="V156" s="1">
        <v>0.45466325677272051</v>
      </c>
      <c r="W156" s="1">
        <v>0.55600000000000005</v>
      </c>
      <c r="X156" s="1">
        <v>0.44400000000000001</v>
      </c>
      <c r="Y156" s="17"/>
      <c r="Z156" s="12">
        <v>0.1066325677272062</v>
      </c>
      <c r="AA156" s="12">
        <v>-0.10663256772720509</v>
      </c>
      <c r="AB156" s="12">
        <v>5.3237066788956421E-2</v>
      </c>
      <c r="AC156" s="12">
        <v>5.3395500938249775E-2</v>
      </c>
      <c r="AD156" s="12">
        <v>-4.8638024373469708E-2</v>
      </c>
      <c r="AE156" s="12">
        <v>-5.7994543353735391E-2</v>
      </c>
      <c r="AF156" s="17"/>
      <c r="AG156">
        <v>154</v>
      </c>
      <c r="AH156">
        <v>38</v>
      </c>
      <c r="AI156">
        <v>22</v>
      </c>
      <c r="AJ156">
        <v>9</v>
      </c>
      <c r="AK156">
        <v>11</v>
      </c>
    </row>
    <row r="157" spans="1:37" x14ac:dyDescent="0.25">
      <c r="A157">
        <v>155</v>
      </c>
      <c r="B157" t="s">
        <v>231</v>
      </c>
      <c r="C157" t="s">
        <v>210</v>
      </c>
      <c r="D157" t="s">
        <v>196</v>
      </c>
      <c r="E157" t="s">
        <v>199</v>
      </c>
      <c r="F157">
        <v>10</v>
      </c>
      <c r="G157">
        <v>9</v>
      </c>
      <c r="H157" s="17"/>
      <c r="I157" s="1">
        <v>101.19597787919905</v>
      </c>
      <c r="J157" s="1">
        <v>100.89602743120966</v>
      </c>
      <c r="K157" s="1">
        <v>202.09200531040869</v>
      </c>
      <c r="L157" s="1">
        <v>0.50074211359209553</v>
      </c>
      <c r="M157" s="1">
        <v>0.49925788640790453</v>
      </c>
      <c r="N157" s="19"/>
      <c r="O157" s="1">
        <v>90.281272697397114</v>
      </c>
      <c r="P157" s="1">
        <v>107.64872239209528</v>
      </c>
      <c r="Q157" s="1">
        <v>197.92999508949239</v>
      </c>
      <c r="R157" s="1">
        <v>0.45612729215992348</v>
      </c>
      <c r="S157" s="1">
        <v>0.54387270784007657</v>
      </c>
      <c r="T157" s="19"/>
      <c r="U157" s="1">
        <v>0.54777075875633718</v>
      </c>
      <c r="V157" s="1">
        <v>0.45222924124366282</v>
      </c>
      <c r="W157" s="1">
        <v>0.52575000000000005</v>
      </c>
      <c r="X157" s="1">
        <v>0.47425</v>
      </c>
      <c r="Y157" s="17"/>
      <c r="Z157" s="12">
        <v>-0.22020758756337133</v>
      </c>
      <c r="AA157" s="12">
        <v>0.22020758756337189</v>
      </c>
      <c r="AB157" s="12">
        <v>-0.11026721282549901</v>
      </c>
      <c r="AC157" s="12">
        <v>-0.10994037473787234</v>
      </c>
      <c r="AD157" s="12">
        <v>0.11976489693502182</v>
      </c>
      <c r="AE157" s="12">
        <v>0.10044269062835005</v>
      </c>
      <c r="AF157" s="17"/>
      <c r="AG157">
        <v>155</v>
      </c>
      <c r="AH157">
        <v>38</v>
      </c>
      <c r="AI157">
        <v>22</v>
      </c>
      <c r="AJ157">
        <v>9</v>
      </c>
      <c r="AK157">
        <v>11</v>
      </c>
    </row>
    <row r="158" spans="1:37" x14ac:dyDescent="0.25">
      <c r="A158">
        <v>156</v>
      </c>
      <c r="B158" t="s">
        <v>192</v>
      </c>
      <c r="C158" t="s">
        <v>230</v>
      </c>
      <c r="D158" t="s">
        <v>225</v>
      </c>
      <c r="E158" t="s">
        <v>222</v>
      </c>
      <c r="F158">
        <v>10</v>
      </c>
      <c r="G158">
        <v>7</v>
      </c>
      <c r="H158" s="17"/>
      <c r="I158" s="1">
        <v>111.23294693469907</v>
      </c>
      <c r="J158" s="1">
        <v>90.543035157452209</v>
      </c>
      <c r="K158" s="1">
        <v>201.77598209215128</v>
      </c>
      <c r="L158" s="1">
        <v>0.55126951077804132</v>
      </c>
      <c r="M158" s="1">
        <v>0.44873048922195863</v>
      </c>
      <c r="N158" s="19"/>
      <c r="O158" s="1">
        <v>96.158521043894254</v>
      </c>
      <c r="P158" s="1">
        <v>93.775343307918618</v>
      </c>
      <c r="Q158" s="1">
        <v>189.93386435181287</v>
      </c>
      <c r="R158" s="1">
        <v>0.50627370412356087</v>
      </c>
      <c r="S158" s="1">
        <v>0.49372629587643913</v>
      </c>
      <c r="T158" s="19"/>
      <c r="U158" s="1">
        <v>0.63305600872919576</v>
      </c>
      <c r="V158" s="1">
        <v>0.36694399127080424</v>
      </c>
      <c r="W158" s="1">
        <v>0.59525000000000006</v>
      </c>
      <c r="X158" s="1">
        <v>0.40475</v>
      </c>
      <c r="Y158" s="17"/>
      <c r="Z158" s="12">
        <v>-0.37806008729195706</v>
      </c>
      <c r="AA158" s="12">
        <v>0.37806008729195761</v>
      </c>
      <c r="AB158" s="12">
        <v>-0.20841299936614077</v>
      </c>
      <c r="AC158" s="12">
        <v>-0.16964708792581629</v>
      </c>
      <c r="AD158" s="12">
        <v>0.18665820651738146</v>
      </c>
      <c r="AE158" s="12">
        <v>0.19140188077457615</v>
      </c>
      <c r="AF158" s="17"/>
      <c r="AG158">
        <v>156</v>
      </c>
      <c r="AH158">
        <v>5</v>
      </c>
      <c r="AI158">
        <v>31</v>
      </c>
      <c r="AJ158">
        <v>41</v>
      </c>
      <c r="AK158">
        <v>37</v>
      </c>
    </row>
    <row r="159" spans="1:37" x14ac:dyDescent="0.25">
      <c r="A159">
        <v>157</v>
      </c>
      <c r="B159" t="s">
        <v>192</v>
      </c>
      <c r="C159" t="s">
        <v>230</v>
      </c>
      <c r="D159" t="s">
        <v>225</v>
      </c>
      <c r="E159" t="s">
        <v>222</v>
      </c>
      <c r="F159">
        <v>10</v>
      </c>
      <c r="G159">
        <v>4</v>
      </c>
      <c r="H159" s="17"/>
      <c r="I159" s="1">
        <v>111.02453393533293</v>
      </c>
      <c r="J159" s="1">
        <v>90.373388069526399</v>
      </c>
      <c r="K159" s="1">
        <v>201.39792200485931</v>
      </c>
      <c r="L159" s="1">
        <v>0.55126951077804143</v>
      </c>
      <c r="M159" s="1">
        <v>0.44873048922195868</v>
      </c>
      <c r="N159" s="19"/>
      <c r="O159" s="1">
        <v>96.345179250411633</v>
      </c>
      <c r="P159" s="1">
        <v>93.966745188693196</v>
      </c>
      <c r="Q159" s="1">
        <v>190.31192443910481</v>
      </c>
      <c r="R159" s="1">
        <v>0.50624877833779536</v>
      </c>
      <c r="S159" s="1">
        <v>0.4937512216622047</v>
      </c>
      <c r="T159" s="19"/>
      <c r="U159" s="1">
        <v>0.62493048905291804</v>
      </c>
      <c r="V159" s="1">
        <v>0.37506951094708191</v>
      </c>
      <c r="W159" s="1">
        <v>0.81200000000000006</v>
      </c>
      <c r="X159" s="1">
        <v>0.18799999999999994</v>
      </c>
      <c r="Y159" s="17"/>
      <c r="Z159" s="12">
        <v>1.8706951094708202</v>
      </c>
      <c r="AA159" s="12">
        <v>-1.8706951094708195</v>
      </c>
      <c r="AB159" s="12">
        <v>0.83943793165796654</v>
      </c>
      <c r="AC159" s="12">
        <v>1.0312571778128534</v>
      </c>
      <c r="AD159" s="12">
        <v>-0.94703711381209077</v>
      </c>
      <c r="AE159" s="12">
        <v>-0.92365799565872886</v>
      </c>
      <c r="AF159" s="17"/>
      <c r="AG159">
        <v>157</v>
      </c>
      <c r="AH159">
        <v>5</v>
      </c>
      <c r="AI159">
        <v>31</v>
      </c>
      <c r="AJ159">
        <v>41</v>
      </c>
      <c r="AK159">
        <v>37</v>
      </c>
    </row>
    <row r="160" spans="1:37" x14ac:dyDescent="0.25">
      <c r="A160">
        <v>158</v>
      </c>
      <c r="B160" t="s">
        <v>227</v>
      </c>
      <c r="C160" t="s">
        <v>210</v>
      </c>
      <c r="D160" t="s">
        <v>225</v>
      </c>
      <c r="E160" t="s">
        <v>200</v>
      </c>
      <c r="F160">
        <v>10</v>
      </c>
      <c r="G160">
        <v>4</v>
      </c>
      <c r="H160" s="17"/>
      <c r="I160" s="1">
        <v>103.9036905263679</v>
      </c>
      <c r="J160" s="1">
        <v>100.78608705647179</v>
      </c>
      <c r="K160" s="1">
        <v>204.68977758283967</v>
      </c>
      <c r="L160" s="1">
        <v>0.50761543518858532</v>
      </c>
      <c r="M160" s="1">
        <v>0.49238456481141474</v>
      </c>
      <c r="N160" s="19"/>
      <c r="O160" s="1">
        <v>95.398142136599546</v>
      </c>
      <c r="P160" s="1">
        <v>103.1424566864688</v>
      </c>
      <c r="Q160" s="1">
        <v>198.54059882306836</v>
      </c>
      <c r="R160" s="1">
        <v>0.48049689938537282</v>
      </c>
      <c r="S160" s="1">
        <v>0.51950310061462712</v>
      </c>
      <c r="T160" s="19"/>
      <c r="U160" s="1">
        <v>0.57032570627404622</v>
      </c>
      <c r="V160" s="1">
        <v>0.42967429372595373</v>
      </c>
      <c r="W160" s="1">
        <v>0.81200000000000006</v>
      </c>
      <c r="X160" s="1">
        <v>0.18799999999999994</v>
      </c>
      <c r="Y160" s="17"/>
      <c r="Z160" s="12">
        <v>2.4167429372595386</v>
      </c>
      <c r="AA160" s="12">
        <v>-2.4167429372595377</v>
      </c>
      <c r="AB160" s="12">
        <v>1.189966919423598</v>
      </c>
      <c r="AC160" s="12">
        <v>1.2267760178359406</v>
      </c>
      <c r="AD160" s="12">
        <v>-1.1612374879647065</v>
      </c>
      <c r="AE160" s="12">
        <v>-1.255505449294831</v>
      </c>
      <c r="AF160" s="17"/>
      <c r="AG160">
        <v>158</v>
      </c>
      <c r="AH160">
        <v>46</v>
      </c>
      <c r="AI160">
        <v>22</v>
      </c>
      <c r="AJ160">
        <v>41</v>
      </c>
      <c r="AK160">
        <v>12</v>
      </c>
    </row>
    <row r="161" spans="1:37" x14ac:dyDescent="0.25">
      <c r="A161">
        <v>159</v>
      </c>
      <c r="B161" t="s">
        <v>227</v>
      </c>
      <c r="C161" t="s">
        <v>210</v>
      </c>
      <c r="D161" t="s">
        <v>225</v>
      </c>
      <c r="E161" t="s">
        <v>200</v>
      </c>
      <c r="F161">
        <v>10</v>
      </c>
      <c r="G161">
        <v>8</v>
      </c>
      <c r="H161" s="17"/>
      <c r="I161" s="1">
        <v>105.09365744579149</v>
      </c>
      <c r="J161" s="1">
        <v>102.01286307430773</v>
      </c>
      <c r="K161" s="1">
        <v>207.10652052009922</v>
      </c>
      <c r="L161" s="1">
        <v>0.50743770491568074</v>
      </c>
      <c r="M161" s="1">
        <v>0.49256229508431926</v>
      </c>
      <c r="N161" s="19"/>
      <c r="O161" s="1">
        <v>94.236904648634834</v>
      </c>
      <c r="P161" s="1">
        <v>101.88695123717397</v>
      </c>
      <c r="Q161" s="1">
        <v>196.12385588580881</v>
      </c>
      <c r="R161" s="1">
        <v>0.48049689938537282</v>
      </c>
      <c r="S161" s="1">
        <v>0.51950310061462723</v>
      </c>
      <c r="T161" s="19"/>
      <c r="U161" s="1">
        <v>0.62381443467451003</v>
      </c>
      <c r="V161" s="1">
        <v>0.37618556532548991</v>
      </c>
      <c r="W161" s="1">
        <v>0.55600000000000005</v>
      </c>
      <c r="X161" s="1">
        <v>0.44400000000000001</v>
      </c>
      <c r="Y161" s="17"/>
      <c r="Z161" s="12">
        <v>-0.67814434674509982</v>
      </c>
      <c r="AA161" s="12">
        <v>0.67814434674510093</v>
      </c>
      <c r="AB161" s="12">
        <v>-0.34411601091387706</v>
      </c>
      <c r="AC161" s="12">
        <v>-0.33402833583122277</v>
      </c>
      <c r="AD161" s="12">
        <v>0.35229809079836077</v>
      </c>
      <c r="AE161" s="12">
        <v>0.3258462559467401</v>
      </c>
      <c r="AF161" s="17"/>
      <c r="AG161">
        <v>159</v>
      </c>
      <c r="AH161">
        <v>46</v>
      </c>
      <c r="AI161">
        <v>22</v>
      </c>
      <c r="AJ161">
        <v>41</v>
      </c>
      <c r="AK161">
        <v>12</v>
      </c>
    </row>
    <row r="162" spans="1:37" x14ac:dyDescent="0.25">
      <c r="A162">
        <v>160</v>
      </c>
      <c r="B162" t="s">
        <v>227</v>
      </c>
      <c r="C162" t="s">
        <v>222</v>
      </c>
      <c r="D162" t="s">
        <v>192</v>
      </c>
      <c r="E162" t="s">
        <v>201</v>
      </c>
      <c r="F162">
        <v>7</v>
      </c>
      <c r="G162">
        <v>10</v>
      </c>
      <c r="H162" s="17"/>
      <c r="I162" s="1">
        <v>104.74954143487761</v>
      </c>
      <c r="J162" s="1">
        <v>93.043087193034467</v>
      </c>
      <c r="K162" s="1">
        <v>197.79262862791208</v>
      </c>
      <c r="L162" s="1">
        <v>0.52959274651196775</v>
      </c>
      <c r="M162" s="1">
        <v>0.47040725348803225</v>
      </c>
      <c r="N162" s="19"/>
      <c r="O162" s="1">
        <v>111.86397186699089</v>
      </c>
      <c r="P162" s="1">
        <v>99.132957541120291</v>
      </c>
      <c r="Q162" s="1">
        <v>210.99692940811119</v>
      </c>
      <c r="R162" s="1">
        <v>0.530168719425405</v>
      </c>
      <c r="S162" s="1">
        <v>0.46983128057459494</v>
      </c>
      <c r="T162" s="19"/>
      <c r="U162" s="1">
        <v>0.35249718085780968</v>
      </c>
      <c r="V162" s="1">
        <v>0.64750281914219032</v>
      </c>
      <c r="W162" s="1">
        <v>0.40475</v>
      </c>
      <c r="X162" s="1">
        <v>0.59525000000000006</v>
      </c>
      <c r="Y162" s="17"/>
      <c r="Z162" s="12">
        <v>0.52252819142190321</v>
      </c>
      <c r="AA162" s="12">
        <v>-0.52252819142190265</v>
      </c>
      <c r="AB162" s="12">
        <v>0.24580105139684627</v>
      </c>
      <c r="AC162" s="12">
        <v>0.27672714002505694</v>
      </c>
      <c r="AD162" s="12">
        <v>-0.27702810210982304</v>
      </c>
      <c r="AE162" s="12">
        <v>-0.24550008931207959</v>
      </c>
      <c r="AF162" s="17"/>
      <c r="AG162">
        <v>160</v>
      </c>
      <c r="AH162">
        <v>46</v>
      </c>
      <c r="AI162">
        <v>37</v>
      </c>
      <c r="AJ162">
        <v>5</v>
      </c>
      <c r="AK162">
        <v>13</v>
      </c>
    </row>
    <row r="163" spans="1:37" x14ac:dyDescent="0.25">
      <c r="A163">
        <v>161</v>
      </c>
      <c r="B163" t="s">
        <v>227</v>
      </c>
      <c r="C163" t="s">
        <v>222</v>
      </c>
      <c r="D163" t="s">
        <v>192</v>
      </c>
      <c r="E163" t="s">
        <v>201</v>
      </c>
      <c r="F163">
        <v>5</v>
      </c>
      <c r="G163">
        <v>10</v>
      </c>
      <c r="H163" s="17"/>
      <c r="I163" s="1">
        <v>104.99534248627447</v>
      </c>
      <c r="J163" s="1">
        <v>93.319814333059526</v>
      </c>
      <c r="K163" s="1">
        <v>198.31515681933399</v>
      </c>
      <c r="L163" s="1">
        <v>0.52943680236163537</v>
      </c>
      <c r="M163" s="1">
        <v>0.47056319763836457</v>
      </c>
      <c r="N163" s="19"/>
      <c r="O163" s="1">
        <v>111.58694376488107</v>
      </c>
      <c r="P163" s="1">
        <v>98.887457451808217</v>
      </c>
      <c r="Q163" s="1">
        <v>210.47440121668927</v>
      </c>
      <c r="R163" s="1">
        <v>0.53016871942540511</v>
      </c>
      <c r="S163" s="1">
        <v>0.469831280574595</v>
      </c>
      <c r="T163" s="19"/>
      <c r="U163" s="1">
        <v>0.3635581269384614</v>
      </c>
      <c r="V163" s="1">
        <v>0.63644187306153854</v>
      </c>
      <c r="W163" s="1">
        <v>0.28125</v>
      </c>
      <c r="X163" s="1">
        <v>0.71875</v>
      </c>
      <c r="Y163" s="17"/>
      <c r="Z163" s="12">
        <v>-0.82308126938461401</v>
      </c>
      <c r="AA163" s="12">
        <v>0.82308126938461457</v>
      </c>
      <c r="AB163" s="12">
        <v>-0.43576951534674585</v>
      </c>
      <c r="AC163" s="12">
        <v>-0.38731175403786811</v>
      </c>
      <c r="AD163" s="12">
        <v>0.38670932681193654</v>
      </c>
      <c r="AE163" s="12">
        <v>0.43637194257267792</v>
      </c>
      <c r="AF163" s="17"/>
      <c r="AG163">
        <v>161</v>
      </c>
      <c r="AH163">
        <v>46</v>
      </c>
      <c r="AI163">
        <v>37</v>
      </c>
      <c r="AJ163">
        <v>5</v>
      </c>
      <c r="AK163">
        <v>13</v>
      </c>
    </row>
    <row r="164" spans="1:37" x14ac:dyDescent="0.25">
      <c r="A164">
        <v>162</v>
      </c>
      <c r="B164" t="s">
        <v>227</v>
      </c>
      <c r="C164" t="s">
        <v>225</v>
      </c>
      <c r="D164" t="s">
        <v>222</v>
      </c>
      <c r="E164" t="s">
        <v>208</v>
      </c>
      <c r="F164">
        <v>10</v>
      </c>
      <c r="G164">
        <v>9</v>
      </c>
      <c r="H164" s="17"/>
      <c r="I164" s="1">
        <v>104.55957297092772</v>
      </c>
      <c r="J164" s="1">
        <v>94.58920273943319</v>
      </c>
      <c r="K164" s="1">
        <v>199.14877571036089</v>
      </c>
      <c r="L164" s="1">
        <v>0.52503246679757476</v>
      </c>
      <c r="M164" s="1">
        <v>0.4749675332024253</v>
      </c>
      <c r="N164" s="19"/>
      <c r="O164" s="1">
        <v>92.932502579021659</v>
      </c>
      <c r="P164" s="1">
        <v>106.90492192879</v>
      </c>
      <c r="Q164" s="1">
        <v>199.83742450781165</v>
      </c>
      <c r="R164" s="1">
        <v>0.46504053386351024</v>
      </c>
      <c r="S164" s="1">
        <v>0.53495946613648981</v>
      </c>
      <c r="T164" s="19"/>
      <c r="U164" s="1">
        <v>0.49207230214772635</v>
      </c>
      <c r="V164" s="1">
        <v>0.50792769785227365</v>
      </c>
      <c r="W164" s="1">
        <v>0.52575000000000005</v>
      </c>
      <c r="X164" s="1">
        <v>0.47425</v>
      </c>
      <c r="Y164" s="17"/>
      <c r="Z164" s="12">
        <v>0.33677697852273702</v>
      </c>
      <c r="AA164" s="12">
        <v>-0.33677697852273647</v>
      </c>
      <c r="AB164" s="12">
        <v>0.15995813072831055</v>
      </c>
      <c r="AC164" s="12">
        <v>0.17681884779442647</v>
      </c>
      <c r="AD164" s="12">
        <v>-0.15661494588515329</v>
      </c>
      <c r="AE164" s="12">
        <v>-0.18016203263758321</v>
      </c>
      <c r="AF164" s="17"/>
      <c r="AG164">
        <v>162</v>
      </c>
      <c r="AH164">
        <v>46</v>
      </c>
      <c r="AI164">
        <v>41</v>
      </c>
      <c r="AJ164">
        <v>37</v>
      </c>
      <c r="AK164">
        <v>20</v>
      </c>
    </row>
    <row r="165" spans="1:37" x14ac:dyDescent="0.25">
      <c r="A165">
        <v>163</v>
      </c>
      <c r="B165" t="s">
        <v>227</v>
      </c>
      <c r="C165" t="s">
        <v>225</v>
      </c>
      <c r="D165" t="s">
        <v>222</v>
      </c>
      <c r="E165" t="s">
        <v>208</v>
      </c>
      <c r="F165">
        <v>10</v>
      </c>
      <c r="G165">
        <v>7</v>
      </c>
      <c r="H165" s="17"/>
      <c r="I165" s="1">
        <v>104.71953110165603</v>
      </c>
      <c r="J165" s="1">
        <v>94.766021587227613</v>
      </c>
      <c r="K165" s="1">
        <v>199.48555268888364</v>
      </c>
      <c r="L165" s="1">
        <v>0.52494794580425541</v>
      </c>
      <c r="M165" s="1">
        <v>0.47505205419574459</v>
      </c>
      <c r="N165" s="19"/>
      <c r="O165" s="1">
        <v>92.775887633136506</v>
      </c>
      <c r="P165" s="1">
        <v>106.72475989615242</v>
      </c>
      <c r="Q165" s="1">
        <v>199.50064752928893</v>
      </c>
      <c r="R165" s="1">
        <v>0.46504053386351024</v>
      </c>
      <c r="S165" s="1">
        <v>0.53495946613648981</v>
      </c>
      <c r="T165" s="19"/>
      <c r="U165" s="1">
        <v>0.49982621423450646</v>
      </c>
      <c r="V165" s="1">
        <v>0.50017378576549354</v>
      </c>
      <c r="W165" s="1">
        <v>0.59525000000000006</v>
      </c>
      <c r="X165" s="1">
        <v>0.40475</v>
      </c>
      <c r="Y165" s="17"/>
      <c r="Z165" s="12">
        <v>0.95423785765493596</v>
      </c>
      <c r="AA165" s="12">
        <v>-0.95423785765493541</v>
      </c>
      <c r="AB165" s="12">
        <v>0.45331265447032387</v>
      </c>
      <c r="AC165" s="12">
        <v>0.50092520318461209</v>
      </c>
      <c r="AD165" s="12">
        <v>-0.44375928275662346</v>
      </c>
      <c r="AE165" s="12">
        <v>-0.51047857489831205</v>
      </c>
      <c r="AF165" s="17"/>
      <c r="AG165">
        <v>163</v>
      </c>
      <c r="AH165">
        <v>46</v>
      </c>
      <c r="AI165">
        <v>41</v>
      </c>
      <c r="AJ165">
        <v>37</v>
      </c>
      <c r="AK165">
        <v>20</v>
      </c>
    </row>
    <row r="166" spans="1:37" x14ac:dyDescent="0.25">
      <c r="A166">
        <v>164</v>
      </c>
      <c r="B166" t="s">
        <v>200</v>
      </c>
      <c r="C166" t="s">
        <v>199</v>
      </c>
      <c r="D166" t="s">
        <v>222</v>
      </c>
      <c r="E166" t="s">
        <v>192</v>
      </c>
      <c r="F166">
        <v>7</v>
      </c>
      <c r="G166">
        <v>10</v>
      </c>
      <c r="H166" s="17"/>
      <c r="I166" s="1">
        <v>102.21279749312072</v>
      </c>
      <c r="J166" s="1">
        <v>107.74916508272364</v>
      </c>
      <c r="K166" s="1">
        <v>209.96196257584435</v>
      </c>
      <c r="L166" s="1">
        <v>0.48681578434093026</v>
      </c>
      <c r="M166" s="1">
        <v>0.51318421565906969</v>
      </c>
      <c r="N166" s="19"/>
      <c r="O166" s="1">
        <v>92.33212835037989</v>
      </c>
      <c r="P166" s="1">
        <v>111.97365309169301</v>
      </c>
      <c r="Q166" s="1">
        <v>204.30578144207288</v>
      </c>
      <c r="R166" s="1">
        <v>0.45193105989787641</v>
      </c>
      <c r="S166" s="1">
        <v>0.5480689401021237</v>
      </c>
      <c r="T166" s="19"/>
      <c r="U166" s="1">
        <v>0.5647534881366052</v>
      </c>
      <c r="V166" s="1">
        <v>0.43524651186339486</v>
      </c>
      <c r="W166" s="1">
        <v>0.40475</v>
      </c>
      <c r="X166" s="1">
        <v>0.59525000000000006</v>
      </c>
      <c r="Y166" s="17"/>
      <c r="Z166" s="12">
        <v>-1.6000348813660521</v>
      </c>
      <c r="AA166" s="12">
        <v>1.6000348813660521</v>
      </c>
      <c r="AB166" s="12">
        <v>-0.77892223574506192</v>
      </c>
      <c r="AC166" s="12">
        <v>-0.82111264562099007</v>
      </c>
      <c r="AD166" s="12">
        <v>0.87692942155671927</v>
      </c>
      <c r="AE166" s="12">
        <v>0.72310545980933272</v>
      </c>
      <c r="AF166" s="17"/>
      <c r="AG166">
        <v>164</v>
      </c>
      <c r="AH166">
        <v>12</v>
      </c>
      <c r="AI166">
        <v>11</v>
      </c>
      <c r="AJ166">
        <v>37</v>
      </c>
      <c r="AK166">
        <v>5</v>
      </c>
    </row>
    <row r="167" spans="1:37" x14ac:dyDescent="0.25">
      <c r="A167">
        <v>165</v>
      </c>
      <c r="B167" t="s">
        <v>200</v>
      </c>
      <c r="C167" t="s">
        <v>199</v>
      </c>
      <c r="D167" t="s">
        <v>222</v>
      </c>
      <c r="E167" t="s">
        <v>192</v>
      </c>
      <c r="F167">
        <v>2</v>
      </c>
      <c r="G167">
        <v>10</v>
      </c>
      <c r="H167" s="17"/>
      <c r="I167" s="1">
        <v>101.43387525737566</v>
      </c>
      <c r="J167" s="1">
        <v>106.92805243710265</v>
      </c>
      <c r="K167" s="1">
        <v>208.36192769447831</v>
      </c>
      <c r="L167" s="1">
        <v>0.48681578434093026</v>
      </c>
      <c r="M167" s="1">
        <v>0.51318421565906969</v>
      </c>
      <c r="N167" s="19"/>
      <c r="O167" s="1">
        <v>93.209057771936614</v>
      </c>
      <c r="P167" s="1">
        <v>112.69675855150234</v>
      </c>
      <c r="Q167" s="1">
        <v>205.90581632343896</v>
      </c>
      <c r="R167" s="1">
        <v>0.45267811971626326</v>
      </c>
      <c r="S167" s="1">
        <v>0.54732188028373674</v>
      </c>
      <c r="T167" s="19"/>
      <c r="U167" s="1">
        <v>0.52824691895245768</v>
      </c>
      <c r="V167" s="1">
        <v>0.47175308104754227</v>
      </c>
      <c r="W167" s="1">
        <v>-8.4000000000000075E-2</v>
      </c>
      <c r="X167" s="1">
        <v>1.0840000000000001</v>
      </c>
      <c r="Y167" s="17"/>
      <c r="Z167" s="12">
        <v>-6.122469189524578</v>
      </c>
      <c r="AA167" s="12">
        <v>6.122469189524578</v>
      </c>
      <c r="AB167" s="12">
        <v>-2.9805146406015872</v>
      </c>
      <c r="AC167" s="12">
        <v>-3.1419545489229908</v>
      </c>
      <c r="AD167" s="12">
        <v>3.3509613487898378</v>
      </c>
      <c r="AE167" s="12">
        <v>2.7715078407347402</v>
      </c>
      <c r="AF167" s="17"/>
      <c r="AG167">
        <v>165</v>
      </c>
      <c r="AH167">
        <v>12</v>
      </c>
      <c r="AI167">
        <v>11</v>
      </c>
      <c r="AJ167">
        <v>37</v>
      </c>
      <c r="AK167">
        <v>5</v>
      </c>
    </row>
    <row r="168" spans="1:37" x14ac:dyDescent="0.25">
      <c r="A168">
        <v>166</v>
      </c>
      <c r="B168" t="s">
        <v>230</v>
      </c>
      <c r="C168" t="s">
        <v>227</v>
      </c>
      <c r="D168" t="s">
        <v>225</v>
      </c>
      <c r="E168" t="s">
        <v>204</v>
      </c>
      <c r="F168">
        <v>10</v>
      </c>
      <c r="G168">
        <v>7</v>
      </c>
      <c r="H168" s="17"/>
      <c r="I168" s="1">
        <v>91.404645247339246</v>
      </c>
      <c r="J168" s="1">
        <v>105.17284375612635</v>
      </c>
      <c r="K168" s="1">
        <v>196.57748900346559</v>
      </c>
      <c r="L168" s="1">
        <v>0.46498022591858329</v>
      </c>
      <c r="M168" s="1">
        <v>0.53501977408141677</v>
      </c>
      <c r="N168" s="19"/>
      <c r="O168" s="1">
        <v>95.26694679041222</v>
      </c>
      <c r="P168" s="1">
        <v>92.194002424598395</v>
      </c>
      <c r="Q168" s="1">
        <v>187.4609492150106</v>
      </c>
      <c r="R168" s="1">
        <v>0.50819622534368292</v>
      </c>
      <c r="S168" s="1">
        <v>0.49180377465631719</v>
      </c>
      <c r="T168" s="19"/>
      <c r="U168" s="1">
        <v>0.60344308948034064</v>
      </c>
      <c r="V168" s="1">
        <v>0.3965569105196593</v>
      </c>
      <c r="W168" s="1">
        <v>0.59525000000000006</v>
      </c>
      <c r="X168" s="1">
        <v>0.40475</v>
      </c>
      <c r="Y168" s="17"/>
      <c r="Z168" s="12">
        <v>-8.1930894803405874E-2</v>
      </c>
      <c r="AA168" s="12">
        <v>8.1930894803406984E-2</v>
      </c>
      <c r="AB168" s="12">
        <v>-3.8096245975399345E-2</v>
      </c>
      <c r="AC168" s="12">
        <v>-4.3834648828006535E-2</v>
      </c>
      <c r="AD168" s="12">
        <v>4.029392332528519E-2</v>
      </c>
      <c r="AE168" s="12">
        <v>4.1636971478121787E-2</v>
      </c>
      <c r="AF168" s="17"/>
      <c r="AG168">
        <v>166</v>
      </c>
      <c r="AH168">
        <v>31</v>
      </c>
      <c r="AI168">
        <v>46</v>
      </c>
      <c r="AJ168">
        <v>41</v>
      </c>
      <c r="AK168">
        <v>16</v>
      </c>
    </row>
    <row r="169" spans="1:37" x14ac:dyDescent="0.25">
      <c r="A169">
        <v>167</v>
      </c>
      <c r="B169" t="s">
        <v>230</v>
      </c>
      <c r="C169" t="s">
        <v>227</v>
      </c>
      <c r="D169" t="s">
        <v>225</v>
      </c>
      <c r="E169" t="s">
        <v>204</v>
      </c>
      <c r="F169">
        <v>10</v>
      </c>
      <c r="G169">
        <v>4</v>
      </c>
      <c r="H169" s="17"/>
      <c r="I169" s="1">
        <v>91.36654900136385</v>
      </c>
      <c r="J169" s="1">
        <v>105.12900910729834</v>
      </c>
      <c r="K169" s="1">
        <v>196.49555810866218</v>
      </c>
      <c r="L169" s="1">
        <v>0.46498022591858329</v>
      </c>
      <c r="M169" s="1">
        <v>0.53501977408141677</v>
      </c>
      <c r="N169" s="19"/>
      <c r="O169" s="1">
        <v>95.3072407137375</v>
      </c>
      <c r="P169" s="1">
        <v>92.235639396076522</v>
      </c>
      <c r="Q169" s="1">
        <v>187.54288010981401</v>
      </c>
      <c r="R169" s="1">
        <v>0.50818906405794351</v>
      </c>
      <c r="S169" s="1">
        <v>0.49181093594205649</v>
      </c>
      <c r="T169" s="19"/>
      <c r="U169" s="1">
        <v>0.60163590580040927</v>
      </c>
      <c r="V169" s="1">
        <v>0.39836409419959079</v>
      </c>
      <c r="W169" s="1">
        <v>0.81200000000000006</v>
      </c>
      <c r="X169" s="1">
        <v>0.18799999999999994</v>
      </c>
      <c r="Y169" s="17"/>
      <c r="Z169" s="12">
        <v>2.1036409419959079</v>
      </c>
      <c r="AA169" s="12">
        <v>-2.1036409419959083</v>
      </c>
      <c r="AB169" s="12">
        <v>1.1254895015350692</v>
      </c>
      <c r="AC169" s="12">
        <v>0.97815144046083846</v>
      </c>
      <c r="AD169" s="12">
        <v>-1.0690473214268712</v>
      </c>
      <c r="AE169" s="12">
        <v>-1.0345936205690371</v>
      </c>
      <c r="AF169" s="17"/>
      <c r="AG169">
        <v>167</v>
      </c>
      <c r="AH169">
        <v>31</v>
      </c>
      <c r="AI169">
        <v>46</v>
      </c>
      <c r="AJ169">
        <v>41</v>
      </c>
      <c r="AK169">
        <v>16</v>
      </c>
    </row>
    <row r="170" spans="1:37" x14ac:dyDescent="0.25">
      <c r="A170">
        <v>168</v>
      </c>
      <c r="B170" t="s">
        <v>225</v>
      </c>
      <c r="C170" t="s">
        <v>208</v>
      </c>
      <c r="D170" t="s">
        <v>200</v>
      </c>
      <c r="E170" t="s">
        <v>201</v>
      </c>
      <c r="F170">
        <v>10</v>
      </c>
      <c r="G170">
        <v>3</v>
      </c>
      <c r="H170" s="17"/>
      <c r="I170" s="1">
        <v>94.238193392310635</v>
      </c>
      <c r="J170" s="1">
        <v>106.21428132125411</v>
      </c>
      <c r="K170" s="1">
        <v>200.45247471356475</v>
      </c>
      <c r="L170" s="1">
        <v>0.47012736324144505</v>
      </c>
      <c r="M170" s="1">
        <v>0.52987263675855489</v>
      </c>
      <c r="N170" s="19"/>
      <c r="O170" s="1">
        <v>98.453360616774077</v>
      </c>
      <c r="P170" s="1">
        <v>99.323829394380894</v>
      </c>
      <c r="Q170" s="1">
        <v>197.77719001115497</v>
      </c>
      <c r="R170" s="1">
        <v>0.49779937014587544</v>
      </c>
      <c r="S170" s="1">
        <v>0.5022006298541245</v>
      </c>
      <c r="T170" s="19"/>
      <c r="U170" s="1">
        <v>0.53076145359613702</v>
      </c>
      <c r="V170" s="1">
        <v>0.46923854640386303</v>
      </c>
      <c r="W170" s="1">
        <v>0.93224999999999991</v>
      </c>
      <c r="X170" s="1">
        <v>6.7749999999999977E-2</v>
      </c>
      <c r="Y170" s="17"/>
      <c r="Z170" s="12">
        <v>4.0148854640386293</v>
      </c>
      <c r="AA170" s="12">
        <v>-4.0148854640386302</v>
      </c>
      <c r="AB170" s="12">
        <v>2.1273779471137426</v>
      </c>
      <c r="AC170" s="12">
        <v>1.8875075169248865</v>
      </c>
      <c r="AD170" s="12">
        <v>-1.9986074552062609</v>
      </c>
      <c r="AE170" s="12">
        <v>-2.0162780088323689</v>
      </c>
      <c r="AF170" s="17"/>
      <c r="AG170">
        <v>168</v>
      </c>
      <c r="AH170">
        <v>41</v>
      </c>
      <c r="AI170">
        <v>20</v>
      </c>
      <c r="AJ170">
        <v>12</v>
      </c>
      <c r="AK170">
        <v>13</v>
      </c>
    </row>
    <row r="171" spans="1:37" x14ac:dyDescent="0.25">
      <c r="A171">
        <v>169</v>
      </c>
      <c r="B171" t="s">
        <v>225</v>
      </c>
      <c r="C171" t="s">
        <v>208</v>
      </c>
      <c r="D171" t="s">
        <v>200</v>
      </c>
      <c r="E171" t="s">
        <v>201</v>
      </c>
      <c r="F171">
        <v>7</v>
      </c>
      <c r="G171">
        <v>10</v>
      </c>
      <c r="H171" s="17"/>
      <c r="I171" s="1">
        <v>96.365571339424378</v>
      </c>
      <c r="J171" s="1">
        <v>108.10178883817899</v>
      </c>
      <c r="K171" s="1">
        <v>204.46736017760338</v>
      </c>
      <c r="L171" s="1">
        <v>0.47130051102395909</v>
      </c>
      <c r="M171" s="1">
        <v>0.5286994889760408</v>
      </c>
      <c r="N171" s="19"/>
      <c r="O171" s="1">
        <v>96.454753161567822</v>
      </c>
      <c r="P171" s="1">
        <v>97.307551385548521</v>
      </c>
      <c r="Q171" s="1">
        <v>193.76230454711634</v>
      </c>
      <c r="R171" s="1">
        <v>0.4977993701458755</v>
      </c>
      <c r="S171" s="1">
        <v>0.5022006298541245</v>
      </c>
      <c r="T171" s="19"/>
      <c r="U171" s="1">
        <v>0.62080961205894392</v>
      </c>
      <c r="V171" s="1">
        <v>0.37919038794105608</v>
      </c>
      <c r="W171" s="1">
        <v>0.40475</v>
      </c>
      <c r="X171" s="1">
        <v>0.59525000000000006</v>
      </c>
      <c r="Y171" s="17"/>
      <c r="Z171" s="12">
        <v>-2.1605961205894393</v>
      </c>
      <c r="AA171" s="12">
        <v>2.1605961205894397</v>
      </c>
      <c r="AB171" s="12">
        <v>-1.0182900557501862</v>
      </c>
      <c r="AC171" s="12">
        <v>-1.1423060648392527</v>
      </c>
      <c r="AD171" s="12">
        <v>1.0850527326203945</v>
      </c>
      <c r="AE171" s="12">
        <v>1.0755433879690453</v>
      </c>
      <c r="AF171" s="17"/>
      <c r="AG171">
        <v>169</v>
      </c>
      <c r="AH171">
        <v>41</v>
      </c>
      <c r="AI171">
        <v>20</v>
      </c>
      <c r="AJ171">
        <v>12</v>
      </c>
      <c r="AK171">
        <v>13</v>
      </c>
    </row>
    <row r="172" spans="1:37" x14ac:dyDescent="0.25">
      <c r="A172">
        <v>170</v>
      </c>
      <c r="B172" t="s">
        <v>225</v>
      </c>
      <c r="C172" t="s">
        <v>208</v>
      </c>
      <c r="D172" t="s">
        <v>200</v>
      </c>
      <c r="E172" t="s">
        <v>201</v>
      </c>
      <c r="F172">
        <v>10</v>
      </c>
      <c r="G172">
        <v>4</v>
      </c>
      <c r="H172" s="17"/>
      <c r="I172" s="1">
        <v>95.347281283674192</v>
      </c>
      <c r="J172" s="1">
        <v>106.95948277333974</v>
      </c>
      <c r="K172" s="1">
        <v>202.30676405701394</v>
      </c>
      <c r="L172" s="1">
        <v>0.47130051102395909</v>
      </c>
      <c r="M172" s="1">
        <v>0.52869948897604091</v>
      </c>
      <c r="N172" s="19"/>
      <c r="O172" s="1">
        <v>97.53980589418822</v>
      </c>
      <c r="P172" s="1">
        <v>98.38309477351757</v>
      </c>
      <c r="Q172" s="1">
        <v>195.92290066770579</v>
      </c>
      <c r="R172" s="1">
        <v>0.49784790630279713</v>
      </c>
      <c r="S172" s="1">
        <v>0.50215209369720293</v>
      </c>
      <c r="T172" s="19"/>
      <c r="U172" s="1">
        <v>0.57297212440911693</v>
      </c>
      <c r="V172" s="1">
        <v>0.42702787559088312</v>
      </c>
      <c r="W172" s="1">
        <v>0.81200000000000006</v>
      </c>
      <c r="X172" s="1">
        <v>0.18799999999999994</v>
      </c>
      <c r="Y172" s="17"/>
      <c r="Z172" s="12">
        <v>2.390278755908831</v>
      </c>
      <c r="AA172" s="12">
        <v>-2.3902787559088319</v>
      </c>
      <c r="AB172" s="12">
        <v>1.2637391567592857</v>
      </c>
      <c r="AC172" s="12">
        <v>1.1265395991495453</v>
      </c>
      <c r="AD172" s="12">
        <v>-1.1899952741092665</v>
      </c>
      <c r="AE172" s="12">
        <v>-1.2002834817995653</v>
      </c>
      <c r="AF172" s="17"/>
      <c r="AG172">
        <v>170</v>
      </c>
      <c r="AH172">
        <v>41</v>
      </c>
      <c r="AI172">
        <v>20</v>
      </c>
      <c r="AJ172">
        <v>12</v>
      </c>
      <c r="AK172">
        <v>13</v>
      </c>
    </row>
    <row r="173" spans="1:37" x14ac:dyDescent="0.25">
      <c r="A173">
        <v>171</v>
      </c>
      <c r="B173" t="s">
        <v>225</v>
      </c>
      <c r="C173" t="s">
        <v>208</v>
      </c>
      <c r="D173" t="s">
        <v>200</v>
      </c>
      <c r="E173" t="s">
        <v>201</v>
      </c>
      <c r="F173">
        <v>10</v>
      </c>
      <c r="G173">
        <v>5</v>
      </c>
      <c r="H173" s="17"/>
      <c r="I173" s="1">
        <v>96.611020440433478</v>
      </c>
      <c r="J173" s="1">
        <v>108.08602237248928</v>
      </c>
      <c r="K173" s="1">
        <v>204.69704281292275</v>
      </c>
      <c r="L173" s="1">
        <v>0.47197076769071095</v>
      </c>
      <c r="M173" s="1">
        <v>0.52802923230928911</v>
      </c>
      <c r="N173" s="19"/>
      <c r="O173" s="1">
        <v>96.349810620078955</v>
      </c>
      <c r="P173" s="1">
        <v>97.182811291718011</v>
      </c>
      <c r="Q173" s="1">
        <v>193.53262191179698</v>
      </c>
      <c r="R173" s="1">
        <v>0.49784790630279707</v>
      </c>
      <c r="S173" s="1">
        <v>0.50215209369720282</v>
      </c>
      <c r="T173" s="19"/>
      <c r="U173" s="1">
        <v>0.6257766209986394</v>
      </c>
      <c r="V173" s="1">
        <v>0.3742233790013606</v>
      </c>
      <c r="W173" s="1">
        <v>0.71875</v>
      </c>
      <c r="X173" s="1">
        <v>0.28125</v>
      </c>
      <c r="Y173" s="17"/>
      <c r="Z173" s="12">
        <v>0.92973379001360601</v>
      </c>
      <c r="AA173" s="12">
        <v>-0.92973379001360601</v>
      </c>
      <c r="AB173" s="12">
        <v>0.49092661939289006</v>
      </c>
      <c r="AC173" s="12">
        <v>0.43880717062071584</v>
      </c>
      <c r="AD173" s="12">
        <v>-0.46286602077723815</v>
      </c>
      <c r="AE173" s="12">
        <v>-0.46686776923636775</v>
      </c>
      <c r="AF173" s="17"/>
      <c r="AG173">
        <v>171</v>
      </c>
      <c r="AH173">
        <v>41</v>
      </c>
      <c r="AI173">
        <v>20</v>
      </c>
      <c r="AJ173">
        <v>12</v>
      </c>
      <c r="AK173">
        <v>13</v>
      </c>
    </row>
    <row r="174" spans="1:37" x14ac:dyDescent="0.25">
      <c r="A174">
        <v>172</v>
      </c>
      <c r="B174" t="s">
        <v>217</v>
      </c>
      <c r="C174" t="s">
        <v>222</v>
      </c>
      <c r="D174" t="s">
        <v>199</v>
      </c>
      <c r="E174" t="s">
        <v>231</v>
      </c>
      <c r="F174">
        <v>8</v>
      </c>
      <c r="G174">
        <v>10</v>
      </c>
      <c r="H174" s="17"/>
      <c r="I174" s="1">
        <v>107.65025591769401</v>
      </c>
      <c r="J174" s="1">
        <v>96.560019120726452</v>
      </c>
      <c r="K174" s="1">
        <v>204.21027503842046</v>
      </c>
      <c r="L174" s="1">
        <v>0.52715396371431611</v>
      </c>
      <c r="M174" s="1">
        <v>0.47284603628568389</v>
      </c>
      <c r="N174" s="19"/>
      <c r="O174" s="1">
        <v>103.78609788817965</v>
      </c>
      <c r="P174" s="1">
        <v>101.08571066637354</v>
      </c>
      <c r="Q174" s="1">
        <v>204.87180855455318</v>
      </c>
      <c r="R174" s="1">
        <v>0.50659043145286398</v>
      </c>
      <c r="S174" s="1">
        <v>0.49340956854713608</v>
      </c>
      <c r="T174" s="19"/>
      <c r="U174" s="1">
        <v>0.49238440293045138</v>
      </c>
      <c r="V174" s="1">
        <v>0.50761559706954862</v>
      </c>
      <c r="W174" s="1">
        <v>0.44400000000000001</v>
      </c>
      <c r="X174" s="1">
        <v>0.55600000000000005</v>
      </c>
      <c r="Y174" s="17"/>
      <c r="Z174" s="12">
        <v>-0.48384402930451376</v>
      </c>
      <c r="AA174" s="12">
        <v>0.48384402930451431</v>
      </c>
      <c r="AB174" s="12">
        <v>-0.25506029786738016</v>
      </c>
      <c r="AC174" s="12">
        <v>-0.22878373143713363</v>
      </c>
      <c r="AD174" s="12">
        <v>0.23873327374324824</v>
      </c>
      <c r="AE174" s="12">
        <v>0.24511075556126607</v>
      </c>
      <c r="AF174" s="17"/>
      <c r="AG174">
        <v>172</v>
      </c>
      <c r="AH174">
        <v>32</v>
      </c>
      <c r="AI174">
        <v>37</v>
      </c>
      <c r="AJ174">
        <v>11</v>
      </c>
      <c r="AK174">
        <v>38</v>
      </c>
    </row>
    <row r="175" spans="1:37" x14ac:dyDescent="0.25">
      <c r="A175">
        <v>173</v>
      </c>
      <c r="B175" t="s">
        <v>230</v>
      </c>
      <c r="C175" t="s">
        <v>222</v>
      </c>
      <c r="D175" t="s">
        <v>190</v>
      </c>
      <c r="E175" t="s">
        <v>212</v>
      </c>
      <c r="F175">
        <v>10</v>
      </c>
      <c r="G175">
        <v>8</v>
      </c>
      <c r="H175" s="17"/>
      <c r="I175" s="1">
        <v>92.492038502898922</v>
      </c>
      <c r="J175" s="1">
        <v>96.331235389289319</v>
      </c>
      <c r="K175" s="1">
        <v>188.82327389218824</v>
      </c>
      <c r="L175" s="1">
        <v>0.48983388856878296</v>
      </c>
      <c r="M175" s="1">
        <v>0.51016611143121704</v>
      </c>
      <c r="N175" s="19"/>
      <c r="O175" s="1">
        <v>96.464587655718546</v>
      </c>
      <c r="P175" s="1">
        <v>96.183395740639924</v>
      </c>
      <c r="Q175" s="1">
        <v>192.64798339635848</v>
      </c>
      <c r="R175" s="1">
        <v>0.50072980757473096</v>
      </c>
      <c r="S175" s="1">
        <v>0.49927019242526899</v>
      </c>
      <c r="T175" s="19"/>
      <c r="U175" s="1">
        <v>0.45607989152056755</v>
      </c>
      <c r="V175" s="1">
        <v>0.54392010847943251</v>
      </c>
      <c r="W175" s="1">
        <v>0.55600000000000005</v>
      </c>
      <c r="X175" s="1">
        <v>0.44400000000000001</v>
      </c>
      <c r="Y175" s="17"/>
      <c r="Z175" s="12">
        <v>0.99920108479432501</v>
      </c>
      <c r="AA175" s="12">
        <v>-0.99920108479432501</v>
      </c>
      <c r="AB175" s="12">
        <v>0.50975853196737453</v>
      </c>
      <c r="AC175" s="12">
        <v>0.48944255282695043</v>
      </c>
      <c r="AD175" s="12">
        <v>-0.50032976691752484</v>
      </c>
      <c r="AE175" s="12">
        <v>-0.49887131787680017</v>
      </c>
      <c r="AF175" s="17"/>
      <c r="AG175">
        <v>173</v>
      </c>
      <c r="AH175">
        <v>31</v>
      </c>
      <c r="AI175">
        <v>37</v>
      </c>
      <c r="AJ175">
        <v>2</v>
      </c>
      <c r="AK175">
        <v>26</v>
      </c>
    </row>
    <row r="176" spans="1:37" x14ac:dyDescent="0.25">
      <c r="A176">
        <v>174</v>
      </c>
      <c r="B176" t="s">
        <v>230</v>
      </c>
      <c r="C176" t="s">
        <v>222</v>
      </c>
      <c r="D176" t="s">
        <v>190</v>
      </c>
      <c r="E176" t="s">
        <v>212</v>
      </c>
      <c r="F176">
        <v>6</v>
      </c>
      <c r="G176">
        <v>10</v>
      </c>
      <c r="H176" s="17"/>
      <c r="I176" s="1">
        <v>93.0017970348663</v>
      </c>
      <c r="J176" s="1">
        <v>96.820677942116262</v>
      </c>
      <c r="K176" s="1">
        <v>189.82247497698256</v>
      </c>
      <c r="L176" s="1">
        <v>0.48994091477388801</v>
      </c>
      <c r="M176" s="1">
        <v>0.51005908522611199</v>
      </c>
      <c r="N176" s="19"/>
      <c r="O176" s="1">
        <v>95.964257888801015</v>
      </c>
      <c r="P176" s="1">
        <v>95.684524422763118</v>
      </c>
      <c r="Q176" s="1">
        <v>191.64878231156413</v>
      </c>
      <c r="R176" s="1">
        <v>0.50072980757473096</v>
      </c>
      <c r="S176" s="1">
        <v>0.49927019242526904</v>
      </c>
      <c r="T176" s="19"/>
      <c r="U176" s="1">
        <v>0.47898624518876243</v>
      </c>
      <c r="V176" s="1">
        <v>0.52101375481123768</v>
      </c>
      <c r="W176" s="1">
        <v>0.35199999999999998</v>
      </c>
      <c r="X176" s="1">
        <v>0.64800000000000002</v>
      </c>
      <c r="Y176" s="17"/>
      <c r="Z176" s="12">
        <v>-1.2698624518876245</v>
      </c>
      <c r="AA176" s="12">
        <v>1.2698624518876234</v>
      </c>
      <c r="AB176" s="12">
        <v>-0.62215757131483507</v>
      </c>
      <c r="AC176" s="12">
        <v>-0.64770488057278941</v>
      </c>
      <c r="AD176" s="12">
        <v>0.63400447070755772</v>
      </c>
      <c r="AE176" s="12">
        <v>0.63585798118006565</v>
      </c>
      <c r="AF176" s="17"/>
      <c r="AG176">
        <v>174</v>
      </c>
      <c r="AH176">
        <v>31</v>
      </c>
      <c r="AI176">
        <v>37</v>
      </c>
      <c r="AJ176">
        <v>2</v>
      </c>
      <c r="AK176">
        <v>26</v>
      </c>
    </row>
    <row r="177" spans="1:37" x14ac:dyDescent="0.25">
      <c r="A177">
        <v>175</v>
      </c>
      <c r="B177" t="s">
        <v>225</v>
      </c>
      <c r="C177" t="s">
        <v>199</v>
      </c>
      <c r="D177" t="s">
        <v>208</v>
      </c>
      <c r="E177" t="s">
        <v>224</v>
      </c>
      <c r="F177">
        <v>4</v>
      </c>
      <c r="G177">
        <v>10</v>
      </c>
      <c r="H177" s="17"/>
      <c r="I177" s="1">
        <v>97.101947059826372</v>
      </c>
      <c r="J177" s="1">
        <v>104.0248311619229</v>
      </c>
      <c r="K177" s="1">
        <v>201.12677822174928</v>
      </c>
      <c r="L177" s="1">
        <v>0.48278975041686439</v>
      </c>
      <c r="M177" s="1">
        <v>0.51721024958313555</v>
      </c>
      <c r="N177" s="19"/>
      <c r="O177" s="1">
        <v>108.52482954311</v>
      </c>
      <c r="P177" s="1">
        <v>106.2055873992188</v>
      </c>
      <c r="Q177" s="1">
        <v>214.73041694232882</v>
      </c>
      <c r="R177" s="1">
        <v>0.50540035775302872</v>
      </c>
      <c r="S177" s="1">
        <v>0.49459964224697123</v>
      </c>
      <c r="T177" s="19"/>
      <c r="U177" s="1">
        <v>0.34831122264392589</v>
      </c>
      <c r="V177" s="1">
        <v>0.65168877735607411</v>
      </c>
      <c r="W177" s="1">
        <v>0.18799999999999994</v>
      </c>
      <c r="X177" s="1">
        <v>0.81200000000000006</v>
      </c>
      <c r="Y177" s="17"/>
      <c r="Z177" s="12">
        <v>-1.6031122264392594</v>
      </c>
      <c r="AA177" s="12">
        <v>1.6031122264392594</v>
      </c>
      <c r="AB177" s="12">
        <v>-0.77396615169283389</v>
      </c>
      <c r="AC177" s="12">
        <v>-0.82914607474642543</v>
      </c>
      <c r="AD177" s="12">
        <v>0.79289873367860331</v>
      </c>
      <c r="AE177" s="12">
        <v>0.81021349276065624</v>
      </c>
      <c r="AF177" s="17"/>
      <c r="AG177">
        <v>175</v>
      </c>
      <c r="AH177">
        <v>41</v>
      </c>
      <c r="AI177">
        <v>11</v>
      </c>
      <c r="AJ177">
        <v>20</v>
      </c>
      <c r="AK177">
        <v>40</v>
      </c>
    </row>
    <row r="178" spans="1:37" x14ac:dyDescent="0.25">
      <c r="A178">
        <v>176</v>
      </c>
      <c r="B178" t="s">
        <v>225</v>
      </c>
      <c r="C178" t="s">
        <v>199</v>
      </c>
      <c r="D178" t="s">
        <v>208</v>
      </c>
      <c r="E178" t="s">
        <v>224</v>
      </c>
      <c r="F178">
        <v>10</v>
      </c>
      <c r="G178">
        <v>7</v>
      </c>
      <c r="H178" s="17"/>
      <c r="I178" s="1">
        <v>96.32798090813354</v>
      </c>
      <c r="J178" s="1">
        <v>103.19568508717649</v>
      </c>
      <c r="K178" s="1">
        <v>199.52366599531001</v>
      </c>
      <c r="L178" s="1">
        <v>0.48278975041686445</v>
      </c>
      <c r="M178" s="1">
        <v>0.51721024958313566</v>
      </c>
      <c r="N178" s="19"/>
      <c r="O178" s="1">
        <v>109.3177282767886</v>
      </c>
      <c r="P178" s="1">
        <v>107.01580089197945</v>
      </c>
      <c r="Q178" s="1">
        <v>216.33352916876805</v>
      </c>
      <c r="R178" s="1">
        <v>0.50532032041832342</v>
      </c>
      <c r="S178" s="1">
        <v>0.49467967958167652</v>
      </c>
      <c r="T178" s="19"/>
      <c r="U178" s="1">
        <v>0.31558793582132499</v>
      </c>
      <c r="V178" s="1">
        <v>0.68441206417867495</v>
      </c>
      <c r="W178" s="1">
        <v>0.59525000000000006</v>
      </c>
      <c r="X178" s="1">
        <v>0.40475</v>
      </c>
      <c r="Y178" s="17"/>
      <c r="Z178" s="12">
        <v>2.7966206417867507</v>
      </c>
      <c r="AA178" s="12">
        <v>-2.7966206417867494</v>
      </c>
      <c r="AB178" s="12">
        <v>1.446440860127874</v>
      </c>
      <c r="AC178" s="12">
        <v>1.3501797816588763</v>
      </c>
      <c r="AD178" s="12">
        <v>-1.4131892387961775</v>
      </c>
      <c r="AE178" s="12">
        <v>-1.3834314029905717</v>
      </c>
      <c r="AF178" s="17"/>
      <c r="AG178">
        <v>176</v>
      </c>
      <c r="AH178">
        <v>41</v>
      </c>
      <c r="AI178">
        <v>11</v>
      </c>
      <c r="AJ178">
        <v>20</v>
      </c>
      <c r="AK178">
        <v>40</v>
      </c>
    </row>
    <row r="179" spans="1:37" x14ac:dyDescent="0.25">
      <c r="A179">
        <v>177</v>
      </c>
      <c r="B179" t="s">
        <v>208</v>
      </c>
      <c r="C179" t="s">
        <v>196</v>
      </c>
      <c r="D179" t="s">
        <v>204</v>
      </c>
      <c r="E179" t="s">
        <v>231</v>
      </c>
      <c r="F179">
        <v>10</v>
      </c>
      <c r="G179">
        <v>4</v>
      </c>
      <c r="H179" s="17"/>
      <c r="I179" s="1">
        <v>107.90453903799242</v>
      </c>
      <c r="J179" s="1">
        <v>90.401037594332138</v>
      </c>
      <c r="K179" s="1">
        <v>198.30557663232457</v>
      </c>
      <c r="L179" s="1">
        <v>0.54413265058126237</v>
      </c>
      <c r="M179" s="1">
        <v>0.45586734941873752</v>
      </c>
      <c r="N179" s="19"/>
      <c r="O179" s="1">
        <v>91.201045775507481</v>
      </c>
      <c r="P179" s="1">
        <v>101.33082142193481</v>
      </c>
      <c r="Q179" s="1">
        <v>192.5318671974423</v>
      </c>
      <c r="R179" s="1">
        <v>0.47369324934651152</v>
      </c>
      <c r="S179" s="1">
        <v>0.52630675065348842</v>
      </c>
      <c r="T179" s="19"/>
      <c r="U179" s="1">
        <v>0.56608341918019001</v>
      </c>
      <c r="V179" s="1">
        <v>0.43391658081980994</v>
      </c>
      <c r="W179" s="1">
        <v>0.81200000000000006</v>
      </c>
      <c r="X179" s="1">
        <v>0.18799999999999994</v>
      </c>
      <c r="Y179" s="17"/>
      <c r="Z179" s="12">
        <v>2.4591658081981005</v>
      </c>
      <c r="AA179" s="12">
        <v>-2.4591658081981</v>
      </c>
      <c r="AB179" s="12">
        <v>1.1210533987644558</v>
      </c>
      <c r="AC179" s="12">
        <v>1.338112409433645</v>
      </c>
      <c r="AD179" s="12">
        <v>-1.1648902423671981</v>
      </c>
      <c r="AE179" s="12">
        <v>-1.2942755658309018</v>
      </c>
      <c r="AF179" s="17"/>
      <c r="AG179">
        <v>177</v>
      </c>
      <c r="AH179">
        <v>20</v>
      </c>
      <c r="AI179">
        <v>9</v>
      </c>
      <c r="AJ179">
        <v>16</v>
      </c>
      <c r="AK179">
        <v>38</v>
      </c>
    </row>
    <row r="180" spans="1:37" x14ac:dyDescent="0.25">
      <c r="A180">
        <v>178</v>
      </c>
      <c r="B180" t="s">
        <v>208</v>
      </c>
      <c r="C180" t="s">
        <v>196</v>
      </c>
      <c r="D180" t="s">
        <v>204</v>
      </c>
      <c r="E180" t="s">
        <v>231</v>
      </c>
      <c r="F180">
        <v>10</v>
      </c>
      <c r="G180">
        <v>7</v>
      </c>
      <c r="H180" s="17"/>
      <c r="I180" s="1">
        <v>109.02559243675688</v>
      </c>
      <c r="J180" s="1">
        <v>91.739150003765786</v>
      </c>
      <c r="K180" s="1">
        <v>200.76474244052267</v>
      </c>
      <c r="L180" s="1">
        <v>0.54305148957644356</v>
      </c>
      <c r="M180" s="1">
        <v>0.45694851042355639</v>
      </c>
      <c r="N180" s="19"/>
      <c r="O180" s="1">
        <v>90.036155533140288</v>
      </c>
      <c r="P180" s="1">
        <v>100.03654585610391</v>
      </c>
      <c r="Q180" s="1">
        <v>190.0727013892442</v>
      </c>
      <c r="R180" s="1">
        <v>0.47369324934651158</v>
      </c>
      <c r="S180" s="1">
        <v>0.52630675065348842</v>
      </c>
      <c r="T180" s="19"/>
      <c r="U180" s="1">
        <v>0.62066851336246565</v>
      </c>
      <c r="V180" s="1">
        <v>0.37933148663753435</v>
      </c>
      <c r="W180" s="1">
        <v>0.59525000000000006</v>
      </c>
      <c r="X180" s="1">
        <v>0.40475</v>
      </c>
      <c r="Y180" s="17"/>
      <c r="Z180" s="12">
        <v>-0.25418513362465589</v>
      </c>
      <c r="AA180" s="12">
        <v>0.25418513362465645</v>
      </c>
      <c r="AB180" s="12">
        <v>-0.13803561544305673</v>
      </c>
      <c r="AC180" s="12">
        <v>-0.11614951818159915</v>
      </c>
      <c r="AD180" s="12">
        <v>0.1337793517424157</v>
      </c>
      <c r="AE180" s="12">
        <v>0.12040578188224076</v>
      </c>
      <c r="AF180" s="17"/>
      <c r="AG180">
        <v>178</v>
      </c>
      <c r="AH180">
        <v>20</v>
      </c>
      <c r="AI180">
        <v>9</v>
      </c>
      <c r="AJ180">
        <v>16</v>
      </c>
      <c r="AK180">
        <v>38</v>
      </c>
    </row>
    <row r="181" spans="1:37" x14ac:dyDescent="0.25">
      <c r="A181">
        <v>179</v>
      </c>
      <c r="B181" t="s">
        <v>227</v>
      </c>
      <c r="C181" t="s">
        <v>210</v>
      </c>
      <c r="D181" t="s">
        <v>225</v>
      </c>
      <c r="E181" t="s">
        <v>214</v>
      </c>
      <c r="F181">
        <v>10</v>
      </c>
      <c r="G181">
        <v>5</v>
      </c>
      <c r="H181" s="17"/>
      <c r="I181" s="1">
        <v>106.10716054775918</v>
      </c>
      <c r="J181" s="1">
        <v>101.67883473847651</v>
      </c>
      <c r="K181" s="1">
        <v>207.78599528623567</v>
      </c>
      <c r="L181" s="1">
        <v>0.51065597756764702</v>
      </c>
      <c r="M181" s="1">
        <v>0.48934402243235303</v>
      </c>
      <c r="N181" s="19"/>
      <c r="O181" s="1">
        <v>97.774421768261419</v>
      </c>
      <c r="P181" s="1">
        <v>90.554104833905299</v>
      </c>
      <c r="Q181" s="1">
        <v>188.32852660216673</v>
      </c>
      <c r="R181" s="1">
        <v>0.51916947226377608</v>
      </c>
      <c r="S181" s="1">
        <v>0.48083052773622381</v>
      </c>
      <c r="T181" s="19"/>
      <c r="U181" s="1">
        <v>0.71013700724229623</v>
      </c>
      <c r="V181" s="1">
        <v>0.28986299275770377</v>
      </c>
      <c r="W181" s="1">
        <v>0.71875</v>
      </c>
      <c r="X181" s="1">
        <v>0.28125</v>
      </c>
      <c r="Y181" s="17"/>
      <c r="Z181" s="12">
        <v>8.6129927577037746E-2</v>
      </c>
      <c r="AA181" s="12">
        <v>-8.6129927577037746E-2</v>
      </c>
      <c r="AB181" s="12">
        <v>4.2147165212354898E-2</v>
      </c>
      <c r="AC181" s="12">
        <v>4.3982762364682841E-2</v>
      </c>
      <c r="AD181" s="12">
        <v>-4.4716029046287943E-2</v>
      </c>
      <c r="AE181" s="12">
        <v>-4.1413898530749796E-2</v>
      </c>
      <c r="AF181" s="17"/>
      <c r="AG181">
        <v>179</v>
      </c>
      <c r="AH181">
        <v>46</v>
      </c>
      <c r="AI181">
        <v>22</v>
      </c>
      <c r="AJ181">
        <v>41</v>
      </c>
      <c r="AK181">
        <v>28</v>
      </c>
    </row>
    <row r="182" spans="1:37" x14ac:dyDescent="0.25">
      <c r="A182">
        <v>180</v>
      </c>
      <c r="B182" t="s">
        <v>227</v>
      </c>
      <c r="C182" t="s">
        <v>210</v>
      </c>
      <c r="D182" t="s">
        <v>225</v>
      </c>
      <c r="E182" t="s">
        <v>214</v>
      </c>
      <c r="F182">
        <v>10</v>
      </c>
      <c r="G182">
        <v>6</v>
      </c>
      <c r="H182" s="17"/>
      <c r="I182" s="1">
        <v>106.14930771297153</v>
      </c>
      <c r="J182" s="1">
        <v>101.72281750084119</v>
      </c>
      <c r="K182" s="1">
        <v>207.87212521381272</v>
      </c>
      <c r="L182" s="1">
        <v>0.51064714715255199</v>
      </c>
      <c r="M182" s="1">
        <v>0.48935285284744801</v>
      </c>
      <c r="N182" s="19"/>
      <c r="O182" s="1">
        <v>97.729705739215134</v>
      </c>
      <c r="P182" s="1">
        <v>90.51269093537455</v>
      </c>
      <c r="Q182" s="1">
        <v>188.24239667458968</v>
      </c>
      <c r="R182" s="1">
        <v>0.51916947226377619</v>
      </c>
      <c r="S182" s="1">
        <v>0.48083052773622387</v>
      </c>
      <c r="T182" s="19"/>
      <c r="U182" s="1">
        <v>0.71176720032164675</v>
      </c>
      <c r="V182" s="1">
        <v>0.28823279967835319</v>
      </c>
      <c r="W182" s="1">
        <v>0.64800000000000002</v>
      </c>
      <c r="X182" s="1">
        <v>0.35199999999999998</v>
      </c>
      <c r="Y182" s="17"/>
      <c r="Z182" s="12">
        <v>-0.63767200321646733</v>
      </c>
      <c r="AA182" s="12">
        <v>0.63767200321646789</v>
      </c>
      <c r="AB182" s="12">
        <v>-0.325625389261542</v>
      </c>
      <c r="AC182" s="12">
        <v>-0.31204661395492533</v>
      </c>
      <c r="AD182" s="12">
        <v>0.30661216582918926</v>
      </c>
      <c r="AE182" s="12">
        <v>0.33105983738727857</v>
      </c>
      <c r="AF182" s="17"/>
      <c r="AG182">
        <v>180</v>
      </c>
      <c r="AH182">
        <v>46</v>
      </c>
      <c r="AI182">
        <v>22</v>
      </c>
      <c r="AJ182">
        <v>41</v>
      </c>
      <c r="AK182">
        <v>28</v>
      </c>
    </row>
    <row r="183" spans="1:37" x14ac:dyDescent="0.25">
      <c r="A183">
        <v>181</v>
      </c>
      <c r="B183" t="s">
        <v>199</v>
      </c>
      <c r="C183" t="s">
        <v>222</v>
      </c>
      <c r="D183" t="s">
        <v>208</v>
      </c>
      <c r="E183" t="s">
        <v>230</v>
      </c>
      <c r="F183">
        <v>7</v>
      </c>
      <c r="G183">
        <v>10</v>
      </c>
      <c r="H183" s="17"/>
      <c r="I183" s="1">
        <v>104.54586486883537</v>
      </c>
      <c r="J183" s="1">
        <v>96.172973061543473</v>
      </c>
      <c r="K183" s="1">
        <v>200.71883793037884</v>
      </c>
      <c r="L183" s="1">
        <v>0.52085726455380366</v>
      </c>
      <c r="M183" s="1">
        <v>0.47914273544619634</v>
      </c>
      <c r="N183" s="19"/>
      <c r="O183" s="1">
        <v>108.88755682131382</v>
      </c>
      <c r="P183" s="1">
        <v>92.37963946355147</v>
      </c>
      <c r="Q183" s="1">
        <v>201.26719628486529</v>
      </c>
      <c r="R183" s="1">
        <v>0.54100995508080141</v>
      </c>
      <c r="S183" s="1">
        <v>0.45899004491919854</v>
      </c>
      <c r="T183" s="19"/>
      <c r="U183" s="1">
        <v>0.49368712661274922</v>
      </c>
      <c r="V183" s="1">
        <v>0.50631287338725084</v>
      </c>
      <c r="W183" s="1">
        <v>0.40475</v>
      </c>
      <c r="X183" s="1">
        <v>0.59525000000000006</v>
      </c>
      <c r="Y183" s="17"/>
      <c r="Z183" s="12">
        <v>-0.88937126612749218</v>
      </c>
      <c r="AA183" s="12">
        <v>0.88937126612749218</v>
      </c>
      <c r="AB183" s="12">
        <v>-0.46323548484791849</v>
      </c>
      <c r="AC183" s="12">
        <v>-0.42613578127957369</v>
      </c>
      <c r="AD183" s="12">
        <v>0.40821255738970214</v>
      </c>
      <c r="AE183" s="12">
        <v>0.48115870873779004</v>
      </c>
      <c r="AF183" s="17"/>
      <c r="AG183">
        <v>181</v>
      </c>
      <c r="AH183">
        <v>11</v>
      </c>
      <c r="AI183">
        <v>37</v>
      </c>
      <c r="AJ183">
        <v>20</v>
      </c>
      <c r="AK183">
        <v>31</v>
      </c>
    </row>
    <row r="184" spans="1:37" x14ac:dyDescent="0.25">
      <c r="A184">
        <v>182</v>
      </c>
      <c r="B184" t="s">
        <v>199</v>
      </c>
      <c r="C184" t="s">
        <v>222</v>
      </c>
      <c r="D184" t="s">
        <v>208</v>
      </c>
      <c r="E184" t="s">
        <v>230</v>
      </c>
      <c r="F184">
        <v>7</v>
      </c>
      <c r="G184">
        <v>10</v>
      </c>
      <c r="H184" s="17"/>
      <c r="I184" s="1">
        <v>104.08262938398745</v>
      </c>
      <c r="J184" s="1">
        <v>95.746837280263904</v>
      </c>
      <c r="K184" s="1">
        <v>199.82946666425136</v>
      </c>
      <c r="L184" s="1">
        <v>0.52085726455380366</v>
      </c>
      <c r="M184" s="1">
        <v>0.47914273544619634</v>
      </c>
      <c r="N184" s="19"/>
      <c r="O184" s="1">
        <v>109.29576937870353</v>
      </c>
      <c r="P184" s="1">
        <v>92.860798172289265</v>
      </c>
      <c r="Q184" s="1">
        <v>202.1565675509928</v>
      </c>
      <c r="R184" s="1">
        <v>0.54064911520193037</v>
      </c>
      <c r="S184" s="1">
        <v>0.45935088479806957</v>
      </c>
      <c r="T184" s="19"/>
      <c r="U184" s="1">
        <v>0.47323387291045282</v>
      </c>
      <c r="V184" s="1">
        <v>0.52676612708954718</v>
      </c>
      <c r="W184" s="1">
        <v>0.40475</v>
      </c>
      <c r="X184" s="1">
        <v>0.59525000000000006</v>
      </c>
      <c r="Y184" s="17"/>
      <c r="Z184" s="12">
        <v>-0.68483872910452825</v>
      </c>
      <c r="AA184" s="12">
        <v>0.68483872910452881</v>
      </c>
      <c r="AB184" s="12">
        <v>-0.35670322710188795</v>
      </c>
      <c r="AC184" s="12">
        <v>-0.3281355020026403</v>
      </c>
      <c r="AD184" s="12">
        <v>0.31458127615815085</v>
      </c>
      <c r="AE184" s="12">
        <v>0.37025745294637796</v>
      </c>
      <c r="AF184" s="17"/>
      <c r="AG184">
        <v>182</v>
      </c>
      <c r="AH184">
        <v>11</v>
      </c>
      <c r="AI184">
        <v>37</v>
      </c>
      <c r="AJ184">
        <v>20</v>
      </c>
      <c r="AK184">
        <v>31</v>
      </c>
    </row>
    <row r="185" spans="1:37" x14ac:dyDescent="0.25">
      <c r="A185">
        <v>183</v>
      </c>
      <c r="B185" t="s">
        <v>214</v>
      </c>
      <c r="C185" t="s">
        <v>222</v>
      </c>
      <c r="D185" t="s">
        <v>196</v>
      </c>
      <c r="E185" t="s">
        <v>199</v>
      </c>
      <c r="F185">
        <v>10</v>
      </c>
      <c r="G185">
        <v>7</v>
      </c>
      <c r="H185" s="17"/>
      <c r="I185" s="1">
        <v>90.843750772761823</v>
      </c>
      <c r="J185" s="1">
        <v>95.418701778261266</v>
      </c>
      <c r="K185" s="1">
        <v>186.2624525510231</v>
      </c>
      <c r="L185" s="1">
        <v>0.48771907342880544</v>
      </c>
      <c r="M185" s="1">
        <v>0.51228092657119451</v>
      </c>
      <c r="N185" s="19"/>
      <c r="O185" s="1">
        <v>91.623000485584186</v>
      </c>
      <c r="P185" s="1">
        <v>103.72592615688556</v>
      </c>
      <c r="Q185" s="1">
        <v>195.34892664246973</v>
      </c>
      <c r="R185" s="1">
        <v>0.46902228776139554</v>
      </c>
      <c r="S185" s="1">
        <v>0.53097771223860457</v>
      </c>
      <c r="T185" s="19"/>
      <c r="U185" s="1">
        <v>0.39688828643342022</v>
      </c>
      <c r="V185" s="1">
        <v>0.60311171356657978</v>
      </c>
      <c r="W185" s="1">
        <v>0.59525000000000006</v>
      </c>
      <c r="X185" s="1">
        <v>0.40475</v>
      </c>
      <c r="Y185" s="17"/>
      <c r="Z185" s="12">
        <v>1.9836171356657983</v>
      </c>
      <c r="AA185" s="12">
        <v>-1.9836171356657979</v>
      </c>
      <c r="AB185" s="12">
        <v>1.016169224221374</v>
      </c>
      <c r="AC185" s="12">
        <v>0.96744791144442432</v>
      </c>
      <c r="AD185" s="12">
        <v>-0.93036064701267907</v>
      </c>
      <c r="AE185" s="12">
        <v>-1.053256488653119</v>
      </c>
      <c r="AF185" s="17"/>
      <c r="AG185">
        <v>183</v>
      </c>
      <c r="AH185">
        <v>28</v>
      </c>
      <c r="AI185">
        <v>37</v>
      </c>
      <c r="AJ185">
        <v>9</v>
      </c>
      <c r="AK185">
        <v>11</v>
      </c>
    </row>
    <row r="186" spans="1:37" x14ac:dyDescent="0.25">
      <c r="A186">
        <v>184</v>
      </c>
      <c r="B186" t="s">
        <v>214</v>
      </c>
      <c r="C186" t="s">
        <v>222</v>
      </c>
      <c r="D186" t="s">
        <v>196</v>
      </c>
      <c r="E186" t="s">
        <v>199</v>
      </c>
      <c r="F186">
        <v>10</v>
      </c>
      <c r="G186">
        <v>7</v>
      </c>
      <c r="H186" s="17"/>
      <c r="I186" s="1">
        <v>91.859919996983194</v>
      </c>
      <c r="J186" s="1">
        <v>96.38614968970569</v>
      </c>
      <c r="K186" s="1">
        <v>188.24606968668888</v>
      </c>
      <c r="L186" s="1">
        <v>0.48797789058689028</v>
      </c>
      <c r="M186" s="1">
        <v>0.51202210941310966</v>
      </c>
      <c r="N186" s="19"/>
      <c r="O186" s="1">
        <v>90.692639838571509</v>
      </c>
      <c r="P186" s="1">
        <v>102.67266966823244</v>
      </c>
      <c r="Q186" s="1">
        <v>193.36530950680395</v>
      </c>
      <c r="R186" s="1">
        <v>0.46902228776139548</v>
      </c>
      <c r="S186" s="1">
        <v>0.53097771223860446</v>
      </c>
      <c r="T186" s="19"/>
      <c r="U186" s="1">
        <v>0.4413340332135961</v>
      </c>
      <c r="V186" s="1">
        <v>0.55866596678640379</v>
      </c>
      <c r="W186" s="1">
        <v>0.59525000000000006</v>
      </c>
      <c r="X186" s="1">
        <v>0.40475</v>
      </c>
      <c r="Y186" s="17"/>
      <c r="Z186" s="12">
        <v>1.5391596678640396</v>
      </c>
      <c r="AA186" s="12">
        <v>-1.539159667864038</v>
      </c>
      <c r="AB186" s="12">
        <v>0.78808377986332678</v>
      </c>
      <c r="AC186" s="12">
        <v>0.75107588800071279</v>
      </c>
      <c r="AD186" s="12">
        <v>-0.72190018865166072</v>
      </c>
      <c r="AE186" s="12">
        <v>-0.81725947921237718</v>
      </c>
      <c r="AF186" s="17"/>
      <c r="AG186">
        <v>184</v>
      </c>
      <c r="AH186">
        <v>28</v>
      </c>
      <c r="AI186">
        <v>37</v>
      </c>
      <c r="AJ186">
        <v>9</v>
      </c>
      <c r="AK186">
        <v>11</v>
      </c>
    </row>
    <row r="187" spans="1:37" x14ac:dyDescent="0.25">
      <c r="A187">
        <v>185</v>
      </c>
      <c r="B187" t="s">
        <v>208</v>
      </c>
      <c r="C187" t="s">
        <v>227</v>
      </c>
      <c r="D187" t="s">
        <v>210</v>
      </c>
      <c r="E187" t="s">
        <v>214</v>
      </c>
      <c r="F187">
        <v>10</v>
      </c>
      <c r="G187">
        <v>3</v>
      </c>
      <c r="H187" s="17"/>
      <c r="I187" s="1">
        <v>109.61035065486168</v>
      </c>
      <c r="J187" s="1">
        <v>105.82368232370999</v>
      </c>
      <c r="K187" s="1">
        <v>215.43403297857168</v>
      </c>
      <c r="L187" s="1">
        <v>0.50878846363965236</v>
      </c>
      <c r="M187" s="1">
        <v>0.49121153636034759</v>
      </c>
      <c r="N187" s="19"/>
      <c r="O187" s="1">
        <v>101.41077088688627</v>
      </c>
      <c r="P187" s="1">
        <v>92.648003776846522</v>
      </c>
      <c r="Q187" s="1">
        <v>194.05877466373278</v>
      </c>
      <c r="R187" s="1">
        <v>0.52257761115214707</v>
      </c>
      <c r="S187" s="1">
        <v>0.47742238884785304</v>
      </c>
      <c r="T187" s="19"/>
      <c r="U187" s="1">
        <v>0.72797386925856977</v>
      </c>
      <c r="V187" s="1">
        <v>0.27202613074143017</v>
      </c>
      <c r="W187" s="1">
        <v>0.93224999999999991</v>
      </c>
      <c r="X187" s="1">
        <v>6.7749999999999977E-2</v>
      </c>
      <c r="Y187" s="17"/>
      <c r="Z187" s="12">
        <v>2.0427613074143016</v>
      </c>
      <c r="AA187" s="12">
        <v>-2.0427613074143021</v>
      </c>
      <c r="AB187" s="12">
        <v>1.0034279202324514</v>
      </c>
      <c r="AC187" s="12">
        <v>1.0393333871818504</v>
      </c>
      <c r="AD187" s="12">
        <v>-1.0675013241826028</v>
      </c>
      <c r="AE187" s="12">
        <v>-0.9752599832316996</v>
      </c>
      <c r="AF187" s="17"/>
      <c r="AG187">
        <v>185</v>
      </c>
      <c r="AH187">
        <v>20</v>
      </c>
      <c r="AI187">
        <v>46</v>
      </c>
      <c r="AJ187">
        <v>22</v>
      </c>
      <c r="AK187">
        <v>28</v>
      </c>
    </row>
    <row r="188" spans="1:37" x14ac:dyDescent="0.25">
      <c r="A188">
        <v>186</v>
      </c>
      <c r="B188" t="s">
        <v>208</v>
      </c>
      <c r="C188" t="s">
        <v>227</v>
      </c>
      <c r="D188" t="s">
        <v>210</v>
      </c>
      <c r="E188" t="s">
        <v>214</v>
      </c>
      <c r="F188">
        <v>10</v>
      </c>
      <c r="G188">
        <v>4</v>
      </c>
      <c r="H188" s="17"/>
      <c r="I188" s="1">
        <v>110.61377857509413</v>
      </c>
      <c r="J188" s="1">
        <v>106.86301571089184</v>
      </c>
      <c r="K188" s="1">
        <v>217.47679428598599</v>
      </c>
      <c r="L188" s="1">
        <v>0.50862336341796066</v>
      </c>
      <c r="M188" s="1">
        <v>0.49137663658203923</v>
      </c>
      <c r="N188" s="19"/>
      <c r="O188" s="1">
        <v>100.34326956270367</v>
      </c>
      <c r="P188" s="1">
        <v>91.672743793614828</v>
      </c>
      <c r="Q188" s="1">
        <v>192.0160133563185</v>
      </c>
      <c r="R188" s="1">
        <v>0.52257761115214696</v>
      </c>
      <c r="S188" s="1">
        <v>0.47742238884785304</v>
      </c>
      <c r="T188" s="19"/>
      <c r="U188" s="1">
        <v>0.76359882415426483</v>
      </c>
      <c r="V188" s="1">
        <v>0.2364011758457352</v>
      </c>
      <c r="W188" s="1">
        <v>0.81200000000000006</v>
      </c>
      <c r="X188" s="1">
        <v>0.18799999999999994</v>
      </c>
      <c r="Y188" s="17"/>
      <c r="Z188" s="12">
        <v>0.48401175845735223</v>
      </c>
      <c r="AA188" s="12">
        <v>-0.4840117584573525</v>
      </c>
      <c r="AB188" s="12">
        <v>0.23783206993693218</v>
      </c>
      <c r="AC188" s="12">
        <v>0.2461796885204201</v>
      </c>
      <c r="AD188" s="12">
        <v>-0.25293370850419322</v>
      </c>
      <c r="AE188" s="12">
        <v>-0.23107804995315928</v>
      </c>
      <c r="AF188" s="17"/>
      <c r="AG188">
        <v>186</v>
      </c>
      <c r="AH188">
        <v>20</v>
      </c>
      <c r="AI188">
        <v>46</v>
      </c>
      <c r="AJ188">
        <v>22</v>
      </c>
      <c r="AK188">
        <v>28</v>
      </c>
    </row>
    <row r="189" spans="1:37" x14ac:dyDescent="0.25">
      <c r="A189">
        <v>187</v>
      </c>
      <c r="B189" t="s">
        <v>225</v>
      </c>
      <c r="C189" t="s">
        <v>208</v>
      </c>
      <c r="D189" t="s">
        <v>227</v>
      </c>
      <c r="E189" t="s">
        <v>224</v>
      </c>
      <c r="F189">
        <v>9</v>
      </c>
      <c r="G189">
        <v>10</v>
      </c>
      <c r="H189" s="17"/>
      <c r="I189" s="1">
        <v>98.036317905044328</v>
      </c>
      <c r="J189" s="1">
        <v>110.85161064503106</v>
      </c>
      <c r="K189" s="1">
        <v>208.8879285500754</v>
      </c>
      <c r="L189" s="1">
        <v>0.4693249561405014</v>
      </c>
      <c r="M189" s="1">
        <v>0.53067504385949849</v>
      </c>
      <c r="N189" s="19"/>
      <c r="O189" s="1">
        <v>107.10919539941226</v>
      </c>
      <c r="P189" s="1">
        <v>105.63236948898889</v>
      </c>
      <c r="Q189" s="1">
        <v>212.74156488840114</v>
      </c>
      <c r="R189" s="1">
        <v>0.50347093881536054</v>
      </c>
      <c r="S189" s="1">
        <v>0.49652906118463952</v>
      </c>
      <c r="T189" s="19"/>
      <c r="U189" s="1">
        <v>0.4557494480638084</v>
      </c>
      <c r="V189" s="1">
        <v>0.54425055193619165</v>
      </c>
      <c r="W189" s="1">
        <v>0.47425</v>
      </c>
      <c r="X189" s="1">
        <v>0.52575000000000005</v>
      </c>
      <c r="Y189" s="17"/>
      <c r="Z189" s="12">
        <v>0.185005519361916</v>
      </c>
      <c r="AA189" s="12">
        <v>-0.185005519361916</v>
      </c>
      <c r="AB189" s="12">
        <v>9.8177812101634093E-2</v>
      </c>
      <c r="AC189" s="12">
        <v>8.6827707260281939E-2</v>
      </c>
      <c r="AD189" s="12">
        <v>-9.3144902519167211E-2</v>
      </c>
      <c r="AE189" s="12">
        <v>-9.1860616842748807E-2</v>
      </c>
      <c r="AF189" s="17"/>
      <c r="AG189">
        <v>187</v>
      </c>
      <c r="AH189">
        <v>41</v>
      </c>
      <c r="AI189">
        <v>20</v>
      </c>
      <c r="AJ189">
        <v>46</v>
      </c>
      <c r="AK189">
        <v>40</v>
      </c>
    </row>
    <row r="190" spans="1:37" x14ac:dyDescent="0.25">
      <c r="A190">
        <v>188</v>
      </c>
      <c r="B190" t="s">
        <v>225</v>
      </c>
      <c r="C190" t="s">
        <v>208</v>
      </c>
      <c r="D190" t="s">
        <v>227</v>
      </c>
      <c r="E190" t="s">
        <v>224</v>
      </c>
      <c r="F190">
        <v>9</v>
      </c>
      <c r="G190">
        <v>10</v>
      </c>
      <c r="H190" s="17"/>
      <c r="I190" s="1">
        <v>98.134495717145967</v>
      </c>
      <c r="J190" s="1">
        <v>110.93843835229134</v>
      </c>
      <c r="K190" s="1">
        <v>209.07293406943731</v>
      </c>
      <c r="L190" s="1">
        <v>0.46937924391759639</v>
      </c>
      <c r="M190" s="1">
        <v>0.53062075608240356</v>
      </c>
      <c r="N190" s="19"/>
      <c r="O190" s="1">
        <v>107.01605049689309</v>
      </c>
      <c r="P190" s="1">
        <v>105.54050887214613</v>
      </c>
      <c r="Q190" s="1">
        <v>212.55655936903923</v>
      </c>
      <c r="R190" s="1">
        <v>0.50347093881536042</v>
      </c>
      <c r="S190" s="1">
        <v>0.49652906118463946</v>
      </c>
      <c r="T190" s="19"/>
      <c r="U190" s="1">
        <v>0.45997907892486944</v>
      </c>
      <c r="V190" s="1">
        <v>0.54002092107513056</v>
      </c>
      <c r="W190" s="1">
        <v>0.47425</v>
      </c>
      <c r="X190" s="1">
        <v>0.52575000000000005</v>
      </c>
      <c r="Y190" s="17"/>
      <c r="Z190" s="12">
        <v>0.1427092107513056</v>
      </c>
      <c r="AA190" s="12">
        <v>-0.14270921075130505</v>
      </c>
      <c r="AB190" s="12">
        <v>7.5724469308780865E-2</v>
      </c>
      <c r="AC190" s="12">
        <v>6.6984741442524753E-2</v>
      </c>
      <c r="AD190" s="12">
        <v>-7.1849940314558686E-2</v>
      </c>
      <c r="AE190" s="12">
        <v>-7.0859270436746349E-2</v>
      </c>
      <c r="AF190" s="17"/>
      <c r="AG190">
        <v>188</v>
      </c>
      <c r="AH190">
        <v>41</v>
      </c>
      <c r="AI190">
        <v>20</v>
      </c>
      <c r="AJ190">
        <v>46</v>
      </c>
      <c r="AK190">
        <v>40</v>
      </c>
    </row>
    <row r="191" spans="1:37" x14ac:dyDescent="0.25">
      <c r="A191">
        <v>189</v>
      </c>
      <c r="B191" t="s">
        <v>200</v>
      </c>
      <c r="C191" t="s">
        <v>199</v>
      </c>
      <c r="D191" t="s">
        <v>222</v>
      </c>
      <c r="E191" t="s">
        <v>230</v>
      </c>
      <c r="F191">
        <v>10</v>
      </c>
      <c r="G191">
        <v>5</v>
      </c>
      <c r="H191" s="17"/>
      <c r="I191" s="1">
        <v>95.886944599301714</v>
      </c>
      <c r="J191" s="1">
        <v>101.85541018902006</v>
      </c>
      <c r="K191" s="1">
        <v>197.74235478832179</v>
      </c>
      <c r="L191" s="1">
        <v>0.48490847953108618</v>
      </c>
      <c r="M191" s="1">
        <v>0.51509152046891382</v>
      </c>
      <c r="N191" s="19"/>
      <c r="O191" s="1">
        <v>97.137225577706403</v>
      </c>
      <c r="P191" s="1">
        <v>93.231055625235641</v>
      </c>
      <c r="Q191" s="1">
        <v>190.36828120294206</v>
      </c>
      <c r="R191" s="1">
        <v>0.51025950837972467</v>
      </c>
      <c r="S191" s="1">
        <v>0.48974049162027522</v>
      </c>
      <c r="T191" s="19"/>
      <c r="U191" s="1">
        <v>0.5840905947879812</v>
      </c>
      <c r="V191" s="1">
        <v>0.41590940521201886</v>
      </c>
      <c r="W191" s="1">
        <v>0.71875</v>
      </c>
      <c r="X191" s="1">
        <v>0.28125</v>
      </c>
      <c r="Y191" s="17"/>
      <c r="Z191" s="12">
        <v>1.346594052120188</v>
      </c>
      <c r="AA191" s="12">
        <v>-1.3465940521201887</v>
      </c>
      <c r="AB191" s="12">
        <v>0.69361917776098347</v>
      </c>
      <c r="AC191" s="12">
        <v>0.65297487435920454</v>
      </c>
      <c r="AD191" s="12">
        <v>-0.68711241902190878</v>
      </c>
      <c r="AE191" s="12">
        <v>-0.65948163309827967</v>
      </c>
      <c r="AF191" s="17"/>
      <c r="AG191">
        <v>189</v>
      </c>
      <c r="AH191">
        <v>12</v>
      </c>
      <c r="AI191">
        <v>11</v>
      </c>
      <c r="AJ191">
        <v>37</v>
      </c>
      <c r="AK191">
        <v>31</v>
      </c>
    </row>
    <row r="192" spans="1:37" x14ac:dyDescent="0.25">
      <c r="A192">
        <v>190</v>
      </c>
      <c r="B192" t="s">
        <v>200</v>
      </c>
      <c r="C192" t="s">
        <v>199</v>
      </c>
      <c r="D192" t="s">
        <v>222</v>
      </c>
      <c r="E192" t="s">
        <v>230</v>
      </c>
      <c r="F192">
        <v>10</v>
      </c>
      <c r="G192">
        <v>5</v>
      </c>
      <c r="H192" s="17"/>
      <c r="I192" s="1">
        <v>96.580563777062693</v>
      </c>
      <c r="J192" s="1">
        <v>102.50838506337927</v>
      </c>
      <c r="K192" s="1">
        <v>199.08894884044196</v>
      </c>
      <c r="L192" s="1">
        <v>0.48511263101030444</v>
      </c>
      <c r="M192" s="1">
        <v>0.51488736898969556</v>
      </c>
      <c r="N192" s="19"/>
      <c r="O192" s="1">
        <v>96.450113158684488</v>
      </c>
      <c r="P192" s="1">
        <v>92.57157399213736</v>
      </c>
      <c r="Q192" s="1">
        <v>189.02168715082183</v>
      </c>
      <c r="R192" s="1">
        <v>0.51025950837972478</v>
      </c>
      <c r="S192" s="1">
        <v>0.48974049162027528</v>
      </c>
      <c r="T192" s="19"/>
      <c r="U192" s="1">
        <v>0.61387129298433152</v>
      </c>
      <c r="V192" s="1">
        <v>0.38612870701566854</v>
      </c>
      <c r="W192" s="1">
        <v>0.71875</v>
      </c>
      <c r="X192" s="1">
        <v>0.28125</v>
      </c>
      <c r="Y192" s="17"/>
      <c r="Z192" s="12">
        <v>1.0487870701566848</v>
      </c>
      <c r="AA192" s="12">
        <v>-1.0487870701566853</v>
      </c>
      <c r="AB192" s="12">
        <v>0.54000721518338668</v>
      </c>
      <c r="AC192" s="12">
        <v>0.50877985497329814</v>
      </c>
      <c r="AD192" s="12">
        <v>-0.53515357481316217</v>
      </c>
      <c r="AE192" s="12">
        <v>-0.51363349534352321</v>
      </c>
      <c r="AF192" s="17"/>
      <c r="AG192">
        <v>190</v>
      </c>
      <c r="AH192">
        <v>12</v>
      </c>
      <c r="AI192">
        <v>11</v>
      </c>
      <c r="AJ192">
        <v>37</v>
      </c>
      <c r="AK192">
        <v>31</v>
      </c>
    </row>
    <row r="193" spans="1:37" x14ac:dyDescent="0.25">
      <c r="A193">
        <v>191</v>
      </c>
      <c r="B193" t="s">
        <v>210</v>
      </c>
      <c r="C193" t="s">
        <v>217</v>
      </c>
      <c r="D193" t="s">
        <v>216</v>
      </c>
      <c r="E193" t="s">
        <v>196</v>
      </c>
      <c r="F193">
        <v>3</v>
      </c>
      <c r="G193">
        <v>10</v>
      </c>
      <c r="H193" s="17"/>
      <c r="I193" s="1">
        <v>100.09033585419948</v>
      </c>
      <c r="J193" s="1">
        <v>107.39519561982664</v>
      </c>
      <c r="K193" s="1">
        <v>207.48553147402612</v>
      </c>
      <c r="L193" s="1">
        <v>0.48239670083563968</v>
      </c>
      <c r="M193" s="1">
        <v>0.51760329916436032</v>
      </c>
      <c r="N193" s="19"/>
      <c r="O193" s="1">
        <v>109.88587193387652</v>
      </c>
      <c r="P193" s="1">
        <v>89.97073964991985</v>
      </c>
      <c r="Q193" s="1">
        <v>199.85661158379637</v>
      </c>
      <c r="R193" s="1">
        <v>0.54982355131045191</v>
      </c>
      <c r="S193" s="1">
        <v>0.45017644868954809</v>
      </c>
      <c r="T193" s="19"/>
      <c r="U193" s="1">
        <v>0.58693878905401153</v>
      </c>
      <c r="V193" s="1">
        <v>0.41306121094598841</v>
      </c>
      <c r="W193" s="1">
        <v>6.7749999999999977E-2</v>
      </c>
      <c r="X193" s="1">
        <v>0.93224999999999991</v>
      </c>
      <c r="Y193" s="17"/>
      <c r="Z193" s="12">
        <v>-5.1918878905401158</v>
      </c>
      <c r="AA193" s="12">
        <v>5.191887890540114</v>
      </c>
      <c r="AB193" s="12">
        <v>-2.5045495895050607</v>
      </c>
      <c r="AC193" s="12">
        <v>-2.6873383010350551</v>
      </c>
      <c r="AD193" s="12">
        <v>2.3372656525576176</v>
      </c>
      <c r="AE193" s="12">
        <v>2.8546222379824964</v>
      </c>
      <c r="AF193" s="17"/>
      <c r="AG193">
        <v>191</v>
      </c>
      <c r="AH193">
        <v>22</v>
      </c>
      <c r="AI193">
        <v>32</v>
      </c>
      <c r="AJ193">
        <v>30</v>
      </c>
      <c r="AK193">
        <v>9</v>
      </c>
    </row>
    <row r="194" spans="1:37" x14ac:dyDescent="0.25">
      <c r="A194">
        <v>192</v>
      </c>
      <c r="B194" t="s">
        <v>210</v>
      </c>
      <c r="C194" t="s">
        <v>217</v>
      </c>
      <c r="D194" t="s">
        <v>216</v>
      </c>
      <c r="E194" t="s">
        <v>196</v>
      </c>
      <c r="F194">
        <v>5</v>
      </c>
      <c r="G194">
        <v>10</v>
      </c>
      <c r="H194" s="17"/>
      <c r="I194" s="1">
        <v>97.58578626469442</v>
      </c>
      <c r="J194" s="1">
        <v>104.70785731879158</v>
      </c>
      <c r="K194" s="1">
        <v>202.29364358348602</v>
      </c>
      <c r="L194" s="1">
        <v>0.48239670083563968</v>
      </c>
      <c r="M194" s="1">
        <v>0.51760329916436032</v>
      </c>
      <c r="N194" s="19"/>
      <c r="O194" s="1">
        <v>112.22313758643413</v>
      </c>
      <c r="P194" s="1">
        <v>92.825361887902346</v>
      </c>
      <c r="Q194" s="1">
        <v>205.0484994743365</v>
      </c>
      <c r="R194" s="1">
        <v>0.54730045757042856</v>
      </c>
      <c r="S194" s="1">
        <v>0.45269954242957139</v>
      </c>
      <c r="T194" s="19"/>
      <c r="U194" s="1">
        <v>0.46832602061509471</v>
      </c>
      <c r="V194" s="1">
        <v>0.53167397938490524</v>
      </c>
      <c r="W194" s="1">
        <v>0.28125</v>
      </c>
      <c r="X194" s="1">
        <v>0.71875</v>
      </c>
      <c r="Y194" s="17"/>
      <c r="Z194" s="12">
        <v>-1.8707602061509472</v>
      </c>
      <c r="AA194" s="12">
        <v>1.8707602061509476</v>
      </c>
      <c r="AB194" s="12">
        <v>-0.90244855150181813</v>
      </c>
      <c r="AC194" s="12">
        <v>-0.96831165464912905</v>
      </c>
      <c r="AD194" s="12">
        <v>0.84689228931998473</v>
      </c>
      <c r="AE194" s="12">
        <v>1.0238679168309628</v>
      </c>
      <c r="AF194" s="17"/>
      <c r="AG194">
        <v>192</v>
      </c>
      <c r="AH194">
        <v>22</v>
      </c>
      <c r="AI194">
        <v>32</v>
      </c>
      <c r="AJ194">
        <v>30</v>
      </c>
      <c r="AK194">
        <v>9</v>
      </c>
    </row>
    <row r="195" spans="1:37" x14ac:dyDescent="0.25">
      <c r="A195">
        <v>193</v>
      </c>
      <c r="B195" t="s">
        <v>208</v>
      </c>
      <c r="C195" t="s">
        <v>225</v>
      </c>
      <c r="D195" t="s">
        <v>192</v>
      </c>
      <c r="E195" t="s">
        <v>196</v>
      </c>
      <c r="F195">
        <v>4</v>
      </c>
      <c r="G195">
        <v>10</v>
      </c>
      <c r="H195" s="17"/>
      <c r="I195" s="1">
        <v>111.00542309373387</v>
      </c>
      <c r="J195" s="1">
        <v>98.210220186454748</v>
      </c>
      <c r="K195" s="1">
        <v>209.2156432801886</v>
      </c>
      <c r="L195" s="1">
        <v>0.53057898230426148</v>
      </c>
      <c r="M195" s="1">
        <v>0.46942101769573857</v>
      </c>
      <c r="N195" s="19"/>
      <c r="O195" s="1">
        <v>115.46826639223708</v>
      </c>
      <c r="P195" s="1">
        <v>93.849229804733312</v>
      </c>
      <c r="Q195" s="1">
        <v>209.31749619697041</v>
      </c>
      <c r="R195" s="1">
        <v>0.55164173320504462</v>
      </c>
      <c r="S195" s="1">
        <v>0.44835826679495533</v>
      </c>
      <c r="T195" s="19"/>
      <c r="U195" s="1">
        <v>0.49882737711058645</v>
      </c>
      <c r="V195" s="1">
        <v>0.50117262288941355</v>
      </c>
      <c r="W195" s="1">
        <v>0.18799999999999994</v>
      </c>
      <c r="X195" s="1">
        <v>0.81200000000000006</v>
      </c>
      <c r="Y195" s="17"/>
      <c r="Z195" s="12">
        <v>-3.108273771105865</v>
      </c>
      <c r="AA195" s="12">
        <v>3.108273771105865</v>
      </c>
      <c r="AB195" s="12">
        <v>-1.6491847341963788</v>
      </c>
      <c r="AC195" s="12">
        <v>-1.4590890369094862</v>
      </c>
      <c r="AD195" s="12">
        <v>1.3936202407372456</v>
      </c>
      <c r="AE195" s="12">
        <v>1.7146535303686199</v>
      </c>
      <c r="AF195" s="17"/>
      <c r="AG195">
        <v>193</v>
      </c>
      <c r="AH195">
        <v>20</v>
      </c>
      <c r="AI195">
        <v>41</v>
      </c>
      <c r="AJ195">
        <v>5</v>
      </c>
      <c r="AK195">
        <v>9</v>
      </c>
    </row>
    <row r="196" spans="1:37" x14ac:dyDescent="0.25">
      <c r="A196">
        <v>194</v>
      </c>
      <c r="B196" t="s">
        <v>208</v>
      </c>
      <c r="C196" t="s">
        <v>225</v>
      </c>
      <c r="D196" t="s">
        <v>192</v>
      </c>
      <c r="E196" t="s">
        <v>196</v>
      </c>
      <c r="F196">
        <v>4</v>
      </c>
      <c r="G196">
        <v>10</v>
      </c>
      <c r="H196" s="17"/>
      <c r="I196" s="1">
        <v>109.35623835953749</v>
      </c>
      <c r="J196" s="1">
        <v>96.751131149545259</v>
      </c>
      <c r="K196" s="1">
        <v>206.10736950908273</v>
      </c>
      <c r="L196" s="1">
        <v>0.53057898230426148</v>
      </c>
      <c r="M196" s="1">
        <v>0.46942101769573857</v>
      </c>
      <c r="N196" s="19"/>
      <c r="O196" s="1">
        <v>116.86188663297433</v>
      </c>
      <c r="P196" s="1">
        <v>95.563883335101934</v>
      </c>
      <c r="Q196" s="1">
        <v>212.42576996807628</v>
      </c>
      <c r="R196" s="1">
        <v>0.55013046039817359</v>
      </c>
      <c r="S196" s="1">
        <v>0.4498695396018263</v>
      </c>
      <c r="T196" s="19"/>
      <c r="U196" s="1">
        <v>0.42776565421232177</v>
      </c>
      <c r="V196" s="1">
        <v>0.57223434578767829</v>
      </c>
      <c r="W196" s="1">
        <v>0.18799999999999994</v>
      </c>
      <c r="X196" s="1">
        <v>0.81200000000000006</v>
      </c>
      <c r="Y196" s="17"/>
      <c r="Z196" s="12">
        <v>-2.3976565421232183</v>
      </c>
      <c r="AA196" s="12">
        <v>2.3976565421232179</v>
      </c>
      <c r="AB196" s="12">
        <v>-1.2721461680348918</v>
      </c>
      <c r="AC196" s="12">
        <v>-1.1255103740883265</v>
      </c>
      <c r="AD196" s="12">
        <v>1.078632644728279</v>
      </c>
      <c r="AE196" s="12">
        <v>1.3190238973949391</v>
      </c>
      <c r="AF196" s="17"/>
      <c r="AG196">
        <v>194</v>
      </c>
      <c r="AH196">
        <v>20</v>
      </c>
      <c r="AI196">
        <v>41</v>
      </c>
      <c r="AJ196">
        <v>5</v>
      </c>
      <c r="AK196">
        <v>9</v>
      </c>
    </row>
    <row r="197" spans="1:37" x14ac:dyDescent="0.25">
      <c r="A197">
        <v>195</v>
      </c>
      <c r="B197" t="s">
        <v>208</v>
      </c>
      <c r="C197" t="s">
        <v>225</v>
      </c>
      <c r="D197" t="s">
        <v>199</v>
      </c>
      <c r="E197" t="s">
        <v>222</v>
      </c>
      <c r="F197">
        <v>10</v>
      </c>
      <c r="G197">
        <v>7</v>
      </c>
      <c r="H197" s="17"/>
      <c r="I197" s="1">
        <v>108.08409219150259</v>
      </c>
      <c r="J197" s="1">
        <v>95.625620775456937</v>
      </c>
      <c r="K197" s="1">
        <v>203.70971296695953</v>
      </c>
      <c r="L197" s="1">
        <v>0.53057898230426137</v>
      </c>
      <c r="M197" s="1">
        <v>0.46942101769573857</v>
      </c>
      <c r="N197" s="19"/>
      <c r="O197" s="1">
        <v>103.01716491835256</v>
      </c>
      <c r="P197" s="1">
        <v>95.914959583871322</v>
      </c>
      <c r="Q197" s="1">
        <v>198.93212450222387</v>
      </c>
      <c r="R197" s="1">
        <v>0.51785082563274454</v>
      </c>
      <c r="S197" s="1">
        <v>0.48214917436725552</v>
      </c>
      <c r="T197" s="19"/>
      <c r="U197" s="1">
        <v>0.55478320674946346</v>
      </c>
      <c r="V197" s="1">
        <v>0.44521679325053659</v>
      </c>
      <c r="W197" s="1">
        <v>0.59525000000000006</v>
      </c>
      <c r="X197" s="1">
        <v>0.40475</v>
      </c>
      <c r="Y197" s="17"/>
      <c r="Z197" s="12">
        <v>0.40466793250536592</v>
      </c>
      <c r="AA197" s="12">
        <v>-0.40466793250536592</v>
      </c>
      <c r="AB197" s="12">
        <v>0.18995963270549934</v>
      </c>
      <c r="AC197" s="12">
        <v>0.21470829979986664</v>
      </c>
      <c r="AD197" s="12">
        <v>-0.2095576229549995</v>
      </c>
      <c r="AE197" s="12">
        <v>-0.19511030955036646</v>
      </c>
      <c r="AF197" s="17"/>
      <c r="AG197">
        <v>195</v>
      </c>
      <c r="AH197">
        <v>20</v>
      </c>
      <c r="AI197">
        <v>41</v>
      </c>
      <c r="AJ197">
        <v>11</v>
      </c>
      <c r="AK197">
        <v>37</v>
      </c>
    </row>
    <row r="198" spans="1:37" x14ac:dyDescent="0.25">
      <c r="A198">
        <v>196</v>
      </c>
      <c r="B198" t="s">
        <v>208</v>
      </c>
      <c r="C198" t="s">
        <v>225</v>
      </c>
      <c r="D198" t="s">
        <v>199</v>
      </c>
      <c r="E198" t="s">
        <v>222</v>
      </c>
      <c r="F198">
        <v>10</v>
      </c>
      <c r="G198">
        <v>9</v>
      </c>
      <c r="H198" s="17"/>
      <c r="I198" s="1">
        <v>108.27405182420809</v>
      </c>
      <c r="J198" s="1">
        <v>95.840329075256804</v>
      </c>
      <c r="K198" s="1">
        <v>204.11438089946489</v>
      </c>
      <c r="L198" s="1">
        <v>0.53045773329189239</v>
      </c>
      <c r="M198" s="1">
        <v>0.46954226670810756</v>
      </c>
      <c r="N198" s="19"/>
      <c r="O198" s="1">
        <v>102.80760729539756</v>
      </c>
      <c r="P198" s="1">
        <v>95.71984927432095</v>
      </c>
      <c r="Q198" s="1">
        <v>198.52745656971851</v>
      </c>
      <c r="R198" s="1">
        <v>0.51785082563274454</v>
      </c>
      <c r="S198" s="1">
        <v>0.48214917436725546</v>
      </c>
      <c r="T198" s="19"/>
      <c r="U198" s="1">
        <v>0.56396935160844108</v>
      </c>
      <c r="V198" s="1">
        <v>0.43603064839155897</v>
      </c>
      <c r="W198" s="1">
        <v>0.52575000000000005</v>
      </c>
      <c r="X198" s="1">
        <v>0.47425</v>
      </c>
      <c r="Y198" s="17"/>
      <c r="Z198" s="12">
        <v>-0.38219351608441032</v>
      </c>
      <c r="AA198" s="12">
        <v>0.38219351608441032</v>
      </c>
      <c r="AB198" s="12">
        <v>-0.20273750622099471</v>
      </c>
      <c r="AC198" s="12">
        <v>-0.17945600986341559</v>
      </c>
      <c r="AD198" s="12">
        <v>0.1842742882286168</v>
      </c>
      <c r="AE198" s="12">
        <v>0.19791922785579352</v>
      </c>
      <c r="AF198" s="17"/>
      <c r="AG198">
        <v>196</v>
      </c>
      <c r="AH198">
        <v>20</v>
      </c>
      <c r="AI198">
        <v>41</v>
      </c>
      <c r="AJ198">
        <v>11</v>
      </c>
      <c r="AK198">
        <v>37</v>
      </c>
    </row>
    <row r="199" spans="1:37" x14ac:dyDescent="0.25">
      <c r="A199">
        <v>197</v>
      </c>
      <c r="B199" t="s">
        <v>190</v>
      </c>
      <c r="C199" t="s">
        <v>227</v>
      </c>
      <c r="D199" t="s">
        <v>200</v>
      </c>
      <c r="E199" t="s">
        <v>214</v>
      </c>
      <c r="F199">
        <v>10</v>
      </c>
      <c r="G199">
        <v>5</v>
      </c>
      <c r="H199" s="17"/>
      <c r="I199" s="1">
        <v>96.598262359508567</v>
      </c>
      <c r="J199" s="1">
        <v>106.94420055657852</v>
      </c>
      <c r="K199" s="1">
        <v>203.54246291608709</v>
      </c>
      <c r="L199" s="1">
        <v>0.47458530753522621</v>
      </c>
      <c r="M199" s="1">
        <v>0.52541469246477379</v>
      </c>
      <c r="N199" s="19"/>
      <c r="O199" s="1">
        <v>97.120570992246073</v>
      </c>
      <c r="P199" s="1">
        <v>91.441665743661673</v>
      </c>
      <c r="Q199" s="1">
        <v>188.56223673590773</v>
      </c>
      <c r="R199" s="1">
        <v>0.51505843732787826</v>
      </c>
      <c r="S199" s="1">
        <v>0.48494156267212185</v>
      </c>
      <c r="T199" s="19"/>
      <c r="U199" s="1">
        <v>0.6659368746000579</v>
      </c>
      <c r="V199" s="1">
        <v>0.3340631253999421</v>
      </c>
      <c r="W199" s="1">
        <v>0.71875</v>
      </c>
      <c r="X199" s="1">
        <v>0.28125</v>
      </c>
      <c r="Y199" s="17"/>
      <c r="Z199" s="12">
        <v>0.52813125399942096</v>
      </c>
      <c r="AA199" s="12">
        <v>-0.52813125399942096</v>
      </c>
      <c r="AB199" s="12">
        <v>0.27748792040114112</v>
      </c>
      <c r="AC199" s="12">
        <v>0.25064333359827984</v>
      </c>
      <c r="AD199" s="12">
        <v>-0.2720184583889545</v>
      </c>
      <c r="AE199" s="12">
        <v>-0.25611279561046651</v>
      </c>
      <c r="AF199" s="17"/>
      <c r="AG199">
        <v>197</v>
      </c>
      <c r="AH199">
        <v>2</v>
      </c>
      <c r="AI199">
        <v>46</v>
      </c>
      <c r="AJ199">
        <v>12</v>
      </c>
      <c r="AK199">
        <v>28</v>
      </c>
    </row>
    <row r="200" spans="1:37" x14ac:dyDescent="0.25">
      <c r="A200">
        <v>198</v>
      </c>
      <c r="B200" t="s">
        <v>190</v>
      </c>
      <c r="C200" t="s">
        <v>227</v>
      </c>
      <c r="D200" t="s">
        <v>200</v>
      </c>
      <c r="E200" t="s">
        <v>214</v>
      </c>
      <c r="F200">
        <v>10</v>
      </c>
      <c r="G200">
        <v>3</v>
      </c>
      <c r="H200" s="17"/>
      <c r="I200" s="1">
        <v>96.87575027990971</v>
      </c>
      <c r="J200" s="1">
        <v>107.1948438901768</v>
      </c>
      <c r="K200" s="1">
        <v>204.07059417008651</v>
      </c>
      <c r="L200" s="1">
        <v>0.47471685312567269</v>
      </c>
      <c r="M200" s="1">
        <v>0.52528314687432731</v>
      </c>
      <c r="N200" s="19"/>
      <c r="O200" s="1">
        <v>96.848552533857116</v>
      </c>
      <c r="P200" s="1">
        <v>91.18555294805121</v>
      </c>
      <c r="Q200" s="1">
        <v>188.03410548190834</v>
      </c>
      <c r="R200" s="1">
        <v>0.51505843732787815</v>
      </c>
      <c r="S200" s="1">
        <v>0.4849415626721218</v>
      </c>
      <c r="T200" s="19"/>
      <c r="U200" s="1">
        <v>0.67666942239605932</v>
      </c>
      <c r="V200" s="1">
        <v>0.32333057760394068</v>
      </c>
      <c r="W200" s="1">
        <v>0.93224999999999991</v>
      </c>
      <c r="X200" s="1">
        <v>6.7749999999999977E-2</v>
      </c>
      <c r="Y200" s="17"/>
      <c r="Z200" s="12">
        <v>2.555805776039406</v>
      </c>
      <c r="AA200" s="12">
        <v>-2.5558057760394073</v>
      </c>
      <c r="AB200" s="12">
        <v>1.3425217008375614</v>
      </c>
      <c r="AC200" s="12">
        <v>1.2132840752018446</v>
      </c>
      <c r="AD200" s="12">
        <v>-1.3163893291204221</v>
      </c>
      <c r="AE200" s="12">
        <v>-1.239416446918985</v>
      </c>
      <c r="AF200" s="17"/>
      <c r="AG200">
        <v>198</v>
      </c>
      <c r="AH200">
        <v>2</v>
      </c>
      <c r="AI200">
        <v>46</v>
      </c>
      <c r="AJ200">
        <v>12</v>
      </c>
      <c r="AK200">
        <v>28</v>
      </c>
    </row>
    <row r="201" spans="1:37" x14ac:dyDescent="0.25">
      <c r="A201">
        <v>199</v>
      </c>
      <c r="B201" t="s">
        <v>199</v>
      </c>
      <c r="C201" t="s">
        <v>217</v>
      </c>
      <c r="D201" t="s">
        <v>192</v>
      </c>
      <c r="E201" t="s">
        <v>230</v>
      </c>
      <c r="F201">
        <v>10</v>
      </c>
      <c r="G201">
        <v>5</v>
      </c>
      <c r="H201" s="17"/>
      <c r="I201" s="1">
        <v>102.99188158362618</v>
      </c>
      <c r="J201" s="1">
        <v>103.73954566414245</v>
      </c>
      <c r="K201" s="1">
        <v>206.73142724776864</v>
      </c>
      <c r="L201" s="1">
        <v>0.49819170193310719</v>
      </c>
      <c r="M201" s="1">
        <v>0.50180829806689287</v>
      </c>
      <c r="N201" s="19"/>
      <c r="O201" s="1">
        <v>117.94051927770261</v>
      </c>
      <c r="P201" s="1">
        <v>92.057940496793833</v>
      </c>
      <c r="Q201" s="1">
        <v>209.99845977449644</v>
      </c>
      <c r="R201" s="1">
        <v>0.56162563956112432</v>
      </c>
      <c r="S201" s="1">
        <v>0.43837436043887568</v>
      </c>
      <c r="T201" s="19"/>
      <c r="U201" s="1">
        <v>0.462457688411201</v>
      </c>
      <c r="V201" s="1">
        <v>0.53754231158879906</v>
      </c>
      <c r="W201" s="1">
        <v>0.71875</v>
      </c>
      <c r="X201" s="1">
        <v>0.28125</v>
      </c>
      <c r="Y201" s="17"/>
      <c r="Z201" s="12">
        <v>2.5629231158879899</v>
      </c>
      <c r="AA201" s="12">
        <v>-2.5629231158879904</v>
      </c>
      <c r="AB201" s="12">
        <v>1.2860960868600499</v>
      </c>
      <c r="AC201" s="12">
        <v>1.2768270290279398</v>
      </c>
      <c r="AD201" s="12">
        <v>-1.4394033341065822</v>
      </c>
      <c r="AE201" s="12">
        <v>-1.1235197817814082</v>
      </c>
      <c r="AF201" s="17"/>
      <c r="AG201">
        <v>199</v>
      </c>
      <c r="AH201">
        <v>11</v>
      </c>
      <c r="AI201">
        <v>32</v>
      </c>
      <c r="AJ201">
        <v>5</v>
      </c>
      <c r="AK201">
        <v>31</v>
      </c>
    </row>
    <row r="202" spans="1:37" x14ac:dyDescent="0.25">
      <c r="A202">
        <v>200</v>
      </c>
      <c r="B202" t="s">
        <v>199</v>
      </c>
      <c r="C202" t="s">
        <v>217</v>
      </c>
      <c r="D202" t="s">
        <v>192</v>
      </c>
      <c r="E202" t="s">
        <v>230</v>
      </c>
      <c r="F202">
        <v>10</v>
      </c>
      <c r="G202">
        <v>9</v>
      </c>
      <c r="H202" s="17"/>
      <c r="I202" s="1">
        <v>104.27797767048624</v>
      </c>
      <c r="J202" s="1">
        <v>105.0163726931704</v>
      </c>
      <c r="K202" s="1">
        <v>209.29435036365663</v>
      </c>
      <c r="L202" s="1">
        <v>0.49823598911914924</v>
      </c>
      <c r="M202" s="1">
        <v>0.50176401088085076</v>
      </c>
      <c r="N202" s="19"/>
      <c r="O202" s="1">
        <v>116.50111594359602</v>
      </c>
      <c r="P202" s="1">
        <v>90.934420715012422</v>
      </c>
      <c r="Q202" s="1">
        <v>207.43553665860844</v>
      </c>
      <c r="R202" s="1">
        <v>0.56162563956112432</v>
      </c>
      <c r="S202" s="1">
        <v>0.43837436043887568</v>
      </c>
      <c r="T202" s="19"/>
      <c r="U202" s="1">
        <v>0.52138732537988941</v>
      </c>
      <c r="V202" s="1">
        <v>0.47861267462011065</v>
      </c>
      <c r="W202" s="1">
        <v>0.52575000000000005</v>
      </c>
      <c r="X202" s="1">
        <v>0.47425</v>
      </c>
      <c r="Y202" s="17"/>
      <c r="Z202" s="12">
        <v>4.3626746201106403E-2</v>
      </c>
      <c r="AA202" s="12">
        <v>-4.3626746201106403E-2</v>
      </c>
      <c r="AB202" s="12">
        <v>2.1890331155548066E-2</v>
      </c>
      <c r="AC202" s="12">
        <v>2.1736415045558337E-2</v>
      </c>
      <c r="AD202" s="12">
        <v>-2.4501899237167234E-2</v>
      </c>
      <c r="AE202" s="12">
        <v>-1.9124846963939169E-2</v>
      </c>
      <c r="AF202" s="17"/>
      <c r="AG202">
        <v>200</v>
      </c>
      <c r="AH202">
        <v>11</v>
      </c>
      <c r="AI202">
        <v>32</v>
      </c>
      <c r="AJ202">
        <v>5</v>
      </c>
      <c r="AK202">
        <v>31</v>
      </c>
    </row>
    <row r="203" spans="1:37" x14ac:dyDescent="0.25">
      <c r="A203">
        <v>201</v>
      </c>
      <c r="B203" t="s">
        <v>199</v>
      </c>
      <c r="C203" t="s">
        <v>222</v>
      </c>
      <c r="D203" t="s">
        <v>208</v>
      </c>
      <c r="E203" t="s">
        <v>227</v>
      </c>
      <c r="F203">
        <v>9</v>
      </c>
      <c r="G203">
        <v>10</v>
      </c>
      <c r="H203" s="17"/>
      <c r="I203" s="1">
        <v>104.29986800164178</v>
      </c>
      <c r="J203" s="1">
        <v>95.917768502176742</v>
      </c>
      <c r="K203" s="1">
        <v>200.21763650381854</v>
      </c>
      <c r="L203" s="1">
        <v>0.52093247040029156</v>
      </c>
      <c r="M203" s="1">
        <v>0.47906752959970839</v>
      </c>
      <c r="N203" s="19"/>
      <c r="O203" s="1">
        <v>108.07131431798709</v>
      </c>
      <c r="P203" s="1">
        <v>108.40812796537864</v>
      </c>
      <c r="Q203" s="1">
        <v>216.47944228336573</v>
      </c>
      <c r="R203" s="1">
        <v>0.49922206551384524</v>
      </c>
      <c r="S203" s="1">
        <v>0.50077793448615471</v>
      </c>
      <c r="T203" s="19"/>
      <c r="U203" s="1">
        <v>0.32106455698544184</v>
      </c>
      <c r="V203" s="1">
        <v>0.67893544301455822</v>
      </c>
      <c r="W203" s="1">
        <v>0.47425</v>
      </c>
      <c r="X203" s="1">
        <v>0.52575000000000005</v>
      </c>
      <c r="Y203" s="17"/>
      <c r="Z203" s="12">
        <v>1.5318544301455816</v>
      </c>
      <c r="AA203" s="12">
        <v>-1.5318544301455816</v>
      </c>
      <c r="AB203" s="12">
        <v>0.73386171755621299</v>
      </c>
      <c r="AC203" s="12">
        <v>0.79799271258936866</v>
      </c>
      <c r="AD203" s="12">
        <v>-0.76473553268381167</v>
      </c>
      <c r="AE203" s="12">
        <v>-0.76711889746176998</v>
      </c>
      <c r="AF203" s="17"/>
      <c r="AG203">
        <v>201</v>
      </c>
      <c r="AH203">
        <v>11</v>
      </c>
      <c r="AI203">
        <v>37</v>
      </c>
      <c r="AJ203">
        <v>20</v>
      </c>
      <c r="AK203">
        <v>46</v>
      </c>
    </row>
    <row r="204" spans="1:37" x14ac:dyDescent="0.25">
      <c r="A204">
        <v>202</v>
      </c>
      <c r="B204" t="s">
        <v>199</v>
      </c>
      <c r="C204" t="s">
        <v>222</v>
      </c>
      <c r="D204" t="s">
        <v>208</v>
      </c>
      <c r="E204" t="s">
        <v>227</v>
      </c>
      <c r="F204">
        <v>10</v>
      </c>
      <c r="G204">
        <v>7</v>
      </c>
      <c r="H204" s="17"/>
      <c r="I204" s="1">
        <v>105.03372971919799</v>
      </c>
      <c r="J204" s="1">
        <v>96.715761214766104</v>
      </c>
      <c r="K204" s="1">
        <v>201.7494909339641</v>
      </c>
      <c r="L204" s="1">
        <v>0.52061459601688531</v>
      </c>
      <c r="M204" s="1">
        <v>0.47938540398311463</v>
      </c>
      <c r="N204" s="19"/>
      <c r="O204" s="1">
        <v>107.30657878530327</v>
      </c>
      <c r="P204" s="1">
        <v>107.64100906791687</v>
      </c>
      <c r="Q204" s="1">
        <v>214.94758785322014</v>
      </c>
      <c r="R204" s="1">
        <v>0.49922206551384524</v>
      </c>
      <c r="S204" s="1">
        <v>0.50077793448615471</v>
      </c>
      <c r="T204" s="19"/>
      <c r="U204" s="1">
        <v>0.35256239223166336</v>
      </c>
      <c r="V204" s="1">
        <v>0.6474376077683367</v>
      </c>
      <c r="W204" s="1">
        <v>0.59525000000000006</v>
      </c>
      <c r="X204" s="1">
        <v>0.40475</v>
      </c>
      <c r="Y204" s="17"/>
      <c r="Z204" s="12">
        <v>2.4268760776833669</v>
      </c>
      <c r="AA204" s="12">
        <v>-2.4268760776833669</v>
      </c>
      <c r="AB204" s="12">
        <v>1.1634089689171976</v>
      </c>
      <c r="AC204" s="12">
        <v>1.2634671087661693</v>
      </c>
      <c r="AD204" s="12">
        <v>-1.2115500882472297</v>
      </c>
      <c r="AE204" s="12">
        <v>-1.2153259894361372</v>
      </c>
      <c r="AF204" s="17"/>
      <c r="AG204">
        <v>202</v>
      </c>
      <c r="AH204">
        <v>11</v>
      </c>
      <c r="AI204">
        <v>37</v>
      </c>
      <c r="AJ204">
        <v>20</v>
      </c>
      <c r="AK204">
        <v>46</v>
      </c>
    </row>
    <row r="205" spans="1:37" x14ac:dyDescent="0.25">
      <c r="A205">
        <v>203</v>
      </c>
      <c r="B205" t="s">
        <v>199</v>
      </c>
      <c r="C205" t="s">
        <v>232</v>
      </c>
      <c r="D205" t="s">
        <v>235</v>
      </c>
      <c r="E205" t="s">
        <v>233</v>
      </c>
      <c r="F205">
        <v>10</v>
      </c>
      <c r="G205">
        <v>7</v>
      </c>
      <c r="H205" s="17"/>
      <c r="I205" s="1">
        <v>106.19713868811519</v>
      </c>
      <c r="J205" s="1">
        <v>100</v>
      </c>
      <c r="K205" s="1">
        <v>206.19713868811519</v>
      </c>
      <c r="L205" s="1">
        <v>0.51502721795157569</v>
      </c>
      <c r="M205" s="1">
        <v>0.48497278204842426</v>
      </c>
      <c r="N205" s="19"/>
      <c r="O205" s="1">
        <v>100</v>
      </c>
      <c r="P205" s="1">
        <v>100</v>
      </c>
      <c r="Q205" s="1">
        <v>200</v>
      </c>
      <c r="R205" s="1">
        <v>0.5</v>
      </c>
      <c r="S205" s="1">
        <v>0.5</v>
      </c>
      <c r="T205" s="19"/>
      <c r="U205" s="1">
        <v>0.57086685781700441</v>
      </c>
      <c r="V205" s="1">
        <v>0.42913314218299559</v>
      </c>
      <c r="W205" s="1">
        <v>0.59525000000000006</v>
      </c>
      <c r="X205" s="1">
        <v>0.40475</v>
      </c>
      <c r="Y205" s="17"/>
      <c r="Z205" s="12">
        <v>0.24383142182995643</v>
      </c>
      <c r="AA205" s="12">
        <v>-0.24383142182995587</v>
      </c>
      <c r="AB205" s="12">
        <v>0.11825160299569687</v>
      </c>
      <c r="AC205" s="12">
        <v>0.12557981883425959</v>
      </c>
      <c r="AD205" s="12">
        <v>-0.12191571091497794</v>
      </c>
      <c r="AE205" s="12">
        <v>-0.12191571091497794</v>
      </c>
      <c r="AF205" s="17"/>
      <c r="AG205">
        <v>203</v>
      </c>
      <c r="AH205">
        <v>11</v>
      </c>
      <c r="AI205">
        <v>42</v>
      </c>
      <c r="AJ205">
        <v>47</v>
      </c>
      <c r="AK205">
        <v>43</v>
      </c>
    </row>
    <row r="206" spans="1:37" x14ac:dyDescent="0.25">
      <c r="A206">
        <v>204</v>
      </c>
      <c r="B206" t="s">
        <v>199</v>
      </c>
      <c r="C206" t="s">
        <v>232</v>
      </c>
      <c r="D206" t="s">
        <v>235</v>
      </c>
      <c r="E206" t="s">
        <v>233</v>
      </c>
      <c r="F206">
        <v>10</v>
      </c>
      <c r="G206">
        <v>4</v>
      </c>
      <c r="H206" s="17"/>
      <c r="I206" s="1">
        <v>106.31539029111089</v>
      </c>
      <c r="J206" s="1">
        <v>100.12557981883425</v>
      </c>
      <c r="K206" s="1">
        <v>206.44097010994514</v>
      </c>
      <c r="L206" s="1">
        <v>0.51499172007615568</v>
      </c>
      <c r="M206" s="1">
        <v>0.48500827992384432</v>
      </c>
      <c r="N206" s="19"/>
      <c r="O206" s="1">
        <v>99.878084289085024</v>
      </c>
      <c r="P206" s="1">
        <v>99.878084289085024</v>
      </c>
      <c r="Q206" s="1">
        <v>199.75616857817005</v>
      </c>
      <c r="R206" s="1">
        <v>0.5</v>
      </c>
      <c r="S206" s="1">
        <v>0.5</v>
      </c>
      <c r="T206" s="19"/>
      <c r="U206" s="1">
        <v>0.5763595262249801</v>
      </c>
      <c r="V206" s="1">
        <v>0.4236404737750199</v>
      </c>
      <c r="W206" s="1">
        <v>0.81200000000000006</v>
      </c>
      <c r="X206" s="1">
        <v>0.18799999999999994</v>
      </c>
      <c r="Y206" s="17"/>
      <c r="Z206" s="12">
        <v>2.3564047377501995</v>
      </c>
      <c r="AA206" s="12">
        <v>-2.3564047377501995</v>
      </c>
      <c r="AB206" s="12">
        <v>1.1428758086606217</v>
      </c>
      <c r="AC206" s="12">
        <v>1.2135289290895779</v>
      </c>
      <c r="AD206" s="12">
        <v>-1.1782023688750998</v>
      </c>
      <c r="AE206" s="12">
        <v>-1.1782023688750998</v>
      </c>
      <c r="AF206" s="17"/>
      <c r="AG206">
        <v>204</v>
      </c>
      <c r="AH206">
        <v>11</v>
      </c>
      <c r="AI206">
        <v>42</v>
      </c>
      <c r="AJ206">
        <v>47</v>
      </c>
      <c r="AK206">
        <v>43</v>
      </c>
    </row>
    <row r="207" spans="1:37" x14ac:dyDescent="0.25">
      <c r="A207">
        <v>205</v>
      </c>
      <c r="B207" t="s">
        <v>200</v>
      </c>
      <c r="C207" t="s">
        <v>200</v>
      </c>
      <c r="D207" t="s">
        <v>230</v>
      </c>
      <c r="E207" t="s">
        <v>230</v>
      </c>
      <c r="F207">
        <v>10</v>
      </c>
      <c r="G207">
        <v>9</v>
      </c>
      <c r="H207" s="17"/>
      <c r="I207" s="1">
        <v>95.53216320473669</v>
      </c>
      <c r="J207" s="1">
        <v>95.53216320473669</v>
      </c>
      <c r="K207" s="1">
        <v>191.06432640947338</v>
      </c>
      <c r="L207" s="1">
        <v>0.5</v>
      </c>
      <c r="M207" s="1">
        <v>0.5</v>
      </c>
      <c r="N207" s="19"/>
      <c r="O207" s="1">
        <v>90.915295868048489</v>
      </c>
      <c r="P207" s="1">
        <v>90.915295868048489</v>
      </c>
      <c r="Q207" s="1">
        <v>181.83059173609698</v>
      </c>
      <c r="R207" s="1">
        <v>0.5</v>
      </c>
      <c r="S207" s="1">
        <v>0.5</v>
      </c>
      <c r="T207" s="19"/>
      <c r="U207" s="1">
        <v>0.60473387099121145</v>
      </c>
      <c r="V207" s="1">
        <v>0.39526612900878855</v>
      </c>
      <c r="W207" s="1">
        <v>0.52575000000000005</v>
      </c>
      <c r="X207" s="1">
        <v>0.47425</v>
      </c>
      <c r="Y207" s="17"/>
      <c r="Z207" s="12">
        <v>-0.78983870991211402</v>
      </c>
      <c r="AA207" s="12">
        <v>0.78983870991211458</v>
      </c>
      <c r="AB207" s="12">
        <v>-0.39491935495605701</v>
      </c>
      <c r="AC207" s="12">
        <v>-0.39491935495605701</v>
      </c>
      <c r="AD207" s="12">
        <v>0.39491935495605729</v>
      </c>
      <c r="AE207" s="12">
        <v>0.39491935495605729</v>
      </c>
      <c r="AF207" s="17"/>
      <c r="AG207">
        <v>205</v>
      </c>
      <c r="AH207">
        <v>12</v>
      </c>
      <c r="AI207">
        <v>12</v>
      </c>
      <c r="AJ207">
        <v>31</v>
      </c>
      <c r="AK207">
        <v>31</v>
      </c>
    </row>
    <row r="208" spans="1:37" x14ac:dyDescent="0.25">
      <c r="A208">
        <v>206</v>
      </c>
      <c r="B208" t="s">
        <v>199</v>
      </c>
      <c r="C208" t="s">
        <v>200</v>
      </c>
      <c r="D208" t="s">
        <v>196</v>
      </c>
      <c r="E208" t="s">
        <v>230</v>
      </c>
      <c r="F208">
        <v>10</v>
      </c>
      <c r="G208">
        <v>5</v>
      </c>
      <c r="H208" s="17"/>
      <c r="I208" s="1">
        <v>107.45826609977151</v>
      </c>
      <c r="J208" s="1">
        <v>95.137243849780631</v>
      </c>
      <c r="K208" s="1">
        <v>202.59550994955214</v>
      </c>
      <c r="L208" s="1">
        <v>0.53040793513404838</v>
      </c>
      <c r="M208" s="1">
        <v>0.46959206486595162</v>
      </c>
      <c r="N208" s="19"/>
      <c r="O208" s="1">
        <v>96.882907232496876</v>
      </c>
      <c r="P208" s="1">
        <v>91.310215223004548</v>
      </c>
      <c r="Q208" s="1">
        <v>188.19312245550142</v>
      </c>
      <c r="R208" s="1">
        <v>0.51480578019212686</v>
      </c>
      <c r="S208" s="1">
        <v>0.48519421980787314</v>
      </c>
      <c r="T208" s="19"/>
      <c r="U208" s="1">
        <v>0.6599910772463663</v>
      </c>
      <c r="V208" s="1">
        <v>0.34000892275363381</v>
      </c>
      <c r="W208" s="1">
        <v>0.71875</v>
      </c>
      <c r="X208" s="1">
        <v>0.28125</v>
      </c>
      <c r="Y208" s="17"/>
      <c r="Z208" s="12">
        <v>0.58758922753633702</v>
      </c>
      <c r="AA208" s="12">
        <v>-0.58758922753633813</v>
      </c>
      <c r="AB208" s="12">
        <v>0.27592723865177798</v>
      </c>
      <c r="AC208" s="12">
        <v>0.31166198888455904</v>
      </c>
      <c r="AD208" s="12">
        <v>-0.30249433071433368</v>
      </c>
      <c r="AE208" s="12">
        <v>-0.28509489682200445</v>
      </c>
      <c r="AF208" s="17"/>
      <c r="AG208">
        <v>206</v>
      </c>
      <c r="AH208">
        <v>11</v>
      </c>
      <c r="AI208">
        <v>12</v>
      </c>
      <c r="AJ208">
        <v>9</v>
      </c>
      <c r="AK208">
        <v>31</v>
      </c>
    </row>
    <row r="209" spans="1:37" x14ac:dyDescent="0.25">
      <c r="A209">
        <v>207</v>
      </c>
      <c r="B209" t="s">
        <v>199</v>
      </c>
      <c r="C209" t="s">
        <v>200</v>
      </c>
      <c r="D209" t="s">
        <v>196</v>
      </c>
      <c r="E209" t="s">
        <v>230</v>
      </c>
      <c r="F209">
        <v>10</v>
      </c>
      <c r="G209">
        <v>5</v>
      </c>
      <c r="H209" s="17"/>
      <c r="I209" s="1">
        <v>107.73419333842328</v>
      </c>
      <c r="J209" s="1">
        <v>95.448905838665183</v>
      </c>
      <c r="K209" s="1">
        <v>203.18309917708848</v>
      </c>
      <c r="L209" s="1">
        <v>0.53023206051466565</v>
      </c>
      <c r="M209" s="1">
        <v>0.46976793948533435</v>
      </c>
      <c r="N209" s="19"/>
      <c r="O209" s="1">
        <v>96.580412901782537</v>
      </c>
      <c r="P209" s="1">
        <v>91.025120326182545</v>
      </c>
      <c r="Q209" s="1">
        <v>187.60553322796508</v>
      </c>
      <c r="R209" s="1">
        <v>0.51480578019212686</v>
      </c>
      <c r="S209" s="1">
        <v>0.48519421980787319</v>
      </c>
      <c r="T209" s="19"/>
      <c r="U209" s="1">
        <v>0.67202836485100703</v>
      </c>
      <c r="V209" s="1">
        <v>0.32797163514899302</v>
      </c>
      <c r="W209" s="1">
        <v>0.71875</v>
      </c>
      <c r="X209" s="1">
        <v>0.28125</v>
      </c>
      <c r="Y209" s="17"/>
      <c r="Z209" s="12">
        <v>0.46721635148992968</v>
      </c>
      <c r="AA209" s="12">
        <v>-0.46721635148993024</v>
      </c>
      <c r="AB209" s="12">
        <v>0.21948326273328</v>
      </c>
      <c r="AC209" s="12">
        <v>0.24773308875664968</v>
      </c>
      <c r="AD209" s="12">
        <v>-0.24052567834729252</v>
      </c>
      <c r="AE209" s="12">
        <v>-0.22669067314263774</v>
      </c>
      <c r="AF209" s="17"/>
      <c r="AG209">
        <v>207</v>
      </c>
      <c r="AH209">
        <v>11</v>
      </c>
      <c r="AI209">
        <v>12</v>
      </c>
      <c r="AJ209">
        <v>9</v>
      </c>
      <c r="AK209">
        <v>31</v>
      </c>
    </row>
    <row r="210" spans="1:37" x14ac:dyDescent="0.25">
      <c r="A210">
        <v>208</v>
      </c>
      <c r="B210" t="s">
        <v>207</v>
      </c>
      <c r="C210" t="s">
        <v>192</v>
      </c>
      <c r="D210" t="s">
        <v>198</v>
      </c>
      <c r="E210" t="s">
        <v>223</v>
      </c>
      <c r="F210">
        <v>5</v>
      </c>
      <c r="G210">
        <v>10</v>
      </c>
      <c r="H210" s="17"/>
      <c r="I210" s="1">
        <v>100</v>
      </c>
      <c r="J210" s="1">
        <v>116.47661404435885</v>
      </c>
      <c r="K210" s="1">
        <v>216.47661404435885</v>
      </c>
      <c r="L210" s="1">
        <v>0.46194366278986931</v>
      </c>
      <c r="M210" s="1">
        <v>0.53805633721013069</v>
      </c>
      <c r="N210" s="19"/>
      <c r="O210" s="1">
        <v>99.873960030431505</v>
      </c>
      <c r="P210" s="1">
        <v>108.06561148645895</v>
      </c>
      <c r="Q210" s="1">
        <v>207.93957151689045</v>
      </c>
      <c r="R210" s="1">
        <v>0.48030280769487388</v>
      </c>
      <c r="S210" s="1">
        <v>0.51969719230512612</v>
      </c>
      <c r="T210" s="19"/>
      <c r="U210" s="1">
        <v>0.59703964534521781</v>
      </c>
      <c r="V210" s="1">
        <v>0.40296035465478225</v>
      </c>
      <c r="W210" s="1">
        <v>0.28125</v>
      </c>
      <c r="X210" s="1">
        <v>0.71875</v>
      </c>
      <c r="Y210" s="17"/>
      <c r="Z210" s="12">
        <v>-3.1578964534521781</v>
      </c>
      <c r="AA210" s="12">
        <v>3.1578964534521776</v>
      </c>
      <c r="AB210" s="12">
        <v>-1.4587702544188372</v>
      </c>
      <c r="AC210" s="12">
        <v>-1.6991261990333408</v>
      </c>
      <c r="AD210" s="12">
        <v>1.6411499204494122</v>
      </c>
      <c r="AE210" s="12">
        <v>1.5167465330027654</v>
      </c>
      <c r="AF210" s="17"/>
      <c r="AG210">
        <v>208</v>
      </c>
      <c r="AH210">
        <v>19</v>
      </c>
      <c r="AI210">
        <v>5</v>
      </c>
      <c r="AJ210">
        <v>10</v>
      </c>
      <c r="AK210">
        <v>39</v>
      </c>
    </row>
    <row r="211" spans="1:37" x14ac:dyDescent="0.25">
      <c r="A211">
        <v>209</v>
      </c>
      <c r="B211" t="s">
        <v>207</v>
      </c>
      <c r="C211" t="s">
        <v>192</v>
      </c>
      <c r="D211" t="s">
        <v>198</v>
      </c>
      <c r="E211" t="s">
        <v>223</v>
      </c>
      <c r="F211">
        <v>10</v>
      </c>
      <c r="G211">
        <v>8</v>
      </c>
      <c r="H211" s="17"/>
      <c r="I211" s="1">
        <v>98.541229745581163</v>
      </c>
      <c r="J211" s="1">
        <v>114.77748784532551</v>
      </c>
      <c r="K211" s="1">
        <v>213.31871759090666</v>
      </c>
      <c r="L211" s="1">
        <v>0.46194366278986937</v>
      </c>
      <c r="M211" s="1">
        <v>0.53805633721013069</v>
      </c>
      <c r="N211" s="19"/>
      <c r="O211" s="1">
        <v>101.51510995088091</v>
      </c>
      <c r="P211" s="1">
        <v>109.58235801946171</v>
      </c>
      <c r="Q211" s="1">
        <v>211.09746797034262</v>
      </c>
      <c r="R211" s="1">
        <v>0.48089212498343614</v>
      </c>
      <c r="S211" s="1">
        <v>0.51910787501656386</v>
      </c>
      <c r="T211" s="19"/>
      <c r="U211" s="1">
        <v>0.52555080549934696</v>
      </c>
      <c r="V211" s="1">
        <v>0.47444919450065304</v>
      </c>
      <c r="W211" s="1">
        <v>0.55600000000000005</v>
      </c>
      <c r="X211" s="1">
        <v>0.44400000000000001</v>
      </c>
      <c r="Y211" s="17"/>
      <c r="Z211" s="12">
        <v>0.30449194500653087</v>
      </c>
      <c r="AA211" s="12">
        <v>-0.30449194500653032</v>
      </c>
      <c r="AB211" s="12">
        <v>0.16383382064020252</v>
      </c>
      <c r="AC211" s="12">
        <v>0.14065812436632832</v>
      </c>
      <c r="AD211" s="12">
        <v>-0.14642777847452995</v>
      </c>
      <c r="AE211" s="12">
        <v>-0.15806416653200037</v>
      </c>
      <c r="AF211" s="17"/>
      <c r="AG211">
        <v>209</v>
      </c>
      <c r="AH211">
        <v>19</v>
      </c>
      <c r="AI211">
        <v>5</v>
      </c>
      <c r="AJ211">
        <v>10</v>
      </c>
      <c r="AK211">
        <v>39</v>
      </c>
    </row>
    <row r="212" spans="1:37" x14ac:dyDescent="0.25">
      <c r="A212">
        <v>210</v>
      </c>
      <c r="B212" t="s">
        <v>199</v>
      </c>
      <c r="C212" t="s">
        <v>222</v>
      </c>
      <c r="D212" t="s">
        <v>210</v>
      </c>
      <c r="E212" t="s">
        <v>230</v>
      </c>
      <c r="F212">
        <v>10</v>
      </c>
      <c r="G212">
        <v>7</v>
      </c>
      <c r="H212" s="17"/>
      <c r="I212" s="1">
        <v>107.95367660115656</v>
      </c>
      <c r="J212" s="1">
        <v>97.979228323532269</v>
      </c>
      <c r="K212" s="1">
        <v>205.93290492468884</v>
      </c>
      <c r="L212" s="1">
        <v>0.52421771372882831</v>
      </c>
      <c r="M212" s="1">
        <v>0.47578228627117158</v>
      </c>
      <c r="N212" s="19"/>
      <c r="O212" s="1">
        <v>96.6833377131926</v>
      </c>
      <c r="P212" s="1">
        <v>90.798429653039904</v>
      </c>
      <c r="Q212" s="1">
        <v>187.4817673662325</v>
      </c>
      <c r="R212" s="1">
        <v>0.51569461431590025</v>
      </c>
      <c r="S212" s="1">
        <v>0.48430538568409975</v>
      </c>
      <c r="T212" s="19"/>
      <c r="U212" s="1">
        <v>0.70050552559190338</v>
      </c>
      <c r="V212" s="1">
        <v>0.29949447440809668</v>
      </c>
      <c r="W212" s="1">
        <v>0.59525000000000006</v>
      </c>
      <c r="X212" s="1">
        <v>0.40475</v>
      </c>
      <c r="Y212" s="17"/>
      <c r="Z212" s="12">
        <v>-1.0525552559190332</v>
      </c>
      <c r="AA212" s="12">
        <v>1.0525552559190332</v>
      </c>
      <c r="AB212" s="12">
        <v>-0.55176810983113733</v>
      </c>
      <c r="AC212" s="12">
        <v>-0.50078714608789576</v>
      </c>
      <c r="AD212" s="12">
        <v>0.50975817917169375</v>
      </c>
      <c r="AE212" s="12">
        <v>0.54279707674733946</v>
      </c>
      <c r="AF212" s="17"/>
      <c r="AG212">
        <v>210</v>
      </c>
      <c r="AH212">
        <v>11</v>
      </c>
      <c r="AI212">
        <v>37</v>
      </c>
      <c r="AJ212">
        <v>22</v>
      </c>
      <c r="AK212">
        <v>31</v>
      </c>
    </row>
    <row r="213" spans="1:37" x14ac:dyDescent="0.25">
      <c r="A213">
        <v>211</v>
      </c>
      <c r="B213" t="s">
        <v>199</v>
      </c>
      <c r="C213" t="s">
        <v>222</v>
      </c>
      <c r="D213" t="s">
        <v>210</v>
      </c>
      <c r="E213" t="s">
        <v>230</v>
      </c>
      <c r="F213">
        <v>8</v>
      </c>
      <c r="G213">
        <v>10</v>
      </c>
      <c r="H213" s="17"/>
      <c r="I213" s="1">
        <v>107.40190849132541</v>
      </c>
      <c r="J213" s="1">
        <v>97.478441177444367</v>
      </c>
      <c r="K213" s="1">
        <v>204.88034966876978</v>
      </c>
      <c r="L213" s="1">
        <v>0.52421771372882842</v>
      </c>
      <c r="M213" s="1">
        <v>0.47578228627117164</v>
      </c>
      <c r="N213" s="19"/>
      <c r="O213" s="1">
        <v>97.193095892364298</v>
      </c>
      <c r="P213" s="1">
        <v>91.341226729787238</v>
      </c>
      <c r="Q213" s="1">
        <v>188.53432262215154</v>
      </c>
      <c r="R213" s="1">
        <v>0.51551937355805766</v>
      </c>
      <c r="S213" s="1">
        <v>0.48448062644194234</v>
      </c>
      <c r="T213" s="19"/>
      <c r="U213" s="1">
        <v>0.67978030634128694</v>
      </c>
      <c r="V213" s="1">
        <v>0.32021969365871311</v>
      </c>
      <c r="W213" s="1">
        <v>0.44400000000000001</v>
      </c>
      <c r="X213" s="1">
        <v>0.55600000000000005</v>
      </c>
      <c r="Y213" s="17"/>
      <c r="Z213" s="12">
        <v>-2.3578030634128693</v>
      </c>
      <c r="AA213" s="12">
        <v>2.3578030634128693</v>
      </c>
      <c r="AB213" s="12">
        <v>-1.2360021313251222</v>
      </c>
      <c r="AC213" s="12">
        <v>-1.1218009320877471</v>
      </c>
      <c r="AD213" s="12">
        <v>1.1423099051889976</v>
      </c>
      <c r="AE213" s="12">
        <v>1.2154931582238717</v>
      </c>
      <c r="AF213" s="17"/>
      <c r="AG213">
        <v>211</v>
      </c>
      <c r="AH213">
        <v>11</v>
      </c>
      <c r="AI213">
        <v>37</v>
      </c>
      <c r="AJ213">
        <v>22</v>
      </c>
      <c r="AK213">
        <v>31</v>
      </c>
    </row>
    <row r="214" spans="1:37" x14ac:dyDescent="0.25">
      <c r="A214">
        <v>212</v>
      </c>
      <c r="B214" t="s">
        <v>212</v>
      </c>
      <c r="C214" t="s">
        <v>230</v>
      </c>
      <c r="D214" t="s">
        <v>210</v>
      </c>
      <c r="E214" t="s">
        <v>231</v>
      </c>
      <c r="F214">
        <v>2</v>
      </c>
      <c r="G214">
        <v>10</v>
      </c>
      <c r="H214" s="17"/>
      <c r="I214" s="1">
        <v>96.320382403943185</v>
      </c>
      <c r="J214" s="1">
        <v>92.556719888011116</v>
      </c>
      <c r="K214" s="1">
        <v>188.87710229195432</v>
      </c>
      <c r="L214" s="1">
        <v>0.50996325777519191</v>
      </c>
      <c r="M214" s="1">
        <v>0.49003674222480803</v>
      </c>
      <c r="N214" s="19"/>
      <c r="O214" s="1">
        <v>98.335405797553292</v>
      </c>
      <c r="P214" s="1">
        <v>100.15695163798615</v>
      </c>
      <c r="Q214" s="1">
        <v>198.49235743553945</v>
      </c>
      <c r="R214" s="1">
        <v>0.49541154666112419</v>
      </c>
      <c r="S214" s="1">
        <v>0.50458845333887581</v>
      </c>
      <c r="T214" s="19"/>
      <c r="U214" s="1">
        <v>0.39107425863484852</v>
      </c>
      <c r="V214" s="1">
        <v>0.60892574136515143</v>
      </c>
      <c r="W214" s="1">
        <v>-8.4000000000000075E-2</v>
      </c>
      <c r="X214" s="1">
        <v>1.0840000000000001</v>
      </c>
      <c r="Y214" s="17"/>
      <c r="Z214" s="12">
        <v>-4.750742586348486</v>
      </c>
      <c r="AA214" s="12">
        <v>4.7507425863484869</v>
      </c>
      <c r="AB214" s="12">
        <v>-2.422704166185615</v>
      </c>
      <c r="AC214" s="12">
        <v>-2.328038420162871</v>
      </c>
      <c r="AD214" s="12">
        <v>2.3971698538567137</v>
      </c>
      <c r="AE214" s="12">
        <v>2.3535727324917732</v>
      </c>
      <c r="AF214" s="17"/>
      <c r="AG214">
        <v>212</v>
      </c>
      <c r="AH214">
        <v>26</v>
      </c>
      <c r="AI214">
        <v>31</v>
      </c>
      <c r="AJ214">
        <v>22</v>
      </c>
      <c r="AK214">
        <v>38</v>
      </c>
    </row>
    <row r="215" spans="1:37" x14ac:dyDescent="0.25">
      <c r="A215">
        <v>213</v>
      </c>
      <c r="B215" t="s">
        <v>212</v>
      </c>
      <c r="C215" t="s">
        <v>230</v>
      </c>
      <c r="D215" t="s">
        <v>210</v>
      </c>
      <c r="E215" t="s">
        <v>231</v>
      </c>
      <c r="F215">
        <v>3</v>
      </c>
      <c r="G215">
        <v>10</v>
      </c>
      <c r="H215" s="17"/>
      <c r="I215" s="1">
        <v>93.897678237757574</v>
      </c>
      <c r="J215" s="1">
        <v>90.228681467848247</v>
      </c>
      <c r="K215" s="1">
        <v>184.12635970560581</v>
      </c>
      <c r="L215" s="1">
        <v>0.50996325777519202</v>
      </c>
      <c r="M215" s="1">
        <v>0.49003674222480809</v>
      </c>
      <c r="N215" s="19"/>
      <c r="O215" s="1">
        <v>100.73257565141</v>
      </c>
      <c r="P215" s="1">
        <v>102.51052437047792</v>
      </c>
      <c r="Q215" s="1">
        <v>203.24310002188793</v>
      </c>
      <c r="R215" s="1">
        <v>0.49562605392538184</v>
      </c>
      <c r="S215" s="1">
        <v>0.50437394607461816</v>
      </c>
      <c r="T215" s="19"/>
      <c r="U215" s="1">
        <v>0.29310350982691274</v>
      </c>
      <c r="V215" s="1">
        <v>0.7068964901730872</v>
      </c>
      <c r="W215" s="1">
        <v>6.7749999999999977E-2</v>
      </c>
      <c r="X215" s="1">
        <v>0.93224999999999991</v>
      </c>
      <c r="Y215" s="17"/>
      <c r="Z215" s="12">
        <v>-2.2535350982691278</v>
      </c>
      <c r="AA215" s="12">
        <v>2.2535350982691273</v>
      </c>
      <c r="AB215" s="12">
        <v>-1.1492201002240618</v>
      </c>
      <c r="AC215" s="12">
        <v>-1.1043149980450662</v>
      </c>
      <c r="AD215" s="12">
        <v>1.1366243901316522</v>
      </c>
      <c r="AE215" s="12">
        <v>1.1169107081374752</v>
      </c>
      <c r="AF215" s="17"/>
      <c r="AG215">
        <v>213</v>
      </c>
      <c r="AH215">
        <v>26</v>
      </c>
      <c r="AI215">
        <v>31</v>
      </c>
      <c r="AJ215">
        <v>22</v>
      </c>
      <c r="AK215">
        <v>38</v>
      </c>
    </row>
    <row r="216" spans="1:37" x14ac:dyDescent="0.25">
      <c r="A216">
        <v>214</v>
      </c>
      <c r="B216" t="s">
        <v>207</v>
      </c>
      <c r="C216" t="s">
        <v>192</v>
      </c>
      <c r="D216" t="s">
        <v>198</v>
      </c>
      <c r="E216" t="s">
        <v>223</v>
      </c>
      <c r="F216">
        <v>8</v>
      </c>
      <c r="G216">
        <v>10</v>
      </c>
      <c r="H216" s="17"/>
      <c r="I216" s="1">
        <v>98.705063566221369</v>
      </c>
      <c r="J216" s="1">
        <v>114.91814596969184</v>
      </c>
      <c r="K216" s="1">
        <v>213.62320953591319</v>
      </c>
      <c r="L216" s="1">
        <v>0.46205215145233364</v>
      </c>
      <c r="M216" s="1">
        <v>0.53794784854766642</v>
      </c>
      <c r="N216" s="19"/>
      <c r="O216" s="1">
        <v>101.36868217240638</v>
      </c>
      <c r="P216" s="1">
        <v>109.42429385292971</v>
      </c>
      <c r="Q216" s="1">
        <v>210.79297602533609</v>
      </c>
      <c r="R216" s="1">
        <v>0.48089212498343614</v>
      </c>
      <c r="S216" s="1">
        <v>0.51910787501656386</v>
      </c>
      <c r="T216" s="19"/>
      <c r="U216" s="1">
        <v>0.53253821789474232</v>
      </c>
      <c r="V216" s="1">
        <v>0.46746178210525757</v>
      </c>
      <c r="W216" s="1">
        <v>0.44400000000000001</v>
      </c>
      <c r="X216" s="1">
        <v>0.55600000000000005</v>
      </c>
      <c r="Y216" s="17"/>
      <c r="Z216" s="12">
        <v>-0.8853821789474231</v>
      </c>
      <c r="AA216" s="12">
        <v>0.88538217894742477</v>
      </c>
      <c r="AB216" s="12">
        <v>-0.40909274064021189</v>
      </c>
      <c r="AC216" s="12">
        <v>-0.47628943830721127</v>
      </c>
      <c r="AD216" s="12">
        <v>0.45960886149093277</v>
      </c>
      <c r="AE216" s="12">
        <v>0.425773317456492</v>
      </c>
      <c r="AF216" s="17"/>
      <c r="AG216">
        <v>214</v>
      </c>
      <c r="AH216">
        <v>19</v>
      </c>
      <c r="AI216">
        <v>5</v>
      </c>
      <c r="AJ216">
        <v>10</v>
      </c>
      <c r="AK216">
        <v>39</v>
      </c>
    </row>
    <row r="217" spans="1:37" x14ac:dyDescent="0.25">
      <c r="A217">
        <v>215</v>
      </c>
      <c r="B217" t="s">
        <v>207</v>
      </c>
      <c r="C217" t="s">
        <v>192</v>
      </c>
      <c r="D217" t="s">
        <v>198</v>
      </c>
      <c r="E217" t="s">
        <v>223</v>
      </c>
      <c r="F217">
        <v>2</v>
      </c>
      <c r="G217">
        <v>10</v>
      </c>
      <c r="H217" s="17"/>
      <c r="I217" s="1">
        <v>98.295970825581151</v>
      </c>
      <c r="J217" s="1">
        <v>114.44185653138463</v>
      </c>
      <c r="K217" s="1">
        <v>212.73782735696579</v>
      </c>
      <c r="L217" s="1">
        <v>0.46205215145233358</v>
      </c>
      <c r="M217" s="1">
        <v>0.53794784854766642</v>
      </c>
      <c r="N217" s="19"/>
      <c r="O217" s="1">
        <v>101.82829103389732</v>
      </c>
      <c r="P217" s="1">
        <v>109.8500671703862</v>
      </c>
      <c r="Q217" s="1">
        <v>211.67835820428351</v>
      </c>
      <c r="R217" s="1">
        <v>0.48105196911828996</v>
      </c>
      <c r="S217" s="1">
        <v>0.51894803088171004</v>
      </c>
      <c r="T217" s="19"/>
      <c r="U217" s="1">
        <v>0.51219517026736805</v>
      </c>
      <c r="V217" s="1">
        <v>0.48780482973263189</v>
      </c>
      <c r="W217" s="1">
        <v>-8.4000000000000075E-2</v>
      </c>
      <c r="X217" s="1">
        <v>1.0840000000000001</v>
      </c>
      <c r="Y217" s="17"/>
      <c r="Z217" s="12">
        <v>-5.961951702673681</v>
      </c>
      <c r="AA217" s="12">
        <v>5.9619517026736819</v>
      </c>
      <c r="AB217" s="12">
        <v>-2.7547326110752777</v>
      </c>
      <c r="AC217" s="12">
        <v>-3.2072190915984033</v>
      </c>
      <c r="AD217" s="12">
        <v>3.0939430963143657</v>
      </c>
      <c r="AE217" s="12">
        <v>2.8680086063593162</v>
      </c>
      <c r="AF217" s="17"/>
      <c r="AG217">
        <v>215</v>
      </c>
      <c r="AH217">
        <v>19</v>
      </c>
      <c r="AI217">
        <v>5</v>
      </c>
      <c r="AJ217">
        <v>10</v>
      </c>
      <c r="AK217">
        <v>39</v>
      </c>
    </row>
    <row r="218" spans="1:37" x14ac:dyDescent="0.25">
      <c r="A218">
        <v>216</v>
      </c>
      <c r="B218" t="s">
        <v>227</v>
      </c>
      <c r="C218" t="s">
        <v>196</v>
      </c>
      <c r="D218" t="s">
        <v>231</v>
      </c>
      <c r="E218" t="s">
        <v>214</v>
      </c>
      <c r="F218">
        <v>9</v>
      </c>
      <c r="G218">
        <v>10</v>
      </c>
      <c r="H218" s="17"/>
      <c r="I218" s="1">
        <v>106.42568307848073</v>
      </c>
      <c r="J218" s="1">
        <v>96.339887223435241</v>
      </c>
      <c r="K218" s="1">
        <v>202.76557030191597</v>
      </c>
      <c r="L218" s="1">
        <v>0.52487058291017508</v>
      </c>
      <c r="M218" s="1">
        <v>0.47512941708982487</v>
      </c>
      <c r="N218" s="19"/>
      <c r="O218" s="1">
        <v>103.62743507861541</v>
      </c>
      <c r="P218" s="1">
        <v>89.94613650113223</v>
      </c>
      <c r="Q218" s="1">
        <v>193.57357157974764</v>
      </c>
      <c r="R218" s="1">
        <v>0.53533875638557094</v>
      </c>
      <c r="S218" s="1">
        <v>0.46466124361442901</v>
      </c>
      <c r="T218" s="19"/>
      <c r="U218" s="1">
        <v>0.60427435863567425</v>
      </c>
      <c r="V218" s="1">
        <v>0.39572564136432575</v>
      </c>
      <c r="W218" s="1">
        <v>0.47425</v>
      </c>
      <c r="X218" s="1">
        <v>0.52575000000000005</v>
      </c>
      <c r="Y218" s="17"/>
      <c r="Z218" s="12">
        <v>-1.3002435863567423</v>
      </c>
      <c r="AA218" s="12">
        <v>1.300243586356743</v>
      </c>
      <c r="AB218" s="12">
        <v>-0.6824596090962799</v>
      </c>
      <c r="AC218" s="12">
        <v>-0.6177839772604623</v>
      </c>
      <c r="AD218" s="12">
        <v>0.60417280183820943</v>
      </c>
      <c r="AE218" s="12">
        <v>0.69607078451853355</v>
      </c>
      <c r="AF218" s="17"/>
      <c r="AG218">
        <v>216</v>
      </c>
      <c r="AH218">
        <v>46</v>
      </c>
      <c r="AI218">
        <v>9</v>
      </c>
      <c r="AJ218">
        <v>38</v>
      </c>
      <c r="AK218">
        <v>28</v>
      </c>
    </row>
    <row r="219" spans="1:37" x14ac:dyDescent="0.25">
      <c r="A219">
        <v>217</v>
      </c>
      <c r="B219" t="s">
        <v>227</v>
      </c>
      <c r="C219" t="s">
        <v>196</v>
      </c>
      <c r="D219" t="s">
        <v>231</v>
      </c>
      <c r="E219" t="s">
        <v>214</v>
      </c>
      <c r="F219">
        <v>10</v>
      </c>
      <c r="G219">
        <v>8</v>
      </c>
      <c r="H219" s="17"/>
      <c r="I219" s="1">
        <v>105.74322346938445</v>
      </c>
      <c r="J219" s="1">
        <v>95.722103246174782</v>
      </c>
      <c r="K219" s="1">
        <v>201.46532671555923</v>
      </c>
      <c r="L219" s="1">
        <v>0.52487058291017508</v>
      </c>
      <c r="M219" s="1">
        <v>0.47512941708982487</v>
      </c>
      <c r="N219" s="19"/>
      <c r="O219" s="1">
        <v>104.23160788045361</v>
      </c>
      <c r="P219" s="1">
        <v>90.64220728565077</v>
      </c>
      <c r="Q219" s="1">
        <v>194.87381516610438</v>
      </c>
      <c r="R219" s="1">
        <v>0.53486717952132168</v>
      </c>
      <c r="S219" s="1">
        <v>0.46513282047867832</v>
      </c>
      <c r="T219" s="19"/>
      <c r="U219" s="1">
        <v>0.5753101929552773</v>
      </c>
      <c r="V219" s="1">
        <v>0.4246898070447227</v>
      </c>
      <c r="W219" s="1">
        <v>0.55600000000000005</v>
      </c>
      <c r="X219" s="1">
        <v>0.44400000000000001</v>
      </c>
      <c r="Y219" s="17"/>
      <c r="Z219" s="12">
        <v>-0.1931019295527725</v>
      </c>
      <c r="AA219" s="12">
        <v>0.19310192955277306</v>
      </c>
      <c r="AB219" s="12">
        <v>-0.10135352232544327</v>
      </c>
      <c r="AC219" s="12">
        <v>-9.1748407227329229E-2</v>
      </c>
      <c r="AD219" s="12">
        <v>8.9818045132756374E-2</v>
      </c>
      <c r="AE219" s="12">
        <v>0.10328388442001668</v>
      </c>
      <c r="AF219" s="17"/>
      <c r="AG219">
        <v>217</v>
      </c>
      <c r="AH219">
        <v>46</v>
      </c>
      <c r="AI219">
        <v>9</v>
      </c>
      <c r="AJ219">
        <v>38</v>
      </c>
      <c r="AK219">
        <v>28</v>
      </c>
    </row>
    <row r="220" spans="1:37" x14ac:dyDescent="0.25">
      <c r="A220">
        <v>218</v>
      </c>
      <c r="B220" t="s">
        <v>210</v>
      </c>
      <c r="C220" t="s">
        <v>196</v>
      </c>
      <c r="D220" t="s">
        <v>222</v>
      </c>
      <c r="E220" t="s">
        <v>209</v>
      </c>
      <c r="F220">
        <v>7</v>
      </c>
      <c r="G220">
        <v>10</v>
      </c>
      <c r="H220" s="17"/>
      <c r="I220" s="1">
        <v>101.86920004154166</v>
      </c>
      <c r="J220" s="1">
        <v>95.630354838947454</v>
      </c>
      <c r="K220" s="1">
        <v>197.49955488048911</v>
      </c>
      <c r="L220" s="1">
        <v>0.51579458041404058</v>
      </c>
      <c r="M220" s="1">
        <v>0.48420541958595942</v>
      </c>
      <c r="N220" s="19"/>
      <c r="O220" s="1">
        <v>96.356640245356616</v>
      </c>
      <c r="P220" s="1">
        <v>98.778848255775031</v>
      </c>
      <c r="Q220" s="1">
        <v>195.13548850113165</v>
      </c>
      <c r="R220" s="1">
        <v>0.49379352256982112</v>
      </c>
      <c r="S220" s="1">
        <v>0.50620647743017888</v>
      </c>
      <c r="T220" s="19"/>
      <c r="U220" s="1">
        <v>0.52719046902504563</v>
      </c>
      <c r="V220" s="1">
        <v>0.47280953097495426</v>
      </c>
      <c r="W220" s="1">
        <v>0.40475</v>
      </c>
      <c r="X220" s="1">
        <v>0.59525000000000006</v>
      </c>
      <c r="Y220" s="17"/>
      <c r="Z220" s="12">
        <v>-1.2244046902504562</v>
      </c>
      <c r="AA220" s="12">
        <v>1.2244046902504579</v>
      </c>
      <c r="AB220" s="12">
        <v>-0.63154130346471737</v>
      </c>
      <c r="AC220" s="12">
        <v>-0.5928633867857388</v>
      </c>
      <c r="AD220" s="12">
        <v>0.61980158520067363</v>
      </c>
      <c r="AE220" s="12">
        <v>0.60460310504978432</v>
      </c>
      <c r="AF220" s="17"/>
      <c r="AG220">
        <v>218</v>
      </c>
      <c r="AH220">
        <v>22</v>
      </c>
      <c r="AI220">
        <v>9</v>
      </c>
      <c r="AJ220">
        <v>37</v>
      </c>
      <c r="AK220">
        <v>21</v>
      </c>
    </row>
    <row r="221" spans="1:37" x14ac:dyDescent="0.25">
      <c r="A221">
        <v>219</v>
      </c>
      <c r="B221" t="s">
        <v>210</v>
      </c>
      <c r="C221" t="s">
        <v>196</v>
      </c>
      <c r="D221" t="s">
        <v>222</v>
      </c>
      <c r="E221" t="s">
        <v>209</v>
      </c>
      <c r="F221">
        <v>10</v>
      </c>
      <c r="G221">
        <v>8</v>
      </c>
      <c r="H221" s="17"/>
      <c r="I221" s="1">
        <v>101.23765873807695</v>
      </c>
      <c r="J221" s="1">
        <v>95.037491452161717</v>
      </c>
      <c r="K221" s="1">
        <v>196.27515019023866</v>
      </c>
      <c r="L221" s="1">
        <v>0.51579458041404058</v>
      </c>
      <c r="M221" s="1">
        <v>0.48420541958595942</v>
      </c>
      <c r="N221" s="19"/>
      <c r="O221" s="1">
        <v>96.976441830557292</v>
      </c>
      <c r="P221" s="1">
        <v>99.383451360824822</v>
      </c>
      <c r="Q221" s="1">
        <v>196.35989319138213</v>
      </c>
      <c r="R221" s="1">
        <v>0.49387092371271163</v>
      </c>
      <c r="S221" s="1">
        <v>0.50612907628728832</v>
      </c>
      <c r="T221" s="19"/>
      <c r="U221" s="1">
        <v>0.49902436138240269</v>
      </c>
      <c r="V221" s="1">
        <v>0.50097563861759731</v>
      </c>
      <c r="W221" s="1">
        <v>0.55600000000000005</v>
      </c>
      <c r="X221" s="1">
        <v>0.44400000000000001</v>
      </c>
      <c r="Y221" s="17"/>
      <c r="Z221" s="12">
        <v>0.56975638617597357</v>
      </c>
      <c r="AA221" s="12">
        <v>-0.56975638617597302</v>
      </c>
      <c r="AB221" s="12">
        <v>0.27587913003011721</v>
      </c>
      <c r="AC221" s="12">
        <v>0.29387725614585636</v>
      </c>
      <c r="AD221" s="12">
        <v>-0.28138611273194425</v>
      </c>
      <c r="AE221" s="12">
        <v>-0.28837027344402877</v>
      </c>
      <c r="AF221" s="17"/>
      <c r="AG221">
        <v>219</v>
      </c>
      <c r="AH221">
        <v>22</v>
      </c>
      <c r="AI221">
        <v>9</v>
      </c>
      <c r="AJ221">
        <v>37</v>
      </c>
      <c r="AK221">
        <v>21</v>
      </c>
    </row>
    <row r="222" spans="1:37" x14ac:dyDescent="0.25">
      <c r="A222">
        <v>220</v>
      </c>
      <c r="B222" t="s">
        <v>233</v>
      </c>
      <c r="C222" t="s">
        <v>221</v>
      </c>
      <c r="D222" t="s">
        <v>235</v>
      </c>
      <c r="E222" t="s">
        <v>232</v>
      </c>
      <c r="F222">
        <v>10</v>
      </c>
      <c r="G222">
        <v>7</v>
      </c>
      <c r="H222" s="17"/>
      <c r="I222" s="1">
        <v>98.699881920209918</v>
      </c>
      <c r="J222" s="1">
        <v>100</v>
      </c>
      <c r="K222" s="1">
        <v>198.69988192020992</v>
      </c>
      <c r="L222" s="1">
        <v>0.49672843771413977</v>
      </c>
      <c r="M222" s="1">
        <v>0.50327156228586023</v>
      </c>
      <c r="N222" s="19"/>
      <c r="O222" s="1">
        <v>98.699881920209918</v>
      </c>
      <c r="P222" s="1">
        <v>101.33910874792383</v>
      </c>
      <c r="Q222" s="1">
        <v>200.03899066813375</v>
      </c>
      <c r="R222" s="1">
        <v>0.49340321899520978</v>
      </c>
      <c r="S222" s="1">
        <v>0.50659678100479022</v>
      </c>
      <c r="T222" s="19"/>
      <c r="U222" s="1">
        <v>0.48458782482459972</v>
      </c>
      <c r="V222" s="1">
        <v>0.51541217517540028</v>
      </c>
      <c r="W222" s="1">
        <v>0.59525000000000006</v>
      </c>
      <c r="X222" s="1">
        <v>0.40475</v>
      </c>
      <c r="Y222" s="17"/>
      <c r="Z222" s="12">
        <v>1.1066217517540033</v>
      </c>
      <c r="AA222" s="12">
        <v>-1.1066217517540027</v>
      </c>
      <c r="AB222" s="12">
        <v>0.55693125786475262</v>
      </c>
      <c r="AC222" s="12">
        <v>0.54969049388925073</v>
      </c>
      <c r="AD222" s="12">
        <v>-0.54601073452554283</v>
      </c>
      <c r="AE222" s="12">
        <v>-0.56061101722845985</v>
      </c>
      <c r="AF222" s="17"/>
      <c r="AG222">
        <v>220</v>
      </c>
      <c r="AH222">
        <v>43</v>
      </c>
      <c r="AI222">
        <v>36</v>
      </c>
      <c r="AJ222">
        <v>47</v>
      </c>
      <c r="AK222">
        <v>42</v>
      </c>
    </row>
    <row r="223" spans="1:37" x14ac:dyDescent="0.25">
      <c r="A223">
        <v>221</v>
      </c>
      <c r="B223" t="s">
        <v>233</v>
      </c>
      <c r="C223" t="s">
        <v>221</v>
      </c>
      <c r="D223" t="s">
        <v>235</v>
      </c>
      <c r="E223" t="s">
        <v>232</v>
      </c>
      <c r="F223">
        <v>10</v>
      </c>
      <c r="G223">
        <v>7</v>
      </c>
      <c r="H223" s="17"/>
      <c r="I223" s="1">
        <v>99.256813178074665</v>
      </c>
      <c r="J223" s="1">
        <v>100.54969049388924</v>
      </c>
      <c r="K223" s="1">
        <v>199.80650367196392</v>
      </c>
      <c r="L223" s="1">
        <v>0.4967646765944686</v>
      </c>
      <c r="M223" s="1">
        <v>0.50323532340553134</v>
      </c>
      <c r="N223" s="19"/>
      <c r="O223" s="1">
        <v>98.15387118568438</v>
      </c>
      <c r="P223" s="1">
        <v>100.77849773069538</v>
      </c>
      <c r="Q223" s="1">
        <v>198.93236891637974</v>
      </c>
      <c r="R223" s="1">
        <v>0.49340321899520978</v>
      </c>
      <c r="S223" s="1">
        <v>0.50659678100479033</v>
      </c>
      <c r="T223" s="19"/>
      <c r="U223" s="1">
        <v>0.51006248947151633</v>
      </c>
      <c r="V223" s="1">
        <v>0.48993751052848367</v>
      </c>
      <c r="W223" s="1">
        <v>0.59525000000000006</v>
      </c>
      <c r="X223" s="1">
        <v>0.40475</v>
      </c>
      <c r="Y223" s="17"/>
      <c r="Z223" s="12">
        <v>0.85187510528483723</v>
      </c>
      <c r="AA223" s="12">
        <v>-0.85187510528483668</v>
      </c>
      <c r="AB223" s="12">
        <v>0.42869364410913613</v>
      </c>
      <c r="AC223" s="12">
        <v>0.4231814611757011</v>
      </c>
      <c r="AD223" s="12">
        <v>-0.42031791912942168</v>
      </c>
      <c r="AE223" s="12">
        <v>-0.43155718615541511</v>
      </c>
      <c r="AF223" s="17"/>
      <c r="AG223">
        <v>221</v>
      </c>
      <c r="AH223">
        <v>43</v>
      </c>
      <c r="AI223">
        <v>36</v>
      </c>
      <c r="AJ223">
        <v>47</v>
      </c>
      <c r="AK223">
        <v>42</v>
      </c>
    </row>
    <row r="224" spans="1:37" x14ac:dyDescent="0.25">
      <c r="A224">
        <v>222</v>
      </c>
      <c r="B224" t="s">
        <v>234</v>
      </c>
      <c r="C224" t="s">
        <v>192</v>
      </c>
      <c r="D224" t="s">
        <v>223</v>
      </c>
      <c r="E224" t="s">
        <v>226</v>
      </c>
      <c r="F224">
        <v>7</v>
      </c>
      <c r="G224">
        <v>10</v>
      </c>
      <c r="H224" s="17"/>
      <c r="I224" s="1">
        <v>96.578945423208708</v>
      </c>
      <c r="J224" s="1">
        <v>111.23463743978623</v>
      </c>
      <c r="K224" s="1">
        <v>207.81358286299493</v>
      </c>
      <c r="L224" s="1">
        <v>0.46473836836199595</v>
      </c>
      <c r="M224" s="1">
        <v>0.535261631638004</v>
      </c>
      <c r="N224" s="19"/>
      <c r="O224" s="1">
        <v>112.71807577674551</v>
      </c>
      <c r="P224" s="1">
        <v>100</v>
      </c>
      <c r="Q224" s="1">
        <v>212.71807577674551</v>
      </c>
      <c r="R224" s="1">
        <v>0.52989420558244782</v>
      </c>
      <c r="S224" s="1">
        <v>0.47010579441755213</v>
      </c>
      <c r="T224" s="19"/>
      <c r="U224" s="1">
        <v>0.44377375740949959</v>
      </c>
      <c r="V224" s="1">
        <v>0.55622624259050035</v>
      </c>
      <c r="W224" s="1">
        <v>0.40475</v>
      </c>
      <c r="X224" s="1">
        <v>0.59525000000000006</v>
      </c>
      <c r="Y224" s="17"/>
      <c r="Z224" s="12">
        <v>-0.39023757409499593</v>
      </c>
      <c r="AA224" s="12">
        <v>0.39023757409499704</v>
      </c>
      <c r="AB224" s="12">
        <v>-0.1813583734584519</v>
      </c>
      <c r="AC224" s="12">
        <v>-0.208879200636544</v>
      </c>
      <c r="AD224" s="12">
        <v>0.18345294478150698</v>
      </c>
      <c r="AE224" s="12">
        <v>0.20678462931349006</v>
      </c>
      <c r="AF224" s="17"/>
      <c r="AG224">
        <v>222</v>
      </c>
      <c r="AH224">
        <v>44</v>
      </c>
      <c r="AI224">
        <v>5</v>
      </c>
      <c r="AJ224">
        <v>39</v>
      </c>
      <c r="AK224">
        <v>45</v>
      </c>
    </row>
    <row r="225" spans="1:37" x14ac:dyDescent="0.25">
      <c r="A225">
        <v>223</v>
      </c>
      <c r="B225" t="s">
        <v>234</v>
      </c>
      <c r="C225" t="s">
        <v>192</v>
      </c>
      <c r="D225" t="s">
        <v>223</v>
      </c>
      <c r="E225" t="s">
        <v>226</v>
      </c>
      <c r="F225">
        <v>7</v>
      </c>
      <c r="G225">
        <v>10</v>
      </c>
      <c r="H225" s="17"/>
      <c r="I225" s="1">
        <v>96.397587049750257</v>
      </c>
      <c r="J225" s="1">
        <v>111.02575823914968</v>
      </c>
      <c r="K225" s="1">
        <v>207.42334528889995</v>
      </c>
      <c r="L225" s="1">
        <v>0.46473836836199595</v>
      </c>
      <c r="M225" s="1">
        <v>0.535261631638004</v>
      </c>
      <c r="N225" s="19"/>
      <c r="O225" s="1">
        <v>112.90152872152701</v>
      </c>
      <c r="P225" s="1">
        <v>100.20678462931349</v>
      </c>
      <c r="Q225" s="1">
        <v>213.10831335084049</v>
      </c>
      <c r="R225" s="1">
        <v>0.52978472283085964</v>
      </c>
      <c r="S225" s="1">
        <v>0.47021527716914041</v>
      </c>
      <c r="T225" s="19"/>
      <c r="U225" s="1">
        <v>0.43492067674794732</v>
      </c>
      <c r="V225" s="1">
        <v>0.56507932325205268</v>
      </c>
      <c r="W225" s="1">
        <v>0.40475</v>
      </c>
      <c r="X225" s="1">
        <v>0.59525000000000006</v>
      </c>
      <c r="Y225" s="17"/>
      <c r="Z225" s="12">
        <v>-0.30170676747947323</v>
      </c>
      <c r="AA225" s="12">
        <v>0.30170676747947378</v>
      </c>
      <c r="AB225" s="12">
        <v>-0.14021471084218248</v>
      </c>
      <c r="AC225" s="12">
        <v>-0.16149205663729072</v>
      </c>
      <c r="AD225" s="12">
        <v>0.14186713129416614</v>
      </c>
      <c r="AE225" s="12">
        <v>0.15983963618530764</v>
      </c>
      <c r="AF225" s="17"/>
      <c r="AG225">
        <v>223</v>
      </c>
      <c r="AH225">
        <v>44</v>
      </c>
      <c r="AI225">
        <v>5</v>
      </c>
      <c r="AJ225">
        <v>39</v>
      </c>
      <c r="AK225">
        <v>45</v>
      </c>
    </row>
    <row r="226" spans="1:37" x14ac:dyDescent="0.25">
      <c r="A226">
        <v>224</v>
      </c>
      <c r="B226" t="s">
        <v>209</v>
      </c>
      <c r="C226" t="s">
        <v>210</v>
      </c>
      <c r="D226" t="s">
        <v>196</v>
      </c>
      <c r="E226" t="s">
        <v>217</v>
      </c>
      <c r="F226">
        <v>10</v>
      </c>
      <c r="G226">
        <v>7</v>
      </c>
      <c r="H226" s="17"/>
      <c r="I226" s="1">
        <v>99.095081087380791</v>
      </c>
      <c r="J226" s="1">
        <v>101.51353786810706</v>
      </c>
      <c r="K226" s="1">
        <v>200.60861895548786</v>
      </c>
      <c r="L226" s="1">
        <v>0.49397220121119795</v>
      </c>
      <c r="M226" s="1">
        <v>0.506027798788802</v>
      </c>
      <c r="N226" s="19"/>
      <c r="O226" s="1">
        <v>95.331368708307579</v>
      </c>
      <c r="P226" s="1">
        <v>105.03810910821595</v>
      </c>
      <c r="Q226" s="1">
        <v>200.36947781652353</v>
      </c>
      <c r="R226" s="1">
        <v>0.47577789664951681</v>
      </c>
      <c r="S226" s="1">
        <v>0.52422210335048325</v>
      </c>
      <c r="T226" s="19"/>
      <c r="U226" s="1">
        <v>0.50275318628233479</v>
      </c>
      <c r="V226" s="1">
        <v>0.49724681371766521</v>
      </c>
      <c r="W226" s="1">
        <v>0.59525000000000006</v>
      </c>
      <c r="X226" s="1">
        <v>0.40475</v>
      </c>
      <c r="Y226" s="17"/>
      <c r="Z226" s="12">
        <v>0.92496813717665272</v>
      </c>
      <c r="AA226" s="12">
        <v>-0.92496813717665216</v>
      </c>
      <c r="AB226" s="12">
        <v>0.46805959040528022</v>
      </c>
      <c r="AC226" s="12">
        <v>0.45690854677137249</v>
      </c>
      <c r="AD226" s="12">
        <v>-0.44007939477372932</v>
      </c>
      <c r="AE226" s="12">
        <v>-0.4848887424029229</v>
      </c>
      <c r="AF226" s="17"/>
      <c r="AG226">
        <v>224</v>
      </c>
      <c r="AH226">
        <v>21</v>
      </c>
      <c r="AI226">
        <v>22</v>
      </c>
      <c r="AJ226">
        <v>9</v>
      </c>
      <c r="AK226">
        <v>32</v>
      </c>
    </row>
    <row r="227" spans="1:37" x14ac:dyDescent="0.25">
      <c r="A227">
        <v>225</v>
      </c>
      <c r="B227" t="s">
        <v>227</v>
      </c>
      <c r="C227" t="s">
        <v>210</v>
      </c>
      <c r="D227" t="s">
        <v>222</v>
      </c>
      <c r="E227" t="s">
        <v>192</v>
      </c>
      <c r="F227">
        <v>3</v>
      </c>
      <c r="G227">
        <v>10</v>
      </c>
      <c r="H227" s="17"/>
      <c r="I227" s="1">
        <v>105.64186994705901</v>
      </c>
      <c r="J227" s="1">
        <v>101.97044641487844</v>
      </c>
      <c r="K227" s="1">
        <v>207.61231636193745</v>
      </c>
      <c r="L227" s="1">
        <v>0.50884201765221881</v>
      </c>
      <c r="M227" s="1">
        <v>0.49115798234778119</v>
      </c>
      <c r="N227" s="19"/>
      <c r="O227" s="1">
        <v>96.69505571782534</v>
      </c>
      <c r="P227" s="1">
        <v>110.8642661825124</v>
      </c>
      <c r="Q227" s="1">
        <v>207.55932190033775</v>
      </c>
      <c r="R227" s="1">
        <v>0.46586708239610986</v>
      </c>
      <c r="S227" s="1">
        <v>0.53413291760389003</v>
      </c>
      <c r="T227" s="19"/>
      <c r="U227" s="1">
        <v>0.50061012098363178</v>
      </c>
      <c r="V227" s="1">
        <v>0.49938987901636811</v>
      </c>
      <c r="W227" s="1">
        <v>6.7749999999999977E-2</v>
      </c>
      <c r="X227" s="1">
        <v>0.93224999999999991</v>
      </c>
      <c r="Y227" s="17"/>
      <c r="Z227" s="12">
        <v>-4.328601209836318</v>
      </c>
      <c r="AA227" s="12">
        <v>4.328601209836318</v>
      </c>
      <c r="AB227" s="12">
        <v>-2.2025741732249475</v>
      </c>
      <c r="AC227" s="12">
        <v>-2.1260270366113705</v>
      </c>
      <c r="AD227" s="12">
        <v>2.3120483933536011</v>
      </c>
      <c r="AE227" s="12">
        <v>2.0165528164827173</v>
      </c>
      <c r="AF227" s="17"/>
      <c r="AG227">
        <v>225</v>
      </c>
      <c r="AH227">
        <v>46</v>
      </c>
      <c r="AI227">
        <v>22</v>
      </c>
      <c r="AJ227">
        <v>37</v>
      </c>
      <c r="AK227">
        <v>5</v>
      </c>
    </row>
    <row r="228" spans="1:37" x14ac:dyDescent="0.25">
      <c r="A228">
        <v>226</v>
      </c>
      <c r="B228" t="s">
        <v>227</v>
      </c>
      <c r="C228" t="s">
        <v>210</v>
      </c>
      <c r="D228" t="s">
        <v>222</v>
      </c>
      <c r="E228" t="s">
        <v>192</v>
      </c>
      <c r="F228">
        <v>6</v>
      </c>
      <c r="G228">
        <v>10</v>
      </c>
      <c r="H228" s="17"/>
      <c r="I228" s="1">
        <v>103.43929577383406</v>
      </c>
      <c r="J228" s="1">
        <v>99.844419378267062</v>
      </c>
      <c r="K228" s="1">
        <v>203.28371515210114</v>
      </c>
      <c r="L228" s="1">
        <v>0.50884201765221881</v>
      </c>
      <c r="M228" s="1">
        <v>0.49115798234778113</v>
      </c>
      <c r="N228" s="19"/>
      <c r="O228" s="1">
        <v>99.007104111178947</v>
      </c>
      <c r="P228" s="1">
        <v>112.88081899899511</v>
      </c>
      <c r="Q228" s="1">
        <v>211.88792311017406</v>
      </c>
      <c r="R228" s="1">
        <v>0.46726166672415226</v>
      </c>
      <c r="S228" s="1">
        <v>0.53273833327584774</v>
      </c>
      <c r="T228" s="19"/>
      <c r="U228" s="1">
        <v>0.40221643454686612</v>
      </c>
      <c r="V228" s="1">
        <v>0.59778356545313394</v>
      </c>
      <c r="W228" s="1">
        <v>0.35199999999999998</v>
      </c>
      <c r="X228" s="1">
        <v>0.64800000000000002</v>
      </c>
      <c r="Y228" s="17"/>
      <c r="Z228" s="12">
        <v>-0.5021643454686614</v>
      </c>
      <c r="AA228" s="12">
        <v>0.50216434546866084</v>
      </c>
      <c r="AB228" s="12">
        <v>-0.25552231874127951</v>
      </c>
      <c r="AC228" s="12">
        <v>-0.24664202672738186</v>
      </c>
      <c r="AD228" s="12">
        <v>0.26752219643553138</v>
      </c>
      <c r="AE228" s="12">
        <v>0.23464214903312947</v>
      </c>
      <c r="AF228" s="17"/>
      <c r="AG228">
        <v>226</v>
      </c>
      <c r="AH228">
        <v>46</v>
      </c>
      <c r="AI228">
        <v>22</v>
      </c>
      <c r="AJ228">
        <v>37</v>
      </c>
      <c r="AK228">
        <v>5</v>
      </c>
    </row>
    <row r="229" spans="1:37" x14ac:dyDescent="0.25">
      <c r="A229">
        <v>227</v>
      </c>
      <c r="B229" t="s">
        <v>226</v>
      </c>
      <c r="C229" t="s">
        <v>223</v>
      </c>
      <c r="D229" t="s">
        <v>198</v>
      </c>
      <c r="E229" t="s">
        <v>234</v>
      </c>
      <c r="F229">
        <v>10</v>
      </c>
      <c r="G229">
        <v>9</v>
      </c>
      <c r="H229" s="17"/>
      <c r="I229" s="1">
        <v>100.3666242654988</v>
      </c>
      <c r="J229" s="1">
        <v>113.04339585282118</v>
      </c>
      <c r="K229" s="1">
        <v>213.41002011831998</v>
      </c>
      <c r="L229" s="1">
        <v>0.47029949301280688</v>
      </c>
      <c r="M229" s="1">
        <v>0.52970050698719318</v>
      </c>
      <c r="N229" s="19"/>
      <c r="O229" s="1">
        <v>104.92223413021168</v>
      </c>
      <c r="P229" s="1">
        <v>96.25737233890807</v>
      </c>
      <c r="Q229" s="1">
        <v>201.17960646911973</v>
      </c>
      <c r="R229" s="1">
        <v>0.52153513952875152</v>
      </c>
      <c r="S229" s="1">
        <v>0.47846486047124859</v>
      </c>
      <c r="T229" s="19"/>
      <c r="U229" s="1">
        <v>0.63719988515192461</v>
      </c>
      <c r="V229" s="1">
        <v>0.36280011484807539</v>
      </c>
      <c r="W229" s="1">
        <v>0.52575000000000005</v>
      </c>
      <c r="X229" s="1">
        <v>0.47425</v>
      </c>
      <c r="Y229" s="17"/>
      <c r="Z229" s="12">
        <v>-1.1144988515192455</v>
      </c>
      <c r="AA229" s="12">
        <v>1.114498851519246</v>
      </c>
      <c r="AB229" s="12">
        <v>-0.52414824483285671</v>
      </c>
      <c r="AC229" s="12">
        <v>-0.59035060668638895</v>
      </c>
      <c r="AD229" s="12">
        <v>0.53324853748752266</v>
      </c>
      <c r="AE229" s="12">
        <v>0.58125031403172311</v>
      </c>
      <c r="AF229" s="17"/>
      <c r="AG229">
        <v>227</v>
      </c>
      <c r="AH229">
        <v>45</v>
      </c>
      <c r="AI229">
        <v>39</v>
      </c>
      <c r="AJ229">
        <v>10</v>
      </c>
      <c r="AK229">
        <v>44</v>
      </c>
    </row>
    <row r="230" spans="1:37" x14ac:dyDescent="0.25">
      <c r="A230">
        <v>228</v>
      </c>
      <c r="B230" t="s">
        <v>226</v>
      </c>
      <c r="C230" t="s">
        <v>223</v>
      </c>
      <c r="D230" t="s">
        <v>198</v>
      </c>
      <c r="E230" t="s">
        <v>234</v>
      </c>
      <c r="F230">
        <v>8</v>
      </c>
      <c r="G230">
        <v>10</v>
      </c>
      <c r="H230" s="17"/>
      <c r="I230" s="1">
        <v>99.842476020665941</v>
      </c>
      <c r="J230" s="1">
        <v>112.45304524613479</v>
      </c>
      <c r="K230" s="1">
        <v>212.29552126680073</v>
      </c>
      <c r="L230" s="1">
        <v>0.47029949301280688</v>
      </c>
      <c r="M230" s="1">
        <v>0.52970050698719318</v>
      </c>
      <c r="N230" s="19"/>
      <c r="O230" s="1">
        <v>105.4554826676992</v>
      </c>
      <c r="P230" s="1">
        <v>96.83862265293979</v>
      </c>
      <c r="Q230" s="1">
        <v>202.29410532063901</v>
      </c>
      <c r="R230" s="1">
        <v>0.52129785245373694</v>
      </c>
      <c r="S230" s="1">
        <v>0.47870214754626295</v>
      </c>
      <c r="T230" s="19"/>
      <c r="U230" s="1">
        <v>0.61315228707941338</v>
      </c>
      <c r="V230" s="1">
        <v>0.38684771292058667</v>
      </c>
      <c r="W230" s="1">
        <v>0.44400000000000001</v>
      </c>
      <c r="X230" s="1">
        <v>0.55600000000000005</v>
      </c>
      <c r="Y230" s="17"/>
      <c r="Z230" s="12">
        <v>-1.6915228707941337</v>
      </c>
      <c r="AA230" s="12">
        <v>1.6915228707941337</v>
      </c>
      <c r="AB230" s="12">
        <v>-0.79552234855404869</v>
      </c>
      <c r="AC230" s="12">
        <v>-0.89600052224008508</v>
      </c>
      <c r="AD230" s="12">
        <v>0.80973563087277178</v>
      </c>
      <c r="AE230" s="12">
        <v>0.88178723992136199</v>
      </c>
      <c r="AF230" s="17"/>
      <c r="AG230">
        <v>228</v>
      </c>
      <c r="AH230">
        <v>45</v>
      </c>
      <c r="AI230">
        <v>39</v>
      </c>
      <c r="AJ230">
        <v>10</v>
      </c>
      <c r="AK230">
        <v>44</v>
      </c>
    </row>
    <row r="231" spans="1:37" x14ac:dyDescent="0.25">
      <c r="A231">
        <v>229</v>
      </c>
      <c r="B231" t="s">
        <v>204</v>
      </c>
      <c r="C231" t="s">
        <v>231</v>
      </c>
      <c r="D231" t="s">
        <v>214</v>
      </c>
      <c r="E231" t="s">
        <v>222</v>
      </c>
      <c r="F231">
        <v>10</v>
      </c>
      <c r="G231">
        <v>7</v>
      </c>
      <c r="H231" s="17"/>
      <c r="I231" s="1">
        <v>90.169934884882707</v>
      </c>
      <c r="J231" s="1">
        <v>104.32142592558637</v>
      </c>
      <c r="K231" s="1">
        <v>194.49136081046908</v>
      </c>
      <c r="L231" s="1">
        <v>0.46361922971351355</v>
      </c>
      <c r="M231" s="1">
        <v>0.53638077028648645</v>
      </c>
      <c r="N231" s="19"/>
      <c r="O231" s="1">
        <v>90.745491170070792</v>
      </c>
      <c r="P231" s="1">
        <v>99.274626307614483</v>
      </c>
      <c r="Q231" s="1">
        <v>190.02011747768529</v>
      </c>
      <c r="R231" s="1">
        <v>0.47755728380037099</v>
      </c>
      <c r="S231" s="1">
        <v>0.5224427161996289</v>
      </c>
      <c r="T231" s="19"/>
      <c r="U231" s="1">
        <v>0.55129598082824416</v>
      </c>
      <c r="V231" s="1">
        <v>0.4487040191717559</v>
      </c>
      <c r="W231" s="1">
        <v>0.59525000000000006</v>
      </c>
      <c r="X231" s="1">
        <v>0.40475</v>
      </c>
      <c r="Y231" s="17"/>
      <c r="Z231" s="12">
        <v>0.43954019171755898</v>
      </c>
      <c r="AA231" s="12">
        <v>-0.43954019171755898</v>
      </c>
      <c r="AB231" s="12">
        <v>0.23576090660533422</v>
      </c>
      <c r="AC231" s="12">
        <v>0.20377928511222476</v>
      </c>
      <c r="AD231" s="12">
        <v>-0.20990562007773178</v>
      </c>
      <c r="AE231" s="12">
        <v>-0.22963457163982715</v>
      </c>
      <c r="AF231" s="17"/>
      <c r="AG231">
        <v>229</v>
      </c>
      <c r="AH231">
        <v>16</v>
      </c>
      <c r="AI231">
        <v>38</v>
      </c>
      <c r="AJ231">
        <v>28</v>
      </c>
      <c r="AK231">
        <v>37</v>
      </c>
    </row>
    <row r="232" spans="1:37" x14ac:dyDescent="0.25">
      <c r="A232">
        <v>230</v>
      </c>
      <c r="B232" t="s">
        <v>204</v>
      </c>
      <c r="C232" t="s">
        <v>231</v>
      </c>
      <c r="D232" t="s">
        <v>214</v>
      </c>
      <c r="E232" t="s">
        <v>222</v>
      </c>
      <c r="F232">
        <v>10</v>
      </c>
      <c r="G232">
        <v>5</v>
      </c>
      <c r="H232" s="17"/>
      <c r="I232" s="1">
        <v>90.405695791488043</v>
      </c>
      <c r="J232" s="1">
        <v>104.52520521069859</v>
      </c>
      <c r="K232" s="1">
        <v>194.93090100218663</v>
      </c>
      <c r="L232" s="1">
        <v>0.4637832961664396</v>
      </c>
      <c r="M232" s="1">
        <v>0.53621670383356035</v>
      </c>
      <c r="N232" s="19"/>
      <c r="O232" s="1">
        <v>90.535585549993058</v>
      </c>
      <c r="P232" s="1">
        <v>99.044991735974662</v>
      </c>
      <c r="Q232" s="1">
        <v>189.58057728596771</v>
      </c>
      <c r="R232" s="1">
        <v>0.47755728380037105</v>
      </c>
      <c r="S232" s="1">
        <v>0.52244271619962901</v>
      </c>
      <c r="T232" s="19"/>
      <c r="U232" s="1">
        <v>0.56128813080417905</v>
      </c>
      <c r="V232" s="1">
        <v>0.43871186919582095</v>
      </c>
      <c r="W232" s="1">
        <v>0.71875</v>
      </c>
      <c r="X232" s="1">
        <v>0.28125</v>
      </c>
      <c r="Y232" s="17"/>
      <c r="Z232" s="12">
        <v>1.5746186919582095</v>
      </c>
      <c r="AA232" s="12">
        <v>-1.5746186919582095</v>
      </c>
      <c r="AB232" s="12">
        <v>0.84433684479654336</v>
      </c>
      <c r="AC232" s="12">
        <v>0.73028184716166611</v>
      </c>
      <c r="AD232" s="12">
        <v>-0.75197062555285565</v>
      </c>
      <c r="AE232" s="12">
        <v>-0.82264806640535393</v>
      </c>
      <c r="AF232" s="17"/>
      <c r="AG232">
        <v>230</v>
      </c>
      <c r="AH232">
        <v>16</v>
      </c>
      <c r="AI232">
        <v>38</v>
      </c>
      <c r="AJ232">
        <v>28</v>
      </c>
      <c r="AK232">
        <v>37</v>
      </c>
    </row>
    <row r="233" spans="1:37" x14ac:dyDescent="0.25">
      <c r="A233">
        <v>231</v>
      </c>
      <c r="B233" t="s">
        <v>204</v>
      </c>
      <c r="C233" t="s">
        <v>192</v>
      </c>
      <c r="D233" t="s">
        <v>210</v>
      </c>
      <c r="E233" t="s">
        <v>222</v>
      </c>
      <c r="F233">
        <v>10</v>
      </c>
      <c r="G233">
        <v>5</v>
      </c>
      <c r="H233" s="17"/>
      <c r="I233" s="1">
        <v>91.250032636284587</v>
      </c>
      <c r="J233" s="1">
        <v>113.11546114802825</v>
      </c>
      <c r="K233" s="1">
        <v>204.36549378431283</v>
      </c>
      <c r="L233" s="1">
        <v>0.44650410862701606</v>
      </c>
      <c r="M233" s="1">
        <v>0.55349589137298394</v>
      </c>
      <c r="N233" s="19"/>
      <c r="O233" s="1">
        <v>99.597777351539676</v>
      </c>
      <c r="P233" s="1">
        <v>98.222343669569312</v>
      </c>
      <c r="Q233" s="1">
        <v>197.820121021109</v>
      </c>
      <c r="R233" s="1">
        <v>0.50347647568627152</v>
      </c>
      <c r="S233" s="1">
        <v>0.49652352431372843</v>
      </c>
      <c r="T233" s="19"/>
      <c r="U233" s="1">
        <v>0.57479096855572664</v>
      </c>
      <c r="V233" s="1">
        <v>0.42520903144427336</v>
      </c>
      <c r="W233" s="1">
        <v>0.71875</v>
      </c>
      <c r="X233" s="1">
        <v>0.28125</v>
      </c>
      <c r="Y233" s="17"/>
      <c r="Z233" s="12">
        <v>1.4395903144427336</v>
      </c>
      <c r="AA233" s="12">
        <v>-1.4395903144427336</v>
      </c>
      <c r="AB233" s="12">
        <v>0.79680732430439505</v>
      </c>
      <c r="AC233" s="12">
        <v>0.64278299013833851</v>
      </c>
      <c r="AD233" s="12">
        <v>-0.72479985794771895</v>
      </c>
      <c r="AE233" s="12">
        <v>-0.7147904564950146</v>
      </c>
      <c r="AF233" s="17"/>
      <c r="AG233">
        <v>231</v>
      </c>
      <c r="AH233">
        <v>16</v>
      </c>
      <c r="AI233">
        <v>5</v>
      </c>
      <c r="AJ233">
        <v>22</v>
      </c>
      <c r="AK233">
        <v>37</v>
      </c>
    </row>
    <row r="234" spans="1:37" x14ac:dyDescent="0.25">
      <c r="A234">
        <v>232</v>
      </c>
      <c r="B234" t="s">
        <v>204</v>
      </c>
      <c r="C234" t="s">
        <v>192</v>
      </c>
      <c r="D234" t="s">
        <v>210</v>
      </c>
      <c r="E234" t="s">
        <v>222</v>
      </c>
      <c r="F234">
        <v>10</v>
      </c>
      <c r="G234">
        <v>4</v>
      </c>
      <c r="H234" s="17"/>
      <c r="I234" s="1">
        <v>92.046839960588983</v>
      </c>
      <c r="J234" s="1">
        <v>113.75824413816659</v>
      </c>
      <c r="K234" s="1">
        <v>205.80508409875557</v>
      </c>
      <c r="L234" s="1">
        <v>0.4472525077000542</v>
      </c>
      <c r="M234" s="1">
        <v>0.5527474922999458</v>
      </c>
      <c r="N234" s="19"/>
      <c r="O234" s="1">
        <v>98.872977493591961</v>
      </c>
      <c r="P234" s="1">
        <v>97.507553213074303</v>
      </c>
      <c r="Q234" s="1">
        <v>196.38053070666626</v>
      </c>
      <c r="R234" s="1">
        <v>0.50347647568627152</v>
      </c>
      <c r="S234" s="1">
        <v>0.49652352431372843</v>
      </c>
      <c r="T234" s="19"/>
      <c r="U234" s="1">
        <v>0.60683241577819447</v>
      </c>
      <c r="V234" s="1">
        <v>0.39316758422180548</v>
      </c>
      <c r="W234" s="1">
        <v>0.81200000000000006</v>
      </c>
      <c r="X234" s="1">
        <v>0.18799999999999994</v>
      </c>
      <c r="Y234" s="17"/>
      <c r="Z234" s="12">
        <v>2.0516758422180557</v>
      </c>
      <c r="AA234" s="12">
        <v>-2.0516758422180552</v>
      </c>
      <c r="AB234" s="12">
        <v>1.1340586767984095</v>
      </c>
      <c r="AC234" s="12">
        <v>0.91761716541964611</v>
      </c>
      <c r="AD234" s="12">
        <v>-1.0329705222906094</v>
      </c>
      <c r="AE234" s="12">
        <v>-1.0187053199274458</v>
      </c>
      <c r="AF234" s="17"/>
      <c r="AG234">
        <v>232</v>
      </c>
      <c r="AH234">
        <v>16</v>
      </c>
      <c r="AI234">
        <v>5</v>
      </c>
      <c r="AJ234">
        <v>22</v>
      </c>
      <c r="AK234">
        <v>37</v>
      </c>
    </row>
    <row r="235" spans="1:37" x14ac:dyDescent="0.25">
      <c r="A235">
        <v>233</v>
      </c>
      <c r="B235" t="s">
        <v>223</v>
      </c>
      <c r="C235" t="s">
        <v>234</v>
      </c>
      <c r="D235" t="s">
        <v>196</v>
      </c>
      <c r="E235" t="s">
        <v>222</v>
      </c>
      <c r="F235">
        <v>10</v>
      </c>
      <c r="G235">
        <v>4</v>
      </c>
      <c r="H235" s="17"/>
      <c r="I235" s="1">
        <v>111.55704472389471</v>
      </c>
      <c r="J235" s="1">
        <v>97.720409892861156</v>
      </c>
      <c r="K235" s="1">
        <v>209.27745461675585</v>
      </c>
      <c r="L235" s="1">
        <v>0.53305811143482273</v>
      </c>
      <c r="M235" s="1">
        <v>0.46694188856517727</v>
      </c>
      <c r="N235" s="19"/>
      <c r="O235" s="1">
        <v>94.891289313533846</v>
      </c>
      <c r="P235" s="1">
        <v>96.488847893146854</v>
      </c>
      <c r="Q235" s="1">
        <v>191.3801372066807</v>
      </c>
      <c r="R235" s="1">
        <v>0.49582621633851237</v>
      </c>
      <c r="S235" s="1">
        <v>0.50417378366148757</v>
      </c>
      <c r="T235" s="19"/>
      <c r="U235" s="1">
        <v>0.69512756355726824</v>
      </c>
      <c r="V235" s="1">
        <v>0.30487243644273176</v>
      </c>
      <c r="W235" s="1">
        <v>0.81200000000000006</v>
      </c>
      <c r="X235" s="1">
        <v>0.18799999999999994</v>
      </c>
      <c r="Y235" s="17"/>
      <c r="Z235" s="12">
        <v>1.1687243644273182</v>
      </c>
      <c r="AA235" s="12">
        <v>-1.1687243644273182</v>
      </c>
      <c r="AB235" s="12">
        <v>0.54572636193782842</v>
      </c>
      <c r="AC235" s="12">
        <v>0.62299800248948978</v>
      </c>
      <c r="AD235" s="12">
        <v>-0.5794841795566299</v>
      </c>
      <c r="AE235" s="12">
        <v>-0.5892401848706883</v>
      </c>
      <c r="AF235" s="17"/>
      <c r="AG235">
        <v>233</v>
      </c>
      <c r="AH235">
        <v>39</v>
      </c>
      <c r="AI235">
        <v>44</v>
      </c>
      <c r="AJ235">
        <v>9</v>
      </c>
      <c r="AK235">
        <v>37</v>
      </c>
    </row>
    <row r="236" spans="1:37" x14ac:dyDescent="0.25">
      <c r="A236">
        <v>234</v>
      </c>
      <c r="B236" t="s">
        <v>223</v>
      </c>
      <c r="C236" t="s">
        <v>234</v>
      </c>
      <c r="D236" t="s">
        <v>196</v>
      </c>
      <c r="E236" t="s">
        <v>222</v>
      </c>
      <c r="F236">
        <v>10</v>
      </c>
      <c r="G236">
        <v>2</v>
      </c>
      <c r="H236" s="17"/>
      <c r="I236" s="1">
        <v>112.10277108583253</v>
      </c>
      <c r="J236" s="1">
        <v>98.343407895350651</v>
      </c>
      <c r="K236" s="1">
        <v>210.44617898118318</v>
      </c>
      <c r="L236" s="1">
        <v>0.53269093137517165</v>
      </c>
      <c r="M236" s="1">
        <v>0.46730906862482841</v>
      </c>
      <c r="N236" s="19"/>
      <c r="O236" s="1">
        <v>94.311805133977217</v>
      </c>
      <c r="P236" s="1">
        <v>95.899607708276164</v>
      </c>
      <c r="Q236" s="1">
        <v>190.21141284225337</v>
      </c>
      <c r="R236" s="1">
        <v>0.49582621633851243</v>
      </c>
      <c r="S236" s="1">
        <v>0.50417378366148768</v>
      </c>
      <c r="T236" s="19"/>
      <c r="U236" s="1">
        <v>0.71744953065578454</v>
      </c>
      <c r="V236" s="1">
        <v>0.28255046934421535</v>
      </c>
      <c r="W236" s="1">
        <v>1.0840000000000001</v>
      </c>
      <c r="X236" s="1">
        <v>-8.4000000000000075E-2</v>
      </c>
      <c r="Y236" s="17"/>
      <c r="Z236" s="12">
        <v>3.6655046934421556</v>
      </c>
      <c r="AA236" s="12">
        <v>-3.6655046934421542</v>
      </c>
      <c r="AB236" s="12">
        <v>1.7129235843323907</v>
      </c>
      <c r="AC236" s="12">
        <v>1.9525811091097645</v>
      </c>
      <c r="AD236" s="12">
        <v>-1.8174533231204821</v>
      </c>
      <c r="AE236" s="12">
        <v>-1.8480513703216723</v>
      </c>
      <c r="AF236" s="17"/>
      <c r="AG236">
        <v>234</v>
      </c>
      <c r="AH236">
        <v>39</v>
      </c>
      <c r="AI236">
        <v>44</v>
      </c>
      <c r="AJ236">
        <v>9</v>
      </c>
      <c r="AK236">
        <v>37</v>
      </c>
    </row>
    <row r="237" spans="1:37" x14ac:dyDescent="0.25">
      <c r="A237">
        <v>235</v>
      </c>
      <c r="B237" t="s">
        <v>222</v>
      </c>
      <c r="C237" t="s">
        <v>231</v>
      </c>
      <c r="D237" t="s">
        <v>207</v>
      </c>
      <c r="E237" t="s">
        <v>196</v>
      </c>
      <c r="F237">
        <v>10</v>
      </c>
      <c r="G237">
        <v>8</v>
      </c>
      <c r="H237" s="17"/>
      <c r="I237" s="1">
        <v>94.051556337954494</v>
      </c>
      <c r="J237" s="1">
        <v>105.25548705786025</v>
      </c>
      <c r="K237" s="1">
        <v>199.30704339581473</v>
      </c>
      <c r="L237" s="1">
        <v>0.47189278780866956</v>
      </c>
      <c r="M237" s="1">
        <v>0.5281072121913305</v>
      </c>
      <c r="N237" s="19"/>
      <c r="O237" s="1">
        <v>95.541238214505867</v>
      </c>
      <c r="P237" s="1">
        <v>92.494351810856728</v>
      </c>
      <c r="Q237" s="1">
        <v>188.03559002536258</v>
      </c>
      <c r="R237" s="1">
        <v>0.50810188752894647</v>
      </c>
      <c r="S237" s="1">
        <v>0.49189811247105358</v>
      </c>
      <c r="T237" s="19"/>
      <c r="U237" s="1">
        <v>0.62693018432379854</v>
      </c>
      <c r="V237" s="1">
        <v>0.37306981567620134</v>
      </c>
      <c r="W237" s="1">
        <v>0.55600000000000005</v>
      </c>
      <c r="X237" s="1">
        <v>0.44400000000000001</v>
      </c>
      <c r="Y237" s="17"/>
      <c r="Z237" s="12">
        <v>-0.70930184323798495</v>
      </c>
      <c r="AA237" s="12">
        <v>0.70930184323798662</v>
      </c>
      <c r="AB237" s="12">
        <v>-0.33471442420340064</v>
      </c>
      <c r="AC237" s="12">
        <v>-0.37458741903458437</v>
      </c>
      <c r="AD237" s="12">
        <v>0.34890423786100472</v>
      </c>
      <c r="AE237" s="12">
        <v>0.3603976053769819</v>
      </c>
      <c r="AF237" s="17"/>
      <c r="AG237">
        <v>235</v>
      </c>
      <c r="AH237">
        <v>37</v>
      </c>
      <c r="AI237">
        <v>38</v>
      </c>
      <c r="AJ237">
        <v>19</v>
      </c>
      <c r="AK237">
        <v>9</v>
      </c>
    </row>
    <row r="238" spans="1:37" x14ac:dyDescent="0.25">
      <c r="A238">
        <v>236</v>
      </c>
      <c r="B238" t="s">
        <v>222</v>
      </c>
      <c r="C238" t="s">
        <v>231</v>
      </c>
      <c r="D238" t="s">
        <v>207</v>
      </c>
      <c r="E238" t="s">
        <v>196</v>
      </c>
      <c r="F238">
        <v>9</v>
      </c>
      <c r="G238">
        <v>10</v>
      </c>
      <c r="H238" s="17"/>
      <c r="I238" s="1">
        <v>93.716841913751097</v>
      </c>
      <c r="J238" s="1">
        <v>104.88089963882567</v>
      </c>
      <c r="K238" s="1">
        <v>198.59774155257676</v>
      </c>
      <c r="L238" s="1">
        <v>0.4718927878086695</v>
      </c>
      <c r="M238" s="1">
        <v>0.5281072121913305</v>
      </c>
      <c r="N238" s="19"/>
      <c r="O238" s="1">
        <v>95.890142452366874</v>
      </c>
      <c r="P238" s="1">
        <v>92.854749416233716</v>
      </c>
      <c r="Q238" s="1">
        <v>188.74489186860058</v>
      </c>
      <c r="R238" s="1">
        <v>0.50804099386765478</v>
      </c>
      <c r="S238" s="1">
        <v>0.49195900613234528</v>
      </c>
      <c r="T238" s="19"/>
      <c r="U238" s="1">
        <v>0.61152820148366882</v>
      </c>
      <c r="V238" s="1">
        <v>0.38847179851633112</v>
      </c>
      <c r="W238" s="1">
        <v>0.47425</v>
      </c>
      <c r="X238" s="1">
        <v>0.52575000000000005</v>
      </c>
      <c r="Y238" s="17"/>
      <c r="Z238" s="12">
        <v>-1.3727820148366883</v>
      </c>
      <c r="AA238" s="12">
        <v>1.3727820148366892</v>
      </c>
      <c r="AB238" s="12">
        <v>-0.64780593203488712</v>
      </c>
      <c r="AC238" s="12">
        <v>-0.72497608280180115</v>
      </c>
      <c r="AD238" s="12">
        <v>0.67535247565541601</v>
      </c>
      <c r="AE238" s="12">
        <v>0.69742953918127304</v>
      </c>
      <c r="AF238" s="17"/>
      <c r="AG238">
        <v>236</v>
      </c>
      <c r="AH238">
        <v>37</v>
      </c>
      <c r="AI238">
        <v>38</v>
      </c>
      <c r="AJ238">
        <v>19</v>
      </c>
      <c r="AK238">
        <v>9</v>
      </c>
    </row>
    <row r="239" spans="1:37" x14ac:dyDescent="0.25">
      <c r="A239">
        <v>237</v>
      </c>
      <c r="B239" t="s">
        <v>223</v>
      </c>
      <c r="C239" t="s">
        <v>234</v>
      </c>
      <c r="D239" t="s">
        <v>231</v>
      </c>
      <c r="E239" t="s">
        <v>214</v>
      </c>
      <c r="F239">
        <v>10</v>
      </c>
      <c r="G239">
        <v>2</v>
      </c>
      <c r="H239" s="17"/>
      <c r="I239" s="1">
        <v>113.81569467016492</v>
      </c>
      <c r="J239" s="1">
        <v>100.29598900446041</v>
      </c>
      <c r="K239" s="1">
        <v>214.11168367462534</v>
      </c>
      <c r="L239" s="1">
        <v>0.53157162055259377</v>
      </c>
      <c r="M239" s="1">
        <v>0.46842837944740623</v>
      </c>
      <c r="N239" s="19"/>
      <c r="O239" s="1">
        <v>104.15592355602386</v>
      </c>
      <c r="P239" s="1">
        <v>89.783614924440201</v>
      </c>
      <c r="Q239" s="1">
        <v>193.93953848046408</v>
      </c>
      <c r="R239" s="1">
        <v>0.53705358057514252</v>
      </c>
      <c r="S239" s="1">
        <v>0.46294641942485742</v>
      </c>
      <c r="T239" s="19"/>
      <c r="U239" s="1">
        <v>0.7168645724859225</v>
      </c>
      <c r="V239" s="1">
        <v>0.2831354275140775</v>
      </c>
      <c r="W239" s="1">
        <v>1.0840000000000001</v>
      </c>
      <c r="X239" s="1">
        <v>-8.4000000000000075E-2</v>
      </c>
      <c r="Y239" s="17"/>
      <c r="Z239" s="12">
        <v>3.6713542751407759</v>
      </c>
      <c r="AA239" s="12">
        <v>-3.6713542751407759</v>
      </c>
      <c r="AB239" s="12">
        <v>1.7197665334815004</v>
      </c>
      <c r="AC239" s="12">
        <v>1.9515877416592755</v>
      </c>
      <c r="AD239" s="12">
        <v>-1.9717139590242108</v>
      </c>
      <c r="AE239" s="12">
        <v>-1.699640316116565</v>
      </c>
      <c r="AF239" s="17"/>
      <c r="AG239">
        <v>237</v>
      </c>
      <c r="AH239">
        <v>39</v>
      </c>
      <c r="AI239">
        <v>44</v>
      </c>
      <c r="AJ239">
        <v>38</v>
      </c>
      <c r="AK239">
        <v>28</v>
      </c>
    </row>
    <row r="240" spans="1:37" x14ac:dyDescent="0.25">
      <c r="A240">
        <v>238</v>
      </c>
      <c r="B240" t="s">
        <v>223</v>
      </c>
      <c r="C240" t="s">
        <v>234</v>
      </c>
      <c r="D240" t="s">
        <v>231</v>
      </c>
      <c r="E240" t="s">
        <v>214</v>
      </c>
      <c r="F240">
        <v>10</v>
      </c>
      <c r="G240">
        <v>4</v>
      </c>
      <c r="H240" s="17"/>
      <c r="I240" s="1">
        <v>115.53546120364642</v>
      </c>
      <c r="J240" s="1">
        <v>102.24757674611969</v>
      </c>
      <c r="K240" s="1">
        <v>217.78303794976611</v>
      </c>
      <c r="L240" s="1">
        <v>0.53050716112379637</v>
      </c>
      <c r="M240" s="1">
        <v>0.46949283887620369</v>
      </c>
      <c r="N240" s="19"/>
      <c r="O240" s="1">
        <v>102.18420959699965</v>
      </c>
      <c r="P240" s="1">
        <v>88.083974608323629</v>
      </c>
      <c r="Q240" s="1">
        <v>190.26818420532328</v>
      </c>
      <c r="R240" s="1">
        <v>0.53705358057514252</v>
      </c>
      <c r="S240" s="1">
        <v>0.46294641942485748</v>
      </c>
      <c r="T240" s="19"/>
      <c r="U240" s="1">
        <v>0.78024691315202777</v>
      </c>
      <c r="V240" s="1">
        <v>0.21975308684797226</v>
      </c>
      <c r="W240" s="1">
        <v>0.81200000000000006</v>
      </c>
      <c r="X240" s="1">
        <v>0.18799999999999994</v>
      </c>
      <c r="Y240" s="17"/>
      <c r="Z240" s="12">
        <v>0.31753086847972289</v>
      </c>
      <c r="AA240" s="12">
        <v>-0.31753086847972317</v>
      </c>
      <c r="AB240" s="12">
        <v>0.14907846887337156</v>
      </c>
      <c r="AC240" s="12">
        <v>0.16845239960635133</v>
      </c>
      <c r="AD240" s="12">
        <v>-0.17053108986016999</v>
      </c>
      <c r="AE240" s="12">
        <v>-0.14699977861955318</v>
      </c>
      <c r="AF240" s="17"/>
      <c r="AG240">
        <v>238</v>
      </c>
      <c r="AH240">
        <v>39</v>
      </c>
      <c r="AI240">
        <v>44</v>
      </c>
      <c r="AJ240">
        <v>38</v>
      </c>
      <c r="AK240">
        <v>28</v>
      </c>
    </row>
    <row r="241" spans="1:37" x14ac:dyDescent="0.25">
      <c r="A241">
        <v>239</v>
      </c>
      <c r="B241" t="s">
        <v>196</v>
      </c>
      <c r="C241" t="s">
        <v>210</v>
      </c>
      <c r="D241" t="s">
        <v>192</v>
      </c>
      <c r="E241" t="s">
        <v>204</v>
      </c>
      <c r="F241">
        <v>10</v>
      </c>
      <c r="G241">
        <v>5</v>
      </c>
      <c r="H241" s="17"/>
      <c r="I241" s="1">
        <v>93.552178955414988</v>
      </c>
      <c r="J241" s="1">
        <v>97.840006971301349</v>
      </c>
      <c r="K241" s="1">
        <v>191.39218592671634</v>
      </c>
      <c r="L241" s="1">
        <v>0.48879832006953472</v>
      </c>
      <c r="M241" s="1">
        <v>0.51120167993046528</v>
      </c>
      <c r="N241" s="19"/>
      <c r="O241" s="1">
        <v>114.67586130358623</v>
      </c>
      <c r="P241" s="1">
        <v>93.180898637387386</v>
      </c>
      <c r="Q241" s="1">
        <v>207.85675994097363</v>
      </c>
      <c r="R241" s="1">
        <v>0.55170619101419383</v>
      </c>
      <c r="S241" s="1">
        <v>0.44829380898580612</v>
      </c>
      <c r="T241" s="19"/>
      <c r="U241" s="1">
        <v>0.31903248888712321</v>
      </c>
      <c r="V241" s="1">
        <v>0.68096751111287679</v>
      </c>
      <c r="W241" s="1">
        <v>0.71875</v>
      </c>
      <c r="X241" s="1">
        <v>0.28125</v>
      </c>
      <c r="Y241" s="17"/>
      <c r="Z241" s="12">
        <v>3.9971751111287679</v>
      </c>
      <c r="AA241" s="12">
        <v>-3.9971751111287679</v>
      </c>
      <c r="AB241" s="12">
        <v>2.0433626317852704</v>
      </c>
      <c r="AC241" s="12">
        <v>1.9538124793434974</v>
      </c>
      <c r="AD241" s="12">
        <v>-2.2052662553775892</v>
      </c>
      <c r="AE241" s="12">
        <v>-1.7919088557511782</v>
      </c>
      <c r="AF241" s="17"/>
      <c r="AG241">
        <v>239</v>
      </c>
      <c r="AH241">
        <v>9</v>
      </c>
      <c r="AI241">
        <v>22</v>
      </c>
      <c r="AJ241">
        <v>5</v>
      </c>
      <c r="AK241">
        <v>16</v>
      </c>
    </row>
    <row r="242" spans="1:37" x14ac:dyDescent="0.25">
      <c r="A242">
        <v>240</v>
      </c>
      <c r="B242" t="s">
        <v>196</v>
      </c>
      <c r="C242" t="s">
        <v>210</v>
      </c>
      <c r="D242" t="s">
        <v>192</v>
      </c>
      <c r="E242" t="s">
        <v>204</v>
      </c>
      <c r="F242">
        <v>3</v>
      </c>
      <c r="G242">
        <v>10</v>
      </c>
      <c r="H242" s="17"/>
      <c r="I242" s="1">
        <v>95.595541587200259</v>
      </c>
      <c r="J242" s="1">
        <v>99.793819450644847</v>
      </c>
      <c r="K242" s="1">
        <v>195.38936103784511</v>
      </c>
      <c r="L242" s="1">
        <v>0.489256636489457</v>
      </c>
      <c r="M242" s="1">
        <v>0.51074336351054295</v>
      </c>
      <c r="N242" s="19"/>
      <c r="O242" s="1">
        <v>112.47059504820864</v>
      </c>
      <c r="P242" s="1">
        <v>91.388989781636212</v>
      </c>
      <c r="Q242" s="1">
        <v>203.85958482984483</v>
      </c>
      <c r="R242" s="1">
        <v>0.55170619101419394</v>
      </c>
      <c r="S242" s="1">
        <v>0.44829380898580617</v>
      </c>
      <c r="T242" s="19"/>
      <c r="U242" s="1">
        <v>0.40370087805302041</v>
      </c>
      <c r="V242" s="1">
        <v>0.59629912194697965</v>
      </c>
      <c r="W242" s="1">
        <v>6.7749999999999977E-2</v>
      </c>
      <c r="X242" s="1">
        <v>0.93224999999999991</v>
      </c>
      <c r="Y242" s="17"/>
      <c r="Z242" s="12">
        <v>-3.3595087805302044</v>
      </c>
      <c r="AA242" s="12">
        <v>3.3595087805302026</v>
      </c>
      <c r="AB242" s="12">
        <v>-1.6436619662190053</v>
      </c>
      <c r="AC242" s="12">
        <v>-1.7158468143111991</v>
      </c>
      <c r="AD242" s="12">
        <v>1.506046987545145</v>
      </c>
      <c r="AE242" s="12">
        <v>1.8534617929850574</v>
      </c>
      <c r="AF242" s="17"/>
      <c r="AG242">
        <v>240</v>
      </c>
      <c r="AH242">
        <v>9</v>
      </c>
      <c r="AI242">
        <v>22</v>
      </c>
      <c r="AJ242">
        <v>5</v>
      </c>
      <c r="AK242">
        <v>16</v>
      </c>
    </row>
    <row r="243" spans="1:37" x14ac:dyDescent="0.25">
      <c r="A243">
        <v>241</v>
      </c>
      <c r="B243" t="s">
        <v>207</v>
      </c>
      <c r="C243" t="s">
        <v>224</v>
      </c>
      <c r="D243" t="s">
        <v>213</v>
      </c>
      <c r="E243" t="s">
        <v>196</v>
      </c>
      <c r="F243">
        <v>5</v>
      </c>
      <c r="G243">
        <v>6</v>
      </c>
      <c r="H243" s="17"/>
      <c r="I243" s="1">
        <v>96.565494928022289</v>
      </c>
      <c r="J243" s="1">
        <v>105.46964960170939</v>
      </c>
      <c r="K243" s="1">
        <v>202.03514452973167</v>
      </c>
      <c r="L243" s="1">
        <v>0.47796384709597706</v>
      </c>
      <c r="M243" s="1">
        <v>0.52203615290402305</v>
      </c>
      <c r="N243" s="19"/>
      <c r="O243" s="1">
        <v>98.539127000430625</v>
      </c>
      <c r="P243" s="1">
        <v>93.951879620981259</v>
      </c>
      <c r="Q243" s="1">
        <v>192.49100662141188</v>
      </c>
      <c r="R243" s="1">
        <v>0.5119154849360612</v>
      </c>
      <c r="S243" s="1">
        <v>0.48808451506393885</v>
      </c>
      <c r="T243" s="19"/>
      <c r="U243" s="1">
        <v>0.60814555441347573</v>
      </c>
      <c r="V243" s="1">
        <v>0.39185444558652421</v>
      </c>
      <c r="W243" s="1">
        <v>0.47425</v>
      </c>
      <c r="X243" s="1">
        <v>0.52575000000000005</v>
      </c>
      <c r="Y243" s="17"/>
      <c r="Z243" s="12">
        <v>-1.3389555441347571</v>
      </c>
      <c r="AA243" s="12">
        <v>1.3389555441347585</v>
      </c>
      <c r="AB243" s="12">
        <v>-0.63997234296513583</v>
      </c>
      <c r="AC243" s="12">
        <v>-0.69898320116962143</v>
      </c>
      <c r="AD243" s="12">
        <v>0.65352346745118595</v>
      </c>
      <c r="AE243" s="12">
        <v>0.68543207668357253</v>
      </c>
      <c r="AF243" s="17"/>
      <c r="AG243">
        <v>241</v>
      </c>
      <c r="AH243">
        <v>19</v>
      </c>
      <c r="AI243">
        <v>40</v>
      </c>
      <c r="AJ243">
        <v>27</v>
      </c>
      <c r="AK243">
        <v>9</v>
      </c>
    </row>
    <row r="244" spans="1:37" x14ac:dyDescent="0.25">
      <c r="A244">
        <v>242</v>
      </c>
      <c r="B244" t="s">
        <v>207</v>
      </c>
      <c r="C244" t="s">
        <v>224</v>
      </c>
      <c r="D244" t="s">
        <v>213</v>
      </c>
      <c r="E244" t="s">
        <v>196</v>
      </c>
      <c r="F244">
        <v>6</v>
      </c>
      <c r="G244">
        <v>4</v>
      </c>
      <c r="H244" s="17"/>
      <c r="I244" s="1">
        <v>95.925522585057152</v>
      </c>
      <c r="J244" s="1">
        <v>104.77066640053977</v>
      </c>
      <c r="K244" s="1">
        <v>200.6961889855969</v>
      </c>
      <c r="L244" s="1">
        <v>0.47796384709597706</v>
      </c>
      <c r="M244" s="1">
        <v>0.52203615290402305</v>
      </c>
      <c r="N244" s="19"/>
      <c r="O244" s="1">
        <v>99.192650467881805</v>
      </c>
      <c r="P244" s="1">
        <v>94.637311697664828</v>
      </c>
      <c r="Q244" s="1">
        <v>193.82996216554665</v>
      </c>
      <c r="R244" s="1">
        <v>0.51175086328068908</v>
      </c>
      <c r="S244" s="1">
        <v>0.48824913671931081</v>
      </c>
      <c r="T244" s="19"/>
      <c r="U244" s="1">
        <v>0.57839823372021648</v>
      </c>
      <c r="V244" s="1">
        <v>0.42160176627978352</v>
      </c>
      <c r="W244" s="1">
        <v>0.55600000000000005</v>
      </c>
      <c r="X244" s="1">
        <v>0.44400000000000001</v>
      </c>
      <c r="Y244" s="17"/>
      <c r="Z244" s="12">
        <v>-0.22398233720216432</v>
      </c>
      <c r="AA244" s="12">
        <v>0.22398233720216487</v>
      </c>
      <c r="AB244" s="12">
        <v>-0.10705545957069484</v>
      </c>
      <c r="AC244" s="12">
        <v>-0.1169268776314695</v>
      </c>
      <c r="AD244" s="12">
        <v>0.1093591827793306</v>
      </c>
      <c r="AE244" s="12">
        <v>0.1146231544228343</v>
      </c>
      <c r="AF244" s="17"/>
      <c r="AG244">
        <v>242</v>
      </c>
      <c r="AH244">
        <v>19</v>
      </c>
      <c r="AI244">
        <v>40</v>
      </c>
      <c r="AJ244">
        <v>27</v>
      </c>
      <c r="AK244">
        <v>9</v>
      </c>
    </row>
    <row r="245" spans="1:37" x14ac:dyDescent="0.25">
      <c r="A245">
        <v>243</v>
      </c>
      <c r="B245" t="s">
        <v>207</v>
      </c>
      <c r="C245" t="s">
        <v>194</v>
      </c>
      <c r="D245" t="s">
        <v>213</v>
      </c>
      <c r="E245" t="s">
        <v>232</v>
      </c>
      <c r="F245">
        <v>6</v>
      </c>
      <c r="G245">
        <v>5</v>
      </c>
      <c r="H245" s="17"/>
      <c r="I245" s="1">
        <v>95.818467125486464</v>
      </c>
      <c r="J245" s="1">
        <v>100</v>
      </c>
      <c r="K245" s="1">
        <v>195.81846712548645</v>
      </c>
      <c r="L245" s="1">
        <v>0.48932293532909266</v>
      </c>
      <c r="M245" s="1">
        <v>0.51067706467090745</v>
      </c>
      <c r="N245" s="19"/>
      <c r="O245" s="1">
        <v>99.302009650661134</v>
      </c>
      <c r="P245" s="1">
        <v>100.34694054453996</v>
      </c>
      <c r="Q245" s="1">
        <v>199.64895019520111</v>
      </c>
      <c r="R245" s="1">
        <v>0.49738307941800547</v>
      </c>
      <c r="S245" s="1">
        <v>0.50261692058199448</v>
      </c>
      <c r="T245" s="19"/>
      <c r="U245" s="1">
        <v>0.45601393454237388</v>
      </c>
      <c r="V245" s="1">
        <v>0.54398606545762618</v>
      </c>
      <c r="W245" s="1">
        <v>0.52575000000000005</v>
      </c>
      <c r="X245" s="1">
        <v>0.47425</v>
      </c>
      <c r="Y245" s="17"/>
      <c r="Z245" s="12">
        <v>0.69736065457626173</v>
      </c>
      <c r="AA245" s="12">
        <v>-0.69736065457626173</v>
      </c>
      <c r="AB245" s="12">
        <v>0.35612609209598789</v>
      </c>
      <c r="AC245" s="12">
        <v>0.34123456248027378</v>
      </c>
      <c r="AD245" s="12">
        <v>-0.34685538983809705</v>
      </c>
      <c r="AE245" s="12">
        <v>-0.35050526473816462</v>
      </c>
      <c r="AF245" s="17"/>
      <c r="AG245">
        <v>243</v>
      </c>
      <c r="AH245">
        <v>19</v>
      </c>
      <c r="AI245">
        <v>7</v>
      </c>
      <c r="AJ245">
        <v>27</v>
      </c>
      <c r="AK245">
        <v>42</v>
      </c>
    </row>
    <row r="246" spans="1:37" x14ac:dyDescent="0.25">
      <c r="A246">
        <v>244</v>
      </c>
      <c r="B246" t="s">
        <v>207</v>
      </c>
      <c r="C246" t="s">
        <v>194</v>
      </c>
      <c r="D246" t="s">
        <v>213</v>
      </c>
      <c r="E246" t="s">
        <v>232</v>
      </c>
      <c r="F246">
        <v>6</v>
      </c>
      <c r="G246">
        <v>2</v>
      </c>
      <c r="H246" s="17"/>
      <c r="I246" s="1">
        <v>96.174593217582455</v>
      </c>
      <c r="J246" s="1">
        <v>100.34123456248027</v>
      </c>
      <c r="K246" s="1">
        <v>196.51582778006272</v>
      </c>
      <c r="L246" s="1">
        <v>0.4893987130910365</v>
      </c>
      <c r="M246" s="1">
        <v>0.51060128690896356</v>
      </c>
      <c r="N246" s="19"/>
      <c r="O246" s="1">
        <v>98.955154260823036</v>
      </c>
      <c r="P246" s="1">
        <v>99.996435279801801</v>
      </c>
      <c r="Q246" s="1">
        <v>198.95158954062484</v>
      </c>
      <c r="R246" s="1">
        <v>0.49738307941800552</v>
      </c>
      <c r="S246" s="1">
        <v>0.50261692058199448</v>
      </c>
      <c r="T246" s="19"/>
      <c r="U246" s="1">
        <v>0.47198662303271038</v>
      </c>
      <c r="V246" s="1">
        <v>0.52801337696728956</v>
      </c>
      <c r="W246" s="1">
        <v>0.64800000000000002</v>
      </c>
      <c r="X246" s="1">
        <v>0.35199999999999998</v>
      </c>
      <c r="Y246" s="17"/>
      <c r="Z246" s="12">
        <v>1.7601337696728963</v>
      </c>
      <c r="AA246" s="12">
        <v>-1.7601337696728958</v>
      </c>
      <c r="AB246" s="12">
        <v>0.89872656792690608</v>
      </c>
      <c r="AC246" s="12">
        <v>0.86140720174599017</v>
      </c>
      <c r="AD246" s="12">
        <v>-0.87546075454752736</v>
      </c>
      <c r="AE246" s="12">
        <v>-0.88467301512536844</v>
      </c>
      <c r="AF246" s="17"/>
      <c r="AG246">
        <v>244</v>
      </c>
      <c r="AH246">
        <v>19</v>
      </c>
      <c r="AI246">
        <v>7</v>
      </c>
      <c r="AJ246">
        <v>27</v>
      </c>
      <c r="AK246">
        <v>42</v>
      </c>
    </row>
    <row r="247" spans="1:37" x14ac:dyDescent="0.25">
      <c r="A247">
        <v>245</v>
      </c>
      <c r="B247" t="s">
        <v>232</v>
      </c>
      <c r="C247" t="s">
        <v>221</v>
      </c>
      <c r="D247" t="s">
        <v>235</v>
      </c>
      <c r="E247" t="s">
        <v>233</v>
      </c>
      <c r="F247">
        <v>10</v>
      </c>
      <c r="G247">
        <v>4</v>
      </c>
      <c r="H247" s="17"/>
      <c r="I247" s="1">
        <v>99.111762264676429</v>
      </c>
      <c r="J247" s="1">
        <v>100.97287195506495</v>
      </c>
      <c r="K247" s="1">
        <v>200.08463421974136</v>
      </c>
      <c r="L247" s="1">
        <v>0.49534919386077253</v>
      </c>
      <c r="M247" s="1">
        <v>0.50465080613922753</v>
      </c>
      <c r="N247" s="19"/>
      <c r="O247" s="1">
        <v>97.733553266554964</v>
      </c>
      <c r="P247" s="1">
        <v>99.685506822183797</v>
      </c>
      <c r="Q247" s="1">
        <v>197.41906008873877</v>
      </c>
      <c r="R247" s="1">
        <v>0.4950563193980575</v>
      </c>
      <c r="S247" s="1">
        <v>0.5049436806019425</v>
      </c>
      <c r="T247" s="19"/>
      <c r="U247" s="1">
        <v>0.53065007814064136</v>
      </c>
      <c r="V247" s="1">
        <v>0.4693499218593587</v>
      </c>
      <c r="W247" s="1">
        <v>0.81200000000000006</v>
      </c>
      <c r="X247" s="1">
        <v>0.18799999999999994</v>
      </c>
      <c r="Y247" s="17"/>
      <c r="Z247" s="12">
        <v>2.813499218593587</v>
      </c>
      <c r="AA247" s="12">
        <v>-2.8134992185935874</v>
      </c>
      <c r="AB247" s="12">
        <v>1.4198346487353402</v>
      </c>
      <c r="AC247" s="12">
        <v>1.3936645698582466</v>
      </c>
      <c r="AD247" s="12">
        <v>-1.3928405677862523</v>
      </c>
      <c r="AE247" s="12">
        <v>-1.4206586508073351</v>
      </c>
      <c r="AF247" s="17"/>
      <c r="AG247">
        <v>245</v>
      </c>
      <c r="AH247">
        <v>42</v>
      </c>
      <c r="AI247">
        <v>36</v>
      </c>
      <c r="AJ247">
        <v>47</v>
      </c>
      <c r="AK247">
        <v>43</v>
      </c>
    </row>
    <row r="248" spans="1:37" x14ac:dyDescent="0.25">
      <c r="A248">
        <v>246</v>
      </c>
      <c r="B248" t="s">
        <v>232</v>
      </c>
      <c r="C248" t="s">
        <v>221</v>
      </c>
      <c r="D248" t="s">
        <v>235</v>
      </c>
      <c r="E248" t="s">
        <v>233</v>
      </c>
      <c r="F248">
        <v>9</v>
      </c>
      <c r="G248">
        <v>10</v>
      </c>
      <c r="H248" s="17"/>
      <c r="I248" s="1">
        <v>100.53159691341178</v>
      </c>
      <c r="J248" s="1">
        <v>102.36653652492319</v>
      </c>
      <c r="K248" s="1">
        <v>202.89813343833498</v>
      </c>
      <c r="L248" s="1">
        <v>0.49547817522907595</v>
      </c>
      <c r="M248" s="1">
        <v>0.504521824770924</v>
      </c>
      <c r="N248" s="19"/>
      <c r="O248" s="1">
        <v>96.340712698768712</v>
      </c>
      <c r="P248" s="1">
        <v>98.264848171376457</v>
      </c>
      <c r="Q248" s="1">
        <v>194.60556087014515</v>
      </c>
      <c r="R248" s="1">
        <v>0.49505631939805755</v>
      </c>
      <c r="S248" s="1">
        <v>0.5049436806019425</v>
      </c>
      <c r="T248" s="19"/>
      <c r="U248" s="1">
        <v>0.59432816283147927</v>
      </c>
      <c r="V248" s="1">
        <v>0.40567183716852062</v>
      </c>
      <c r="W248" s="1">
        <v>0.47425</v>
      </c>
      <c r="X248" s="1">
        <v>0.52575000000000005</v>
      </c>
      <c r="Y248" s="17"/>
      <c r="Z248" s="12">
        <v>-1.2007816283147927</v>
      </c>
      <c r="AA248" s="12">
        <v>1.2007816283147943</v>
      </c>
      <c r="AB248" s="12">
        <v>-0.59496109004601205</v>
      </c>
      <c r="AC248" s="12">
        <v>-0.60582053826878068</v>
      </c>
      <c r="AD248" s="12">
        <v>0.60632709500046589</v>
      </c>
      <c r="AE248" s="12">
        <v>0.5944545333143284</v>
      </c>
      <c r="AF248" s="17"/>
      <c r="AG248">
        <v>246</v>
      </c>
      <c r="AH248">
        <v>42</v>
      </c>
      <c r="AI248">
        <v>36</v>
      </c>
      <c r="AJ248">
        <v>47</v>
      </c>
      <c r="AK248">
        <v>43</v>
      </c>
    </row>
    <row r="249" spans="1:37" x14ac:dyDescent="0.25">
      <c r="A249">
        <v>247</v>
      </c>
      <c r="B249" t="s">
        <v>222</v>
      </c>
      <c r="C249" t="s">
        <v>225</v>
      </c>
      <c r="D249" t="s">
        <v>231</v>
      </c>
      <c r="E249" t="s">
        <v>227</v>
      </c>
      <c r="F249">
        <v>4</v>
      </c>
      <c r="G249">
        <v>10</v>
      </c>
      <c r="H249" s="17"/>
      <c r="I249" s="1">
        <v>93.069035981716212</v>
      </c>
      <c r="J249" s="1">
        <v>95.660873065393389</v>
      </c>
      <c r="K249" s="1">
        <v>188.7299090471096</v>
      </c>
      <c r="L249" s="1">
        <v>0.49313347551333209</v>
      </c>
      <c r="M249" s="1">
        <v>0.50686652448666791</v>
      </c>
      <c r="N249" s="19"/>
      <c r="O249" s="1">
        <v>102.01367850713947</v>
      </c>
      <c r="P249" s="1">
        <v>103.18377345509278</v>
      </c>
      <c r="Q249" s="1">
        <v>205.19745196223226</v>
      </c>
      <c r="R249" s="1">
        <v>0.49714885604873721</v>
      </c>
      <c r="S249" s="1">
        <v>0.50285114395126274</v>
      </c>
      <c r="T249" s="19"/>
      <c r="U249" s="1">
        <v>0.31900278646000774</v>
      </c>
      <c r="V249" s="1">
        <v>0.68099721353999221</v>
      </c>
      <c r="W249" s="1">
        <v>0.18799999999999994</v>
      </c>
      <c r="X249" s="1">
        <v>0.81200000000000006</v>
      </c>
      <c r="Y249" s="17"/>
      <c r="Z249" s="12">
        <v>-1.310027864600078</v>
      </c>
      <c r="AA249" s="12">
        <v>1.3100278646000785</v>
      </c>
      <c r="AB249" s="12">
        <v>-0.6460185938895453</v>
      </c>
      <c r="AC249" s="12">
        <v>-0.66400927071053273</v>
      </c>
      <c r="AD249" s="12">
        <v>0.65874901032217958</v>
      </c>
      <c r="AE249" s="12">
        <v>0.65127885427789911</v>
      </c>
      <c r="AF249" s="17"/>
      <c r="AG249">
        <v>247</v>
      </c>
      <c r="AH249">
        <v>37</v>
      </c>
      <c r="AI249">
        <v>41</v>
      </c>
      <c r="AJ249">
        <v>38</v>
      </c>
      <c r="AK249">
        <v>46</v>
      </c>
    </row>
    <row r="250" spans="1:37" x14ac:dyDescent="0.25">
      <c r="A250">
        <v>248</v>
      </c>
      <c r="B250" t="s">
        <v>222</v>
      </c>
      <c r="C250" t="s">
        <v>225</v>
      </c>
      <c r="D250" t="s">
        <v>231</v>
      </c>
      <c r="E250" t="s">
        <v>227</v>
      </c>
      <c r="F250">
        <v>3</v>
      </c>
      <c r="G250">
        <v>10</v>
      </c>
      <c r="H250" s="17"/>
      <c r="I250" s="1">
        <v>92.423017387826661</v>
      </c>
      <c r="J250" s="1">
        <v>94.996863794682852</v>
      </c>
      <c r="K250" s="1">
        <v>187.41988118250953</v>
      </c>
      <c r="L250" s="1">
        <v>0.49313347551333203</v>
      </c>
      <c r="M250" s="1">
        <v>0.50686652448666791</v>
      </c>
      <c r="N250" s="19"/>
      <c r="O250" s="1">
        <v>102.67242751746166</v>
      </c>
      <c r="P250" s="1">
        <v>103.83505230937068</v>
      </c>
      <c r="Q250" s="1">
        <v>206.50747982683234</v>
      </c>
      <c r="R250" s="1">
        <v>0.49718502982825624</v>
      </c>
      <c r="S250" s="1">
        <v>0.50281497017174381</v>
      </c>
      <c r="T250" s="19"/>
      <c r="U250" s="1">
        <v>0.29338164603634687</v>
      </c>
      <c r="V250" s="1">
        <v>0.70661835396365313</v>
      </c>
      <c r="W250" s="1">
        <v>6.7749999999999977E-2</v>
      </c>
      <c r="X250" s="1">
        <v>0.93224999999999991</v>
      </c>
      <c r="Y250" s="17"/>
      <c r="Z250" s="12">
        <v>-2.2563164603634691</v>
      </c>
      <c r="AA250" s="12">
        <v>2.2563164603634678</v>
      </c>
      <c r="AB250" s="12">
        <v>-1.1126651779569767</v>
      </c>
      <c r="AC250" s="12">
        <v>-1.1436512824064922</v>
      </c>
      <c r="AD250" s="12">
        <v>1.1345096937156713</v>
      </c>
      <c r="AE250" s="12">
        <v>1.1218067666477962</v>
      </c>
      <c r="AF250" s="17"/>
      <c r="AG250">
        <v>248</v>
      </c>
      <c r="AH250">
        <v>37</v>
      </c>
      <c r="AI250">
        <v>41</v>
      </c>
      <c r="AJ250">
        <v>38</v>
      </c>
      <c r="AK250">
        <v>46</v>
      </c>
    </row>
    <row r="251" spans="1:37" x14ac:dyDescent="0.25">
      <c r="A251">
        <v>249</v>
      </c>
      <c r="B251" t="s">
        <v>222</v>
      </c>
      <c r="C251" t="s">
        <v>210</v>
      </c>
      <c r="D251" t="s">
        <v>231</v>
      </c>
      <c r="E251" t="s">
        <v>220</v>
      </c>
      <c r="F251">
        <v>5</v>
      </c>
      <c r="G251">
        <v>10</v>
      </c>
      <c r="H251" s="17"/>
      <c r="I251" s="1">
        <v>91.310352209869691</v>
      </c>
      <c r="J251" s="1">
        <v>98.077972636333641</v>
      </c>
      <c r="K251" s="1">
        <v>189.38832484620332</v>
      </c>
      <c r="L251" s="1">
        <v>0.48213295240886755</v>
      </c>
      <c r="M251" s="1">
        <v>0.51786704759113256</v>
      </c>
      <c r="N251" s="19"/>
      <c r="O251" s="1">
        <v>103.80693721117733</v>
      </c>
      <c r="P251" s="1">
        <v>100</v>
      </c>
      <c r="Q251" s="1">
        <v>203.80693721117734</v>
      </c>
      <c r="R251" s="1">
        <v>0.5093395672965555</v>
      </c>
      <c r="S251" s="1">
        <v>0.49066043270344439</v>
      </c>
      <c r="T251" s="19"/>
      <c r="U251" s="1">
        <v>0.33984127282247845</v>
      </c>
      <c r="V251" s="1">
        <v>0.66015872717752155</v>
      </c>
      <c r="W251" s="1">
        <v>0.28125</v>
      </c>
      <c r="X251" s="1">
        <v>0.71875</v>
      </c>
      <c r="Y251" s="17"/>
      <c r="Z251" s="12">
        <v>-0.58591272822478446</v>
      </c>
      <c r="AA251" s="12">
        <v>0.58591272822478446</v>
      </c>
      <c r="AB251" s="12">
        <v>-0.28248783351294976</v>
      </c>
      <c r="AC251" s="12">
        <v>-0.30342489471183476</v>
      </c>
      <c r="AD251" s="12">
        <v>0.28748419275722842</v>
      </c>
      <c r="AE251" s="12">
        <v>0.2984285354675561</v>
      </c>
      <c r="AF251" s="17"/>
      <c r="AG251">
        <v>249</v>
      </c>
      <c r="AH251">
        <v>37</v>
      </c>
      <c r="AI251">
        <v>22</v>
      </c>
      <c r="AJ251">
        <v>38</v>
      </c>
      <c r="AK251">
        <v>35</v>
      </c>
    </row>
    <row r="252" spans="1:37" x14ac:dyDescent="0.25">
      <c r="A252">
        <v>250</v>
      </c>
      <c r="B252" t="s">
        <v>222</v>
      </c>
      <c r="C252" t="s">
        <v>210</v>
      </c>
      <c r="D252" t="s">
        <v>231</v>
      </c>
      <c r="E252" t="s">
        <v>220</v>
      </c>
      <c r="F252">
        <v>5</v>
      </c>
      <c r="G252">
        <v>10</v>
      </c>
      <c r="H252" s="17"/>
      <c r="I252" s="1">
        <v>91.027864376356746</v>
      </c>
      <c r="J252" s="1">
        <v>97.774547741621802</v>
      </c>
      <c r="K252" s="1">
        <v>188.80241211797855</v>
      </c>
      <c r="L252" s="1">
        <v>0.48213295240886755</v>
      </c>
      <c r="M252" s="1">
        <v>0.51786704759113245</v>
      </c>
      <c r="N252" s="19"/>
      <c r="O252" s="1">
        <v>104.09442140393456</v>
      </c>
      <c r="P252" s="1">
        <v>100.29842853546755</v>
      </c>
      <c r="Q252" s="1">
        <v>204.39284993940211</v>
      </c>
      <c r="R252" s="1">
        <v>0.50928602167246173</v>
      </c>
      <c r="S252" s="1">
        <v>0.49071397832753827</v>
      </c>
      <c r="T252" s="19"/>
      <c r="U252" s="1">
        <v>0.32784099790819426</v>
      </c>
      <c r="V252" s="1">
        <v>0.67215900209180579</v>
      </c>
      <c r="W252" s="1">
        <v>0.28125</v>
      </c>
      <c r="X252" s="1">
        <v>0.71875</v>
      </c>
      <c r="Y252" s="17"/>
      <c r="Z252" s="12">
        <v>-0.46590997908194265</v>
      </c>
      <c r="AA252" s="12">
        <v>0.46590997908194209</v>
      </c>
      <c r="AB252" s="12">
        <v>-0.22463055377153074</v>
      </c>
      <c r="AC252" s="12">
        <v>-0.24127942531041191</v>
      </c>
      <c r="AD252" s="12">
        <v>0.22862853937779995</v>
      </c>
      <c r="AE252" s="12">
        <v>0.23728143970414214</v>
      </c>
      <c r="AF252" s="17"/>
      <c r="AG252">
        <v>250</v>
      </c>
      <c r="AH252">
        <v>37</v>
      </c>
      <c r="AI252">
        <v>22</v>
      </c>
      <c r="AJ252">
        <v>38</v>
      </c>
      <c r="AK252">
        <v>35</v>
      </c>
    </row>
    <row r="253" spans="1:37" x14ac:dyDescent="0.25">
      <c r="A253">
        <v>251</v>
      </c>
      <c r="B253" t="s">
        <v>207</v>
      </c>
      <c r="C253" t="s">
        <v>232</v>
      </c>
      <c r="D253" t="s">
        <v>235</v>
      </c>
      <c r="E253" t="s">
        <v>233</v>
      </c>
      <c r="F253">
        <v>10</v>
      </c>
      <c r="G253">
        <v>2</v>
      </c>
      <c r="H253" s="17"/>
      <c r="I253" s="1">
        <v>97.073319785509355</v>
      </c>
      <c r="J253" s="1">
        <v>99.936635823365762</v>
      </c>
      <c r="K253" s="1">
        <v>197.00995560887512</v>
      </c>
      <c r="L253" s="1">
        <v>0.4927330676538475</v>
      </c>
      <c r="M253" s="1">
        <v>0.5072669323461525</v>
      </c>
      <c r="N253" s="19"/>
      <c r="O253" s="1">
        <v>96.947039793769179</v>
      </c>
      <c r="P253" s="1">
        <v>98.859302704690791</v>
      </c>
      <c r="Q253" s="1">
        <v>195.80634249845997</v>
      </c>
      <c r="R253" s="1">
        <v>0.49511695360190733</v>
      </c>
      <c r="S253" s="1">
        <v>0.50488304639809267</v>
      </c>
      <c r="T253" s="19"/>
      <c r="U253" s="1">
        <v>0.51385356133963422</v>
      </c>
      <c r="V253" s="1">
        <v>0.48614643866036572</v>
      </c>
      <c r="W253" s="1">
        <v>1.0840000000000001</v>
      </c>
      <c r="X253" s="1">
        <v>-8.4000000000000075E-2</v>
      </c>
      <c r="Y253" s="17"/>
      <c r="Z253" s="12">
        <v>5.701464386603659</v>
      </c>
      <c r="AA253" s="12">
        <v>-5.701464386603659</v>
      </c>
      <c r="AB253" s="12">
        <v>2.8921643492732763</v>
      </c>
      <c r="AC253" s="12">
        <v>2.8093000373303827</v>
      </c>
      <c r="AD253" s="12">
        <v>-2.8228916781649707</v>
      </c>
      <c r="AE253" s="12">
        <v>-2.8785727084386883</v>
      </c>
      <c r="AF253" s="17"/>
      <c r="AG253">
        <v>251</v>
      </c>
      <c r="AH253">
        <v>19</v>
      </c>
      <c r="AI253">
        <v>42</v>
      </c>
      <c r="AJ253">
        <v>47</v>
      </c>
      <c r="AK253">
        <v>43</v>
      </c>
    </row>
    <row r="254" spans="1:37" x14ac:dyDescent="0.25">
      <c r="A254">
        <v>252</v>
      </c>
      <c r="B254" t="s">
        <v>207</v>
      </c>
      <c r="C254" t="s">
        <v>232</v>
      </c>
      <c r="D254" t="s">
        <v>235</v>
      </c>
      <c r="E254" t="s">
        <v>233</v>
      </c>
      <c r="F254">
        <v>10</v>
      </c>
      <c r="G254">
        <v>3</v>
      </c>
      <c r="H254" s="17"/>
      <c r="I254" s="1">
        <v>99.965484134782628</v>
      </c>
      <c r="J254" s="1">
        <v>102.74593586069615</v>
      </c>
      <c r="K254" s="1">
        <v>202.71141999547876</v>
      </c>
      <c r="L254" s="1">
        <v>0.49314184734640132</v>
      </c>
      <c r="M254" s="1">
        <v>0.50685815265359879</v>
      </c>
      <c r="N254" s="19"/>
      <c r="O254" s="1">
        <v>94.124148115604214</v>
      </c>
      <c r="P254" s="1">
        <v>95.980729996252109</v>
      </c>
      <c r="Q254" s="1">
        <v>190.10487811185632</v>
      </c>
      <c r="R254" s="1">
        <v>0.49511695360190733</v>
      </c>
      <c r="S254" s="1">
        <v>0.50488304639809267</v>
      </c>
      <c r="T254" s="19"/>
      <c r="U254" s="1">
        <v>0.64119457459095242</v>
      </c>
      <c r="V254" s="1">
        <v>0.35880542540904758</v>
      </c>
      <c r="W254" s="1">
        <v>0.93224999999999991</v>
      </c>
      <c r="X254" s="1">
        <v>6.7749999999999977E-2</v>
      </c>
      <c r="Y254" s="17"/>
      <c r="Z254" s="12">
        <v>2.9105542540904752</v>
      </c>
      <c r="AA254" s="12">
        <v>-2.9105542540904761</v>
      </c>
      <c r="AB254" s="12">
        <v>1.4752381524263711</v>
      </c>
      <c r="AC254" s="12">
        <v>1.4353161016641038</v>
      </c>
      <c r="AD254" s="12">
        <v>-1.4410647555783482</v>
      </c>
      <c r="AE254" s="12">
        <v>-1.4694894985121278</v>
      </c>
      <c r="AF254" s="17"/>
      <c r="AG254">
        <v>252</v>
      </c>
      <c r="AH254">
        <v>19</v>
      </c>
      <c r="AI254">
        <v>42</v>
      </c>
      <c r="AJ254">
        <v>47</v>
      </c>
      <c r="AK254">
        <v>43</v>
      </c>
    </row>
    <row r="255" spans="1:37" x14ac:dyDescent="0.25">
      <c r="A255">
        <v>253</v>
      </c>
      <c r="B255" t="s">
        <v>222</v>
      </c>
      <c r="C255" t="s">
        <v>192</v>
      </c>
      <c r="D255" t="s">
        <v>210</v>
      </c>
      <c r="E255" t="s">
        <v>231</v>
      </c>
      <c r="F255">
        <v>10</v>
      </c>
      <c r="G255">
        <v>8</v>
      </c>
      <c r="H255" s="17"/>
      <c r="I255" s="1">
        <v>90.803233822585213</v>
      </c>
      <c r="J255" s="1">
        <v>113.97664203575378</v>
      </c>
      <c r="K255" s="1">
        <v>204.77987585833898</v>
      </c>
      <c r="L255" s="1">
        <v>0.44341873654323516</v>
      </c>
      <c r="M255" s="1">
        <v>0.55658126345676495</v>
      </c>
      <c r="N255" s="19"/>
      <c r="O255" s="1">
        <v>97.533268316311393</v>
      </c>
      <c r="P255" s="1">
        <v>104.32304994331236</v>
      </c>
      <c r="Q255" s="1">
        <v>201.85631825962375</v>
      </c>
      <c r="R255" s="1">
        <v>0.48318164701124672</v>
      </c>
      <c r="S255" s="1">
        <v>0.51681835298875334</v>
      </c>
      <c r="T255" s="19"/>
      <c r="U255" s="1">
        <v>0.53360794976398551</v>
      </c>
      <c r="V255" s="1">
        <v>0.46639205023601449</v>
      </c>
      <c r="W255" s="1">
        <v>0.55600000000000005</v>
      </c>
      <c r="X255" s="1">
        <v>0.44400000000000001</v>
      </c>
      <c r="Y255" s="17"/>
      <c r="Z255" s="12">
        <v>0.22392050236014538</v>
      </c>
      <c r="AA255" s="12">
        <v>-0.22392050236014482</v>
      </c>
      <c r="AB255" s="12">
        <v>0.1246299561174832</v>
      </c>
      <c r="AC255" s="12">
        <v>9.9290546242662148E-2</v>
      </c>
      <c r="AD255" s="12">
        <v>-0.10819427712996053</v>
      </c>
      <c r="AE255" s="12">
        <v>-0.1157262252301843</v>
      </c>
      <c r="AF255" s="17"/>
      <c r="AG255">
        <v>253</v>
      </c>
      <c r="AH255">
        <v>37</v>
      </c>
      <c r="AI255">
        <v>5</v>
      </c>
      <c r="AJ255">
        <v>22</v>
      </c>
      <c r="AK255">
        <v>38</v>
      </c>
    </row>
    <row r="256" spans="1:37" x14ac:dyDescent="0.25">
      <c r="A256">
        <v>254</v>
      </c>
      <c r="B256" t="s">
        <v>222</v>
      </c>
      <c r="C256" t="s">
        <v>192</v>
      </c>
      <c r="D256" t="s">
        <v>210</v>
      </c>
      <c r="E256" t="s">
        <v>231</v>
      </c>
      <c r="F256">
        <v>10</v>
      </c>
      <c r="G256">
        <v>4</v>
      </c>
      <c r="H256" s="17"/>
      <c r="I256" s="1">
        <v>90.927863778702701</v>
      </c>
      <c r="J256" s="1">
        <v>114.07593258199644</v>
      </c>
      <c r="K256" s="1">
        <v>205.00379636069914</v>
      </c>
      <c r="L256" s="1">
        <v>0.44354234113166058</v>
      </c>
      <c r="M256" s="1">
        <v>0.55645765886833942</v>
      </c>
      <c r="N256" s="19"/>
      <c r="O256" s="1">
        <v>97.425074039181439</v>
      </c>
      <c r="P256" s="1">
        <v>104.20732371808216</v>
      </c>
      <c r="Q256" s="1">
        <v>201.63239775726362</v>
      </c>
      <c r="R256" s="1">
        <v>0.48318164701124672</v>
      </c>
      <c r="S256" s="1">
        <v>0.51681835298875323</v>
      </c>
      <c r="T256" s="19"/>
      <c r="U256" s="1">
        <v>0.53873687857800279</v>
      </c>
      <c r="V256" s="1">
        <v>0.46126312142199727</v>
      </c>
      <c r="W256" s="1">
        <v>0.81200000000000006</v>
      </c>
      <c r="X256" s="1">
        <v>0.18799999999999994</v>
      </c>
      <c r="Y256" s="17"/>
      <c r="Z256" s="12">
        <v>2.7326312142199729</v>
      </c>
      <c r="AA256" s="12">
        <v>-2.7326312142199733</v>
      </c>
      <c r="AB256" s="12">
        <v>1.5205935680153939</v>
      </c>
      <c r="AC256" s="12">
        <v>1.212037646204579</v>
      </c>
      <c r="AD256" s="12">
        <v>-1.3203572507611496</v>
      </c>
      <c r="AE256" s="12">
        <v>-1.4122739634588235</v>
      </c>
      <c r="AF256" s="17"/>
      <c r="AG256">
        <v>254</v>
      </c>
      <c r="AH256">
        <v>37</v>
      </c>
      <c r="AI256">
        <v>5</v>
      </c>
      <c r="AJ256">
        <v>22</v>
      </c>
      <c r="AK256">
        <v>38</v>
      </c>
    </row>
    <row r="257" spans="1:37" x14ac:dyDescent="0.25">
      <c r="A257">
        <v>255</v>
      </c>
      <c r="B257" t="s">
        <v>228</v>
      </c>
      <c r="C257" t="s">
        <v>223</v>
      </c>
      <c r="D257" t="s">
        <v>214</v>
      </c>
      <c r="E257" t="s">
        <v>231</v>
      </c>
      <c r="F257">
        <v>10</v>
      </c>
      <c r="G257">
        <v>2</v>
      </c>
      <c r="H257" s="17"/>
      <c r="I257" s="1">
        <v>100</v>
      </c>
      <c r="J257" s="1">
        <v>115.68453967251979</v>
      </c>
      <c r="K257" s="1">
        <v>215.6845396725198</v>
      </c>
      <c r="L257" s="1">
        <v>0.46364009284964491</v>
      </c>
      <c r="M257" s="1">
        <v>0.53635990715035509</v>
      </c>
      <c r="N257" s="19"/>
      <c r="O257" s="1">
        <v>87.93697482970407</v>
      </c>
      <c r="P257" s="1">
        <v>102.79504975462334</v>
      </c>
      <c r="Q257" s="1">
        <v>190.73202458432741</v>
      </c>
      <c r="R257" s="1">
        <v>0.46104986837606254</v>
      </c>
      <c r="S257" s="1">
        <v>0.53895013162393746</v>
      </c>
      <c r="T257" s="19"/>
      <c r="U257" s="1">
        <v>0.75934754711746766</v>
      </c>
      <c r="V257" s="1">
        <v>0.24065245288253231</v>
      </c>
      <c r="W257" s="1">
        <v>1.0840000000000001</v>
      </c>
      <c r="X257" s="1">
        <v>-8.4000000000000075E-2</v>
      </c>
      <c r="Y257" s="17"/>
      <c r="Z257" s="12">
        <v>3.2465245288253239</v>
      </c>
      <c r="AA257" s="12">
        <v>-3.2465245288253239</v>
      </c>
      <c r="AB257" s="12">
        <v>1.741305594842101</v>
      </c>
      <c r="AC257" s="12">
        <v>1.5052189339832229</v>
      </c>
      <c r="AD257" s="12">
        <v>-1.496809706694574</v>
      </c>
      <c r="AE257" s="12">
        <v>-1.7497148221307499</v>
      </c>
      <c r="AF257" s="17"/>
      <c r="AG257">
        <v>255</v>
      </c>
      <c r="AH257">
        <v>23</v>
      </c>
      <c r="AI257">
        <v>39</v>
      </c>
      <c r="AJ257">
        <v>28</v>
      </c>
      <c r="AK257">
        <v>38</v>
      </c>
    </row>
    <row r="258" spans="1:37" x14ac:dyDescent="0.25">
      <c r="A258">
        <v>256</v>
      </c>
      <c r="B258" t="s">
        <v>228</v>
      </c>
      <c r="C258" t="s">
        <v>223</v>
      </c>
      <c r="D258" t="s">
        <v>214</v>
      </c>
      <c r="E258" t="s">
        <v>231</v>
      </c>
      <c r="F258">
        <v>10</v>
      </c>
      <c r="G258">
        <v>5</v>
      </c>
      <c r="H258" s="17"/>
      <c r="I258" s="1">
        <v>101.7413055948421</v>
      </c>
      <c r="J258" s="1">
        <v>117.18975860650302</v>
      </c>
      <c r="K258" s="1">
        <v>218.93106420134512</v>
      </c>
      <c r="L258" s="1">
        <v>0.46471845357346508</v>
      </c>
      <c r="M258" s="1">
        <v>0.53528154642653492</v>
      </c>
      <c r="N258" s="19"/>
      <c r="O258" s="1">
        <v>86.440165123009493</v>
      </c>
      <c r="P258" s="1">
        <v>101.04533493249258</v>
      </c>
      <c r="Q258" s="1">
        <v>187.48550005550209</v>
      </c>
      <c r="R258" s="1">
        <v>0.46104986837606249</v>
      </c>
      <c r="S258" s="1">
        <v>0.53895013162393746</v>
      </c>
      <c r="T258" s="19"/>
      <c r="U258" s="1">
        <v>0.80970920037199201</v>
      </c>
      <c r="V258" s="1">
        <v>0.19029079962800802</v>
      </c>
      <c r="W258" s="1">
        <v>0.71875</v>
      </c>
      <c r="X258" s="1">
        <v>0.28125</v>
      </c>
      <c r="Y258" s="17"/>
      <c r="Z258" s="12">
        <v>-0.90959200371992011</v>
      </c>
      <c r="AA258" s="12">
        <v>0.90959200371991988</v>
      </c>
      <c r="AB258" s="12">
        <v>-0.42270418935151077</v>
      </c>
      <c r="AC258" s="12">
        <v>-0.48688781436840933</v>
      </c>
      <c r="AD258" s="12">
        <v>0.49022473012893192</v>
      </c>
      <c r="AE258" s="12">
        <v>0.41936727359098808</v>
      </c>
      <c r="AF258" s="17"/>
      <c r="AG258">
        <v>256</v>
      </c>
      <c r="AH258">
        <v>23</v>
      </c>
      <c r="AI258">
        <v>39</v>
      </c>
      <c r="AJ258">
        <v>28</v>
      </c>
      <c r="AK258">
        <v>38</v>
      </c>
    </row>
    <row r="259" spans="1:37" x14ac:dyDescent="0.25">
      <c r="A259">
        <v>257</v>
      </c>
      <c r="B259" t="s">
        <v>222</v>
      </c>
      <c r="C259" t="s">
        <v>192</v>
      </c>
      <c r="D259" t="s">
        <v>210</v>
      </c>
      <c r="E259" t="s">
        <v>220</v>
      </c>
      <c r="F259">
        <v>10</v>
      </c>
      <c r="G259">
        <v>9</v>
      </c>
      <c r="H259" s="17"/>
      <c r="I259" s="1">
        <v>92.448457346718101</v>
      </c>
      <c r="J259" s="1">
        <v>115.28797022820102</v>
      </c>
      <c r="K259" s="1">
        <v>207.73642757491911</v>
      </c>
      <c r="L259" s="1">
        <v>0.4450276652291858</v>
      </c>
      <c r="M259" s="1">
        <v>0.55497233477081431</v>
      </c>
      <c r="N259" s="19"/>
      <c r="O259" s="1">
        <v>96.104716788420291</v>
      </c>
      <c r="P259" s="1">
        <v>100.5357099751717</v>
      </c>
      <c r="Q259" s="1">
        <v>196.64042676359199</v>
      </c>
      <c r="R259" s="1">
        <v>0.48873325983959925</v>
      </c>
      <c r="S259" s="1">
        <v>0.51126674016040075</v>
      </c>
      <c r="T259" s="19"/>
      <c r="U259" s="1">
        <v>0.62503845954717507</v>
      </c>
      <c r="V259" s="1">
        <v>0.37496154045282487</v>
      </c>
      <c r="W259" s="1">
        <v>0.52575000000000005</v>
      </c>
      <c r="X259" s="1">
        <v>0.47425</v>
      </c>
      <c r="Y259" s="17"/>
      <c r="Z259" s="12">
        <v>-0.99288459547175023</v>
      </c>
      <c r="AA259" s="12">
        <v>0.99288459547175134</v>
      </c>
      <c r="AB259" s="12">
        <v>-0.44186111336481765</v>
      </c>
      <c r="AC259" s="12">
        <v>-0.55102348210693275</v>
      </c>
      <c r="AD259" s="12">
        <v>0.50762887048232053</v>
      </c>
      <c r="AE259" s="12">
        <v>0.48525572498943081</v>
      </c>
      <c r="AF259" s="17"/>
      <c r="AG259">
        <v>257</v>
      </c>
      <c r="AH259">
        <v>37</v>
      </c>
      <c r="AI259">
        <v>5</v>
      </c>
      <c r="AJ259">
        <v>22</v>
      </c>
      <c r="AK259">
        <v>35</v>
      </c>
    </row>
    <row r="260" spans="1:37" x14ac:dyDescent="0.25">
      <c r="A260">
        <v>258</v>
      </c>
      <c r="B260" t="s">
        <v>222</v>
      </c>
      <c r="C260" t="s">
        <v>192</v>
      </c>
      <c r="D260" t="s">
        <v>210</v>
      </c>
      <c r="E260" t="s">
        <v>220</v>
      </c>
      <c r="F260">
        <v>9</v>
      </c>
      <c r="G260">
        <v>10</v>
      </c>
      <c r="H260" s="17"/>
      <c r="I260" s="1">
        <v>92.006596233353278</v>
      </c>
      <c r="J260" s="1">
        <v>114.73694674609409</v>
      </c>
      <c r="K260" s="1">
        <v>206.74354297944737</v>
      </c>
      <c r="L260" s="1">
        <v>0.44502766522918574</v>
      </c>
      <c r="M260" s="1">
        <v>0.55497233477081431</v>
      </c>
      <c r="N260" s="19"/>
      <c r="O260" s="1">
        <v>96.612345658902612</v>
      </c>
      <c r="P260" s="1">
        <v>101.02096570016113</v>
      </c>
      <c r="Q260" s="1">
        <v>197.63331135906373</v>
      </c>
      <c r="R260" s="1">
        <v>0.48884646517598229</v>
      </c>
      <c r="S260" s="1">
        <v>0.51115353482401782</v>
      </c>
      <c r="T260" s="19"/>
      <c r="U260" s="1">
        <v>0.60337357043033135</v>
      </c>
      <c r="V260" s="1">
        <v>0.39662642956966859</v>
      </c>
      <c r="W260" s="1">
        <v>0.47425</v>
      </c>
      <c r="X260" s="1">
        <v>0.52575000000000005</v>
      </c>
      <c r="Y260" s="17"/>
      <c r="Z260" s="12">
        <v>-1.2912357043033134</v>
      </c>
      <c r="AA260" s="12">
        <v>1.2912357043033147</v>
      </c>
      <c r="AB260" s="12">
        <v>-0.5746356107466668</v>
      </c>
      <c r="AC260" s="12">
        <v>-0.71660009355664667</v>
      </c>
      <c r="AD260" s="12">
        <v>0.66001969454561937</v>
      </c>
      <c r="AE260" s="12">
        <v>0.6312160097576951</v>
      </c>
      <c r="AF260" s="17"/>
      <c r="AG260">
        <v>258</v>
      </c>
      <c r="AH260">
        <v>37</v>
      </c>
      <c r="AI260">
        <v>5</v>
      </c>
      <c r="AJ260">
        <v>22</v>
      </c>
      <c r="AK260">
        <v>35</v>
      </c>
    </row>
    <row r="261" spans="1:37" x14ac:dyDescent="0.25">
      <c r="A261">
        <v>259</v>
      </c>
      <c r="B261" t="s">
        <v>210</v>
      </c>
      <c r="C261" t="s">
        <v>225</v>
      </c>
      <c r="D261" t="s">
        <v>204</v>
      </c>
      <c r="E261" t="s">
        <v>227</v>
      </c>
      <c r="F261">
        <v>10</v>
      </c>
      <c r="G261">
        <v>2</v>
      </c>
      <c r="H261" s="17"/>
      <c r="I261" s="1">
        <v>97.272365353448237</v>
      </c>
      <c r="J261" s="1">
        <v>93.853212512276357</v>
      </c>
      <c r="K261" s="1">
        <v>191.12557786572461</v>
      </c>
      <c r="L261" s="1">
        <v>0.50894478091146433</v>
      </c>
      <c r="M261" s="1">
        <v>0.49105521908853556</v>
      </c>
      <c r="N261" s="19"/>
      <c r="O261" s="1">
        <v>93.242451574621271</v>
      </c>
      <c r="P261" s="1">
        <v>104.95685907601847</v>
      </c>
      <c r="Q261" s="1">
        <v>198.19931065063975</v>
      </c>
      <c r="R261" s="1">
        <v>0.47044791058318597</v>
      </c>
      <c r="S261" s="1">
        <v>0.52955208941681398</v>
      </c>
      <c r="T261" s="19"/>
      <c r="U261" s="1">
        <v>0.41927326164485118</v>
      </c>
      <c r="V261" s="1">
        <v>0.58072673835514876</v>
      </c>
      <c r="W261" s="1">
        <v>1.0840000000000001</v>
      </c>
      <c r="X261" s="1">
        <v>-8.4000000000000075E-2</v>
      </c>
      <c r="Y261" s="17"/>
      <c r="Z261" s="12">
        <v>6.6472673835514895</v>
      </c>
      <c r="AA261" s="12">
        <v>-6.6472673835514886</v>
      </c>
      <c r="AB261" s="12">
        <v>3.2641753413699539</v>
      </c>
      <c r="AC261" s="12">
        <v>3.3830920421815365</v>
      </c>
      <c r="AD261" s="12">
        <v>-3.1271930516795594</v>
      </c>
      <c r="AE261" s="12">
        <v>-3.5200743318719292</v>
      </c>
      <c r="AF261" s="17"/>
      <c r="AG261">
        <v>259</v>
      </c>
      <c r="AH261">
        <v>22</v>
      </c>
      <c r="AI261">
        <v>41</v>
      </c>
      <c r="AJ261">
        <v>16</v>
      </c>
      <c r="AK261">
        <v>46</v>
      </c>
    </row>
    <row r="262" spans="1:37" x14ac:dyDescent="0.25">
      <c r="A262">
        <v>260</v>
      </c>
      <c r="B262" t="s">
        <v>210</v>
      </c>
      <c r="C262" t="s">
        <v>225</v>
      </c>
      <c r="D262" t="s">
        <v>204</v>
      </c>
      <c r="E262" t="s">
        <v>227</v>
      </c>
      <c r="F262">
        <v>10</v>
      </c>
      <c r="G262">
        <v>9</v>
      </c>
      <c r="H262" s="17"/>
      <c r="I262" s="1">
        <v>100.53654069481819</v>
      </c>
      <c r="J262" s="1">
        <v>97.236304554457888</v>
      </c>
      <c r="K262" s="1">
        <v>197.77284524927609</v>
      </c>
      <c r="L262" s="1">
        <v>0.50834350169812392</v>
      </c>
      <c r="M262" s="1">
        <v>0.49165649830187597</v>
      </c>
      <c r="N262" s="19"/>
      <c r="O262" s="1">
        <v>90.115258522941716</v>
      </c>
      <c r="P262" s="1">
        <v>101.43678474414655</v>
      </c>
      <c r="Q262" s="1">
        <v>191.55204326708827</v>
      </c>
      <c r="R262" s="1">
        <v>0.47044791058318602</v>
      </c>
      <c r="S262" s="1">
        <v>0.52955208941681398</v>
      </c>
      <c r="T262" s="19"/>
      <c r="U262" s="1">
        <v>0.57113379814621013</v>
      </c>
      <c r="V262" s="1">
        <v>0.42886620185378982</v>
      </c>
      <c r="W262" s="1">
        <v>0.52575000000000005</v>
      </c>
      <c r="X262" s="1">
        <v>0.47425</v>
      </c>
      <c r="Y262" s="17"/>
      <c r="Z262" s="12">
        <v>-0.45383798146210075</v>
      </c>
      <c r="AA262" s="12">
        <v>0.45383798146210186</v>
      </c>
      <c r="AB262" s="12">
        <v>-0.23070558870005253</v>
      </c>
      <c r="AC262" s="12">
        <v>-0.22313239276204816</v>
      </c>
      <c r="AD262" s="12">
        <v>0.24033085133996532</v>
      </c>
      <c r="AE262" s="12">
        <v>0.21350713012213654</v>
      </c>
      <c r="AF262" s="17"/>
      <c r="AG262">
        <v>260</v>
      </c>
      <c r="AH262">
        <v>22</v>
      </c>
      <c r="AI262">
        <v>41</v>
      </c>
      <c r="AJ262">
        <v>16</v>
      </c>
      <c r="AK262">
        <v>46</v>
      </c>
    </row>
    <row r="263" spans="1:37" x14ac:dyDescent="0.25">
      <c r="A263">
        <v>261</v>
      </c>
      <c r="B263" t="s">
        <v>210</v>
      </c>
      <c r="C263" t="s">
        <v>212</v>
      </c>
      <c r="D263" t="s">
        <v>231</v>
      </c>
      <c r="E263" t="s">
        <v>230</v>
      </c>
      <c r="F263">
        <v>9</v>
      </c>
      <c r="G263">
        <v>10</v>
      </c>
      <c r="H263" s="17"/>
      <c r="I263" s="1">
        <v>100.30583510611814</v>
      </c>
      <c r="J263" s="1">
        <v>92.748458137533518</v>
      </c>
      <c r="K263" s="1">
        <v>193.05429324365167</v>
      </c>
      <c r="L263" s="1">
        <v>0.51957319063359686</v>
      </c>
      <c r="M263" s="1">
        <v>0.48042680936640308</v>
      </c>
      <c r="N263" s="19"/>
      <c r="O263" s="1">
        <v>101.46470220608357</v>
      </c>
      <c r="P263" s="1">
        <v>89.124366469803178</v>
      </c>
      <c r="Q263" s="1">
        <v>190.58906867588675</v>
      </c>
      <c r="R263" s="1">
        <v>0.53237419601767977</v>
      </c>
      <c r="S263" s="1">
        <v>0.46762580398232018</v>
      </c>
      <c r="T263" s="19"/>
      <c r="U263" s="1">
        <v>0.52835150240937978</v>
      </c>
      <c r="V263" s="1">
        <v>0.47164849759062027</v>
      </c>
      <c r="W263" s="1">
        <v>0.47425</v>
      </c>
      <c r="X263" s="1">
        <v>0.52575000000000005</v>
      </c>
      <c r="Y263" s="17"/>
      <c r="Z263" s="12">
        <v>-0.54101502409379776</v>
      </c>
      <c r="AA263" s="12">
        <v>0.54101502409379776</v>
      </c>
      <c r="AB263" s="12">
        <v>-0.28109690224912676</v>
      </c>
      <c r="AC263" s="12">
        <v>-0.25991812184467095</v>
      </c>
      <c r="AD263" s="12">
        <v>0.25299258560837651</v>
      </c>
      <c r="AE263" s="12">
        <v>0.28802243848542125</v>
      </c>
      <c r="AF263" s="17"/>
      <c r="AG263">
        <v>261</v>
      </c>
      <c r="AH263">
        <v>22</v>
      </c>
      <c r="AI263">
        <v>26</v>
      </c>
      <c r="AJ263">
        <v>38</v>
      </c>
      <c r="AK263">
        <v>31</v>
      </c>
    </row>
    <row r="264" spans="1:37" x14ac:dyDescent="0.25">
      <c r="A264">
        <v>262</v>
      </c>
      <c r="B264" t="s">
        <v>210</v>
      </c>
      <c r="C264" t="s">
        <v>212</v>
      </c>
      <c r="D264" t="s">
        <v>231</v>
      </c>
      <c r="E264" t="s">
        <v>230</v>
      </c>
      <c r="F264">
        <v>7</v>
      </c>
      <c r="G264">
        <v>10</v>
      </c>
      <c r="H264" s="17"/>
      <c r="I264" s="1">
        <v>100.02473820386901</v>
      </c>
      <c r="J264" s="1">
        <v>92.488540015688841</v>
      </c>
      <c r="K264" s="1">
        <v>192.51327821955783</v>
      </c>
      <c r="L264" s="1">
        <v>0.51957319063359697</v>
      </c>
      <c r="M264" s="1">
        <v>0.48042680936640314</v>
      </c>
      <c r="N264" s="19"/>
      <c r="O264" s="1">
        <v>101.71769479169195</v>
      </c>
      <c r="P264" s="1">
        <v>89.412388908288605</v>
      </c>
      <c r="Q264" s="1">
        <v>191.13008369998056</v>
      </c>
      <c r="R264" s="1">
        <v>0.5321909184707917</v>
      </c>
      <c r="S264" s="1">
        <v>0.46780908152920825</v>
      </c>
      <c r="T264" s="19"/>
      <c r="U264" s="1">
        <v>0.5159192330886696</v>
      </c>
      <c r="V264" s="1">
        <v>0.48408076691133034</v>
      </c>
      <c r="W264" s="1">
        <v>0.40475</v>
      </c>
      <c r="X264" s="1">
        <v>0.59525000000000006</v>
      </c>
      <c r="Y264" s="17"/>
      <c r="Z264" s="12">
        <v>-1.1116923308866959</v>
      </c>
      <c r="AA264" s="12">
        <v>1.1116923308866973</v>
      </c>
      <c r="AB264" s="12">
        <v>-0.57760553136170101</v>
      </c>
      <c r="AC264" s="12">
        <v>-0.53408679952499505</v>
      </c>
      <c r="AD264" s="12">
        <v>0.52005976825517053</v>
      </c>
      <c r="AE264" s="12">
        <v>0.59163256263152686</v>
      </c>
      <c r="AF264" s="17"/>
      <c r="AG264">
        <v>262</v>
      </c>
      <c r="AH264">
        <v>22</v>
      </c>
      <c r="AI264">
        <v>26</v>
      </c>
      <c r="AJ264">
        <v>38</v>
      </c>
      <c r="AK264">
        <v>31</v>
      </c>
    </row>
    <row r="265" spans="1:37" x14ac:dyDescent="0.25">
      <c r="A265">
        <v>263</v>
      </c>
      <c r="B265" t="s">
        <v>210</v>
      </c>
      <c r="C265" t="s">
        <v>231</v>
      </c>
      <c r="D265" t="s">
        <v>222</v>
      </c>
      <c r="E265" t="s">
        <v>192</v>
      </c>
      <c r="F265">
        <v>10</v>
      </c>
      <c r="G265">
        <v>9</v>
      </c>
      <c r="H265" s="17"/>
      <c r="I265" s="1">
        <v>99.447132672507308</v>
      </c>
      <c r="J265" s="1">
        <v>102.23775455994712</v>
      </c>
      <c r="K265" s="1">
        <v>201.68488723245443</v>
      </c>
      <c r="L265" s="1">
        <v>0.49308172782370291</v>
      </c>
      <c r="M265" s="1">
        <v>0.50691827217629715</v>
      </c>
      <c r="N265" s="19"/>
      <c r="O265" s="1">
        <v>91.43196062260661</v>
      </c>
      <c r="P265" s="1">
        <v>114.02034665253744</v>
      </c>
      <c r="Q265" s="1">
        <v>205.45230727514405</v>
      </c>
      <c r="R265" s="1">
        <v>0.44502766522918574</v>
      </c>
      <c r="S265" s="1">
        <v>0.5549723347708142</v>
      </c>
      <c r="T265" s="19"/>
      <c r="U265" s="1">
        <v>0.45673444711323591</v>
      </c>
      <c r="V265" s="1">
        <v>0.54326555288676404</v>
      </c>
      <c r="W265" s="1">
        <v>0.52575000000000005</v>
      </c>
      <c r="X265" s="1">
        <v>0.47425</v>
      </c>
      <c r="Y265" s="17"/>
      <c r="Z265" s="12">
        <v>0.69015552886764142</v>
      </c>
      <c r="AA265" s="12">
        <v>-0.69015552886764031</v>
      </c>
      <c r="AB265" s="12">
        <v>0.3498524482265033</v>
      </c>
      <c r="AC265" s="12">
        <v>0.34030308064113807</v>
      </c>
      <c r="AD265" s="12">
        <v>-0.30713830365697986</v>
      </c>
      <c r="AE265" s="12">
        <v>-0.38301722521066039</v>
      </c>
      <c r="AF265" s="17"/>
      <c r="AG265">
        <v>263</v>
      </c>
      <c r="AH265">
        <v>22</v>
      </c>
      <c r="AI265">
        <v>38</v>
      </c>
      <c r="AJ265">
        <v>37</v>
      </c>
      <c r="AK265">
        <v>5</v>
      </c>
    </row>
    <row r="266" spans="1:37" x14ac:dyDescent="0.25">
      <c r="A266">
        <v>264</v>
      </c>
      <c r="B266" t="s">
        <v>210</v>
      </c>
      <c r="C266" t="s">
        <v>231</v>
      </c>
      <c r="D266" t="s">
        <v>222</v>
      </c>
      <c r="E266" t="s">
        <v>192</v>
      </c>
      <c r="F266">
        <v>10</v>
      </c>
      <c r="G266">
        <v>4</v>
      </c>
      <c r="H266" s="17"/>
      <c r="I266" s="1">
        <v>99.796985120733808</v>
      </c>
      <c r="J266" s="1">
        <v>102.57805764058826</v>
      </c>
      <c r="K266" s="1">
        <v>202.37504276132205</v>
      </c>
      <c r="L266" s="1">
        <v>0.49312891431199257</v>
      </c>
      <c r="M266" s="1">
        <v>0.50687108568800754</v>
      </c>
      <c r="N266" s="19"/>
      <c r="O266" s="1">
        <v>91.124822318949626</v>
      </c>
      <c r="P266" s="1">
        <v>113.63732942732678</v>
      </c>
      <c r="Q266" s="1">
        <v>204.7621517462764</v>
      </c>
      <c r="R266" s="1">
        <v>0.44502766522918574</v>
      </c>
      <c r="S266" s="1">
        <v>0.5549723347708142</v>
      </c>
      <c r="T266" s="19"/>
      <c r="U266" s="1">
        <v>0.47254503536257403</v>
      </c>
      <c r="V266" s="1">
        <v>0.52745496463742592</v>
      </c>
      <c r="W266" s="1">
        <v>0.81200000000000006</v>
      </c>
      <c r="X266" s="1">
        <v>0.18799999999999994</v>
      </c>
      <c r="Y266" s="17"/>
      <c r="Z266" s="12">
        <v>3.3945496463742604</v>
      </c>
      <c r="AA266" s="12">
        <v>-3.3945496463742595</v>
      </c>
      <c r="AB266" s="12">
        <v>1.720599064679563</v>
      </c>
      <c r="AC266" s="12">
        <v>1.6739505816946969</v>
      </c>
      <c r="AD266" s="12">
        <v>-1.5106685036304948</v>
      </c>
      <c r="AE266" s="12">
        <v>-1.8838811427437645</v>
      </c>
      <c r="AF266" s="17"/>
      <c r="AG266">
        <v>264</v>
      </c>
      <c r="AH266">
        <v>22</v>
      </c>
      <c r="AI266">
        <v>38</v>
      </c>
      <c r="AJ266">
        <v>37</v>
      </c>
      <c r="AK266">
        <v>5</v>
      </c>
    </row>
    <row r="267" spans="1:37" x14ac:dyDescent="0.25">
      <c r="A267">
        <v>265</v>
      </c>
      <c r="B267" t="s">
        <v>210</v>
      </c>
      <c r="C267" t="s">
        <v>192</v>
      </c>
      <c r="D267" t="s">
        <v>225</v>
      </c>
      <c r="E267" t="s">
        <v>204</v>
      </c>
      <c r="F267">
        <v>10</v>
      </c>
      <c r="G267">
        <v>4</v>
      </c>
      <c r="H267" s="17"/>
      <c r="I267" s="1">
        <v>101.51758418541337</v>
      </c>
      <c r="J267" s="1">
        <v>111.75344828458302</v>
      </c>
      <c r="K267" s="1">
        <v>213.27103246999638</v>
      </c>
      <c r="L267" s="1">
        <v>0.47600268545469332</v>
      </c>
      <c r="M267" s="1">
        <v>0.52399731454530674</v>
      </c>
      <c r="N267" s="19"/>
      <c r="O267" s="1">
        <v>97.013172161695834</v>
      </c>
      <c r="P267" s="1">
        <v>90.355589374281678</v>
      </c>
      <c r="Q267" s="1">
        <v>187.36876153597751</v>
      </c>
      <c r="R267" s="1">
        <v>0.51776598919915418</v>
      </c>
      <c r="S267" s="1">
        <v>0.48223401080084577</v>
      </c>
      <c r="T267" s="19"/>
      <c r="U267" s="1">
        <v>0.76724926447526709</v>
      </c>
      <c r="V267" s="1">
        <v>0.23275073552473288</v>
      </c>
      <c r="W267" s="1">
        <v>0.81200000000000006</v>
      </c>
      <c r="X267" s="1">
        <v>0.18799999999999994</v>
      </c>
      <c r="Y267" s="17"/>
      <c r="Z267" s="12">
        <v>0.44750735524732965</v>
      </c>
      <c r="AA267" s="12">
        <v>-0.44750735524732937</v>
      </c>
      <c r="AB267" s="12">
        <v>0.23449265238887332</v>
      </c>
      <c r="AC267" s="12">
        <v>0.21301470285845633</v>
      </c>
      <c r="AD267" s="12">
        <v>-0.2317040884635308</v>
      </c>
      <c r="AE267" s="12">
        <v>-0.21580326678379855</v>
      </c>
      <c r="AF267" s="17"/>
      <c r="AG267">
        <v>265</v>
      </c>
      <c r="AH267">
        <v>22</v>
      </c>
      <c r="AI267">
        <v>5</v>
      </c>
      <c r="AJ267">
        <v>41</v>
      </c>
      <c r="AK267">
        <v>16</v>
      </c>
    </row>
    <row r="268" spans="1:37" x14ac:dyDescent="0.25">
      <c r="A268">
        <v>266</v>
      </c>
      <c r="B268" t="s">
        <v>210</v>
      </c>
      <c r="C268" t="s">
        <v>192</v>
      </c>
      <c r="D268" t="s">
        <v>225</v>
      </c>
      <c r="E268" t="s">
        <v>204</v>
      </c>
      <c r="F268">
        <v>10</v>
      </c>
      <c r="G268">
        <v>5</v>
      </c>
      <c r="H268" s="17"/>
      <c r="I268" s="1">
        <v>101.75207683780225</v>
      </c>
      <c r="J268" s="1">
        <v>111.96646298744147</v>
      </c>
      <c r="K268" s="1">
        <v>213.71853982524374</v>
      </c>
      <c r="L268" s="1">
        <v>0.47610318188119882</v>
      </c>
      <c r="M268" s="1">
        <v>0.52389681811880118</v>
      </c>
      <c r="N268" s="19"/>
      <c r="O268" s="1">
        <v>96.781468073232304</v>
      </c>
      <c r="P268" s="1">
        <v>90.139786107497883</v>
      </c>
      <c r="Q268" s="1">
        <v>186.92125418073019</v>
      </c>
      <c r="R268" s="1">
        <v>0.51776598919915418</v>
      </c>
      <c r="S268" s="1">
        <v>0.48223401080084577</v>
      </c>
      <c r="T268" s="19"/>
      <c r="U268" s="1">
        <v>0.77452848553806386</v>
      </c>
      <c r="V268" s="1">
        <v>0.22547151446193606</v>
      </c>
      <c r="W268" s="1">
        <v>0.71875</v>
      </c>
      <c r="X268" s="1">
        <v>0.28125</v>
      </c>
      <c r="Y268" s="17"/>
      <c r="Z268" s="12">
        <v>-0.5577848553806386</v>
      </c>
      <c r="AA268" s="12">
        <v>0.55778485538063949</v>
      </c>
      <c r="AB268" s="12">
        <v>-0.26556314445186635</v>
      </c>
      <c r="AC268" s="12">
        <v>-0.29222171092877225</v>
      </c>
      <c r="AD268" s="12">
        <v>0.26898282797417555</v>
      </c>
      <c r="AE268" s="12">
        <v>0.28880202740646393</v>
      </c>
      <c r="AF268" s="17"/>
      <c r="AG268">
        <v>266</v>
      </c>
      <c r="AH268">
        <v>22</v>
      </c>
      <c r="AI268">
        <v>5</v>
      </c>
      <c r="AJ268">
        <v>41</v>
      </c>
      <c r="AK268">
        <v>16</v>
      </c>
    </row>
    <row r="269" spans="1:37" x14ac:dyDescent="0.25">
      <c r="A269">
        <v>267</v>
      </c>
      <c r="B269" t="s">
        <v>222</v>
      </c>
      <c r="C269" t="s">
        <v>231</v>
      </c>
      <c r="D269" t="s">
        <v>196</v>
      </c>
      <c r="E269" t="s">
        <v>230</v>
      </c>
      <c r="F269">
        <v>10</v>
      </c>
      <c r="G269">
        <v>9</v>
      </c>
      <c r="H269" s="17"/>
      <c r="I269" s="1">
        <v>89.614153815319128</v>
      </c>
      <c r="J269" s="1">
        <v>104.25200822228295</v>
      </c>
      <c r="K269" s="1">
        <v>193.86616203760207</v>
      </c>
      <c r="L269" s="1">
        <v>0.46224752619767479</v>
      </c>
      <c r="M269" s="1">
        <v>0.53775247380232527</v>
      </c>
      <c r="N269" s="19"/>
      <c r="O269" s="1">
        <v>94.751934852087658</v>
      </c>
      <c r="P269" s="1">
        <v>90.004021470920136</v>
      </c>
      <c r="Q269" s="1">
        <v>184.75595632300781</v>
      </c>
      <c r="R269" s="1">
        <v>0.51284914834590434</v>
      </c>
      <c r="S269" s="1">
        <v>0.48715085165409555</v>
      </c>
      <c r="T269" s="19"/>
      <c r="U269" s="1">
        <v>0.60337328492744613</v>
      </c>
      <c r="V269" s="1">
        <v>0.39662671507255387</v>
      </c>
      <c r="W269" s="1">
        <v>0.52575000000000005</v>
      </c>
      <c r="X269" s="1">
        <v>0.47425</v>
      </c>
      <c r="Y269" s="17"/>
      <c r="Z269" s="12">
        <v>-0.77623284927446079</v>
      </c>
      <c r="AA269" s="12">
        <v>0.77623284927446135</v>
      </c>
      <c r="AB269" s="12">
        <v>-0.35881171433049208</v>
      </c>
      <c r="AC269" s="12">
        <v>-0.41742113494396876</v>
      </c>
      <c r="AD269" s="12">
        <v>0.3781424936059391</v>
      </c>
      <c r="AE269" s="12">
        <v>0.3980903556685223</v>
      </c>
      <c r="AF269" s="17"/>
      <c r="AG269">
        <v>267</v>
      </c>
      <c r="AH269">
        <v>37</v>
      </c>
      <c r="AI269">
        <v>38</v>
      </c>
      <c r="AJ269">
        <v>9</v>
      </c>
      <c r="AK269">
        <v>31</v>
      </c>
    </row>
    <row r="270" spans="1:37" x14ac:dyDescent="0.25">
      <c r="A270">
        <v>268</v>
      </c>
      <c r="B270" t="s">
        <v>222</v>
      </c>
      <c r="C270" t="s">
        <v>231</v>
      </c>
      <c r="D270" t="s">
        <v>196</v>
      </c>
      <c r="E270" t="s">
        <v>230</v>
      </c>
      <c r="F270">
        <v>10</v>
      </c>
      <c r="G270">
        <v>6</v>
      </c>
      <c r="H270" s="17"/>
      <c r="I270" s="1">
        <v>89.255342100988642</v>
      </c>
      <c r="J270" s="1">
        <v>103.83458708733899</v>
      </c>
      <c r="K270" s="1">
        <v>193.08992918832763</v>
      </c>
      <c r="L270" s="1">
        <v>0.46224752619767479</v>
      </c>
      <c r="M270" s="1">
        <v>0.53775247380232527</v>
      </c>
      <c r="N270" s="19"/>
      <c r="O270" s="1">
        <v>95.130077345693593</v>
      </c>
      <c r="P270" s="1">
        <v>90.402111826588666</v>
      </c>
      <c r="Q270" s="1">
        <v>185.53218917228224</v>
      </c>
      <c r="R270" s="1">
        <v>0.51274163135841244</v>
      </c>
      <c r="S270" s="1">
        <v>0.48725836864158756</v>
      </c>
      <c r="T270" s="19"/>
      <c r="U270" s="1">
        <v>0.58614385057324558</v>
      </c>
      <c r="V270" s="1">
        <v>0.41385614942675442</v>
      </c>
      <c r="W270" s="1">
        <v>0.64800000000000002</v>
      </c>
      <c r="X270" s="1">
        <v>0.35199999999999998</v>
      </c>
      <c r="Y270" s="17"/>
      <c r="Z270" s="12">
        <v>0.61856149426754437</v>
      </c>
      <c r="AA270" s="12">
        <v>-0.61856149426754437</v>
      </c>
      <c r="AB270" s="12">
        <v>0.33263297374123474</v>
      </c>
      <c r="AC270" s="12">
        <v>0.28592852052630952</v>
      </c>
      <c r="AD270" s="12">
        <v>-0.31716222966623797</v>
      </c>
      <c r="AE270" s="12">
        <v>-0.30139926460130639</v>
      </c>
      <c r="AF270" s="17"/>
      <c r="AG270">
        <v>268</v>
      </c>
      <c r="AH270">
        <v>37</v>
      </c>
      <c r="AI270">
        <v>38</v>
      </c>
      <c r="AJ270">
        <v>9</v>
      </c>
      <c r="AK270">
        <v>31</v>
      </c>
    </row>
    <row r="271" spans="1:37" x14ac:dyDescent="0.25">
      <c r="A271">
        <v>269</v>
      </c>
      <c r="B271" t="s">
        <v>198</v>
      </c>
      <c r="C271" t="s">
        <v>225</v>
      </c>
      <c r="D271" t="s">
        <v>208</v>
      </c>
      <c r="E271" t="s">
        <v>195</v>
      </c>
      <c r="F271">
        <v>6</v>
      </c>
      <c r="G271">
        <v>2</v>
      </c>
      <c r="H271" s="17"/>
      <c r="I271" s="1">
        <v>106.26521829857197</v>
      </c>
      <c r="J271" s="1">
        <v>97.050450901206474</v>
      </c>
      <c r="K271" s="1">
        <v>203.31566919977843</v>
      </c>
      <c r="L271" s="1">
        <v>0.52266123273634912</v>
      </c>
      <c r="M271" s="1">
        <v>0.47733876726365093</v>
      </c>
      <c r="N271" s="19"/>
      <c r="O271" s="1">
        <v>106.09502869705604</v>
      </c>
      <c r="P271" s="1">
        <v>100.79779325216231</v>
      </c>
      <c r="Q271" s="1">
        <v>206.89282194921833</v>
      </c>
      <c r="R271" s="1">
        <v>0.5128018831078488</v>
      </c>
      <c r="S271" s="1">
        <v>0.48719811689215126</v>
      </c>
      <c r="T271" s="19"/>
      <c r="U271" s="1">
        <v>0.4589093889741846</v>
      </c>
      <c r="V271" s="1">
        <v>0.54109061102581535</v>
      </c>
      <c r="W271" s="1">
        <v>0.64800000000000002</v>
      </c>
      <c r="X271" s="1">
        <v>0.35199999999999998</v>
      </c>
      <c r="Y271" s="17"/>
      <c r="Z271" s="12">
        <v>1.8909061102581544</v>
      </c>
      <c r="AA271" s="12">
        <v>-1.8909061102581537</v>
      </c>
      <c r="AB271" s="12">
        <v>0.90260279168193247</v>
      </c>
      <c r="AC271" s="12">
        <v>0.98830331857622189</v>
      </c>
      <c r="AD271" s="12">
        <v>-0.96966021412051884</v>
      </c>
      <c r="AE271" s="12">
        <v>-0.92124589613763497</v>
      </c>
      <c r="AF271" s="17"/>
      <c r="AG271">
        <v>269</v>
      </c>
      <c r="AH271">
        <v>10</v>
      </c>
      <c r="AI271">
        <v>41</v>
      </c>
      <c r="AJ271">
        <v>20</v>
      </c>
      <c r="AK271">
        <v>8</v>
      </c>
    </row>
    <row r="272" spans="1:37" x14ac:dyDescent="0.25">
      <c r="A272">
        <v>270</v>
      </c>
      <c r="B272" t="s">
        <v>198</v>
      </c>
      <c r="C272" t="s">
        <v>225</v>
      </c>
      <c r="D272" t="s">
        <v>208</v>
      </c>
      <c r="E272" t="s">
        <v>195</v>
      </c>
      <c r="F272">
        <v>2</v>
      </c>
      <c r="G272">
        <v>6</v>
      </c>
      <c r="H272" s="17"/>
      <c r="I272" s="1">
        <v>107.1678210902539</v>
      </c>
      <c r="J272" s="1">
        <v>98.038754219782703</v>
      </c>
      <c r="K272" s="1">
        <v>205.20657531003661</v>
      </c>
      <c r="L272" s="1">
        <v>0.52224360222541244</v>
      </c>
      <c r="M272" s="1">
        <v>0.4777563977745875</v>
      </c>
      <c r="N272" s="19"/>
      <c r="O272" s="1">
        <v>105.12536848293551</v>
      </c>
      <c r="P272" s="1">
        <v>99.876547356024673</v>
      </c>
      <c r="Q272" s="1">
        <v>205.0019158389602</v>
      </c>
      <c r="R272" s="1">
        <v>0.51280188310784869</v>
      </c>
      <c r="S272" s="1">
        <v>0.4871981168921512</v>
      </c>
      <c r="T272" s="19"/>
      <c r="U272" s="1">
        <v>0.5023562117945557</v>
      </c>
      <c r="V272" s="1">
        <v>0.4976437882054443</v>
      </c>
      <c r="W272" s="1">
        <v>0.35199999999999998</v>
      </c>
      <c r="X272" s="1">
        <v>0.64800000000000002</v>
      </c>
      <c r="Y272" s="17"/>
      <c r="Z272" s="12">
        <v>-1.5035621179455572</v>
      </c>
      <c r="AA272" s="12">
        <v>1.5035621179455572</v>
      </c>
      <c r="AB272" s="12">
        <v>-0.78522569664555819</v>
      </c>
      <c r="AC272" s="12">
        <v>-0.71833642129999886</v>
      </c>
      <c r="AD272" s="12">
        <v>0.73253263249345013</v>
      </c>
      <c r="AE272" s="12">
        <v>0.77102948545210714</v>
      </c>
      <c r="AF272" s="17"/>
      <c r="AG272">
        <v>270</v>
      </c>
      <c r="AH272">
        <v>10</v>
      </c>
      <c r="AI272">
        <v>41</v>
      </c>
      <c r="AJ272">
        <v>20</v>
      </c>
      <c r="AK272">
        <v>8</v>
      </c>
    </row>
    <row r="273" spans="1:37" x14ac:dyDescent="0.25">
      <c r="A273">
        <v>271</v>
      </c>
      <c r="B273" t="s">
        <v>208</v>
      </c>
      <c r="C273" t="s">
        <v>225</v>
      </c>
      <c r="D273" t="s">
        <v>231</v>
      </c>
      <c r="E273" t="s">
        <v>196</v>
      </c>
      <c r="F273">
        <v>10</v>
      </c>
      <c r="G273">
        <v>5</v>
      </c>
      <c r="H273" s="17"/>
      <c r="I273" s="1">
        <v>105.85790111542896</v>
      </c>
      <c r="J273" s="1">
        <v>97.320417798482708</v>
      </c>
      <c r="K273" s="1">
        <v>203.17831891391165</v>
      </c>
      <c r="L273" s="1">
        <v>0.5210098286140552</v>
      </c>
      <c r="M273" s="1">
        <v>0.47899017138594485</v>
      </c>
      <c r="N273" s="19"/>
      <c r="O273" s="1">
        <v>104.1205156078653</v>
      </c>
      <c r="P273" s="1">
        <v>94.812915116027355</v>
      </c>
      <c r="Q273" s="1">
        <v>198.93343072389266</v>
      </c>
      <c r="R273" s="1">
        <v>0.52339375653948361</v>
      </c>
      <c r="S273" s="1">
        <v>0.47660624346051639</v>
      </c>
      <c r="T273" s="19"/>
      <c r="U273" s="1">
        <v>0.54871604332285817</v>
      </c>
      <c r="V273" s="1">
        <v>0.45128395667714183</v>
      </c>
      <c r="W273" s="1">
        <v>0.71875</v>
      </c>
      <c r="X273" s="1">
        <v>0.28125</v>
      </c>
      <c r="Y273" s="17"/>
      <c r="Z273" s="12">
        <v>1.7003395667714183</v>
      </c>
      <c r="AA273" s="12">
        <v>-1.7003395667714183</v>
      </c>
      <c r="AB273" s="12">
        <v>0.81444594050214481</v>
      </c>
      <c r="AC273" s="12">
        <v>0.88589362626927348</v>
      </c>
      <c r="AD273" s="12">
        <v>-0.8899471132452107</v>
      </c>
      <c r="AE273" s="12">
        <v>-0.81039245352620759</v>
      </c>
      <c r="AF273" s="17"/>
      <c r="AG273">
        <v>271</v>
      </c>
      <c r="AH273">
        <v>20</v>
      </c>
      <c r="AI273">
        <v>41</v>
      </c>
      <c r="AJ273">
        <v>38</v>
      </c>
      <c r="AK273">
        <v>9</v>
      </c>
    </row>
    <row r="274" spans="1:37" x14ac:dyDescent="0.25">
      <c r="A274">
        <v>272</v>
      </c>
      <c r="B274" t="s">
        <v>208</v>
      </c>
      <c r="C274" t="s">
        <v>225</v>
      </c>
      <c r="D274" t="s">
        <v>231</v>
      </c>
      <c r="E274" t="s">
        <v>196</v>
      </c>
      <c r="F274">
        <v>10</v>
      </c>
      <c r="G274">
        <v>5</v>
      </c>
      <c r="H274" s="17"/>
      <c r="I274" s="1">
        <v>106.6723470559311</v>
      </c>
      <c r="J274" s="1">
        <v>98.206311424751988</v>
      </c>
      <c r="K274" s="1">
        <v>204.8786584806831</v>
      </c>
      <c r="L274" s="1">
        <v>0.52066109689989337</v>
      </c>
      <c r="M274" s="1">
        <v>0.47933890310010657</v>
      </c>
      <c r="N274" s="19"/>
      <c r="O274" s="1">
        <v>103.23056849462009</v>
      </c>
      <c r="P274" s="1">
        <v>94.00252266250115</v>
      </c>
      <c r="Q274" s="1">
        <v>197.23309115712124</v>
      </c>
      <c r="R274" s="1">
        <v>0.52339375653948361</v>
      </c>
      <c r="S274" s="1">
        <v>0.47660624346051639</v>
      </c>
      <c r="T274" s="19"/>
      <c r="U274" s="1">
        <v>0.58712464276100806</v>
      </c>
      <c r="V274" s="1">
        <v>0.41287535723899194</v>
      </c>
      <c r="W274" s="1">
        <v>0.71875</v>
      </c>
      <c r="X274" s="1">
        <v>0.28125</v>
      </c>
      <c r="Y274" s="17"/>
      <c r="Z274" s="12">
        <v>1.3162535723899194</v>
      </c>
      <c r="AA274" s="12">
        <v>-1.3162535723899194</v>
      </c>
      <c r="AB274" s="12">
        <v>0.63093154359098069</v>
      </c>
      <c r="AC274" s="12">
        <v>0.68532202879893878</v>
      </c>
      <c r="AD274" s="12">
        <v>-0.68891890181167503</v>
      </c>
      <c r="AE274" s="12">
        <v>-0.62733467057824432</v>
      </c>
      <c r="AF274" s="17"/>
      <c r="AG274">
        <v>272</v>
      </c>
      <c r="AH274">
        <v>20</v>
      </c>
      <c r="AI274">
        <v>41</v>
      </c>
      <c r="AJ274">
        <v>38</v>
      </c>
      <c r="AK274">
        <v>9</v>
      </c>
    </row>
    <row r="275" spans="1:37" x14ac:dyDescent="0.25">
      <c r="A275">
        <v>273</v>
      </c>
      <c r="B275" t="s">
        <v>209</v>
      </c>
      <c r="C275" t="s">
        <v>222</v>
      </c>
      <c r="D275" t="s">
        <v>192</v>
      </c>
      <c r="E275" t="s">
        <v>213</v>
      </c>
      <c r="F275">
        <v>6</v>
      </c>
      <c r="G275">
        <v>4</v>
      </c>
      <c r="H275" s="17"/>
      <c r="I275" s="1">
        <v>99.563140677786066</v>
      </c>
      <c r="J275" s="1">
        <v>89.587975074729883</v>
      </c>
      <c r="K275" s="1">
        <v>189.15111575251595</v>
      </c>
      <c r="L275" s="1">
        <v>0.52636824415063888</v>
      </c>
      <c r="M275" s="1">
        <v>0.47363175584936112</v>
      </c>
      <c r="N275" s="19"/>
      <c r="O275" s="1">
        <v>111.6742412765127</v>
      </c>
      <c r="P275" s="1">
        <v>98.079693506275504</v>
      </c>
      <c r="Q275" s="1">
        <v>209.75393478278821</v>
      </c>
      <c r="R275" s="1">
        <v>0.53240594219201443</v>
      </c>
      <c r="S275" s="1">
        <v>0.46759405780798557</v>
      </c>
      <c r="T275" s="19"/>
      <c r="U275" s="1">
        <v>0.27912724602322542</v>
      </c>
      <c r="V275" s="1">
        <v>0.72087275397677453</v>
      </c>
      <c r="W275" s="1">
        <v>0.55600000000000005</v>
      </c>
      <c r="X275" s="1">
        <v>0.44400000000000001</v>
      </c>
      <c r="Y275" s="17"/>
      <c r="Z275" s="12">
        <v>2.7687275397677462</v>
      </c>
      <c r="AA275" s="12">
        <v>-2.7687275397677453</v>
      </c>
      <c r="AB275" s="12">
        <v>1.3113572861286795</v>
      </c>
      <c r="AC275" s="12">
        <v>1.4573702536390667</v>
      </c>
      <c r="AD275" s="12">
        <v>-1.4740869944830246</v>
      </c>
      <c r="AE275" s="12">
        <v>-1.2946405452847207</v>
      </c>
      <c r="AF275" s="17"/>
      <c r="AG275">
        <v>273</v>
      </c>
      <c r="AH275">
        <v>21</v>
      </c>
      <c r="AI275">
        <v>37</v>
      </c>
      <c r="AJ275">
        <v>5</v>
      </c>
      <c r="AK275">
        <v>27</v>
      </c>
    </row>
    <row r="276" spans="1:37" x14ac:dyDescent="0.25">
      <c r="A276">
        <v>274</v>
      </c>
      <c r="B276" t="s">
        <v>209</v>
      </c>
      <c r="C276" t="s">
        <v>222</v>
      </c>
      <c r="D276" t="s">
        <v>192</v>
      </c>
      <c r="E276" t="s">
        <v>213</v>
      </c>
      <c r="F276">
        <v>2</v>
      </c>
      <c r="G276">
        <v>6</v>
      </c>
      <c r="H276" s="17"/>
      <c r="I276" s="1">
        <v>100.87449796391475</v>
      </c>
      <c r="J276" s="1">
        <v>91.045345328368953</v>
      </c>
      <c r="K276" s="1">
        <v>191.9198432922837</v>
      </c>
      <c r="L276" s="1">
        <v>0.52560744232313827</v>
      </c>
      <c r="M276" s="1">
        <v>0.47439255767686167</v>
      </c>
      <c r="N276" s="19"/>
      <c r="O276" s="1">
        <v>110.20015428202967</v>
      </c>
      <c r="P276" s="1">
        <v>96.785052960990782</v>
      </c>
      <c r="Q276" s="1">
        <v>206.98520724302045</v>
      </c>
      <c r="R276" s="1">
        <v>0.53240594219201443</v>
      </c>
      <c r="S276" s="1">
        <v>0.46759405780798557</v>
      </c>
      <c r="T276" s="19"/>
      <c r="U276" s="1">
        <v>0.33319146654329196</v>
      </c>
      <c r="V276" s="1">
        <v>0.6668085334567081</v>
      </c>
      <c r="W276" s="1">
        <v>0.35199999999999998</v>
      </c>
      <c r="X276" s="1">
        <v>0.64800000000000002</v>
      </c>
      <c r="Y276" s="17"/>
      <c r="Z276" s="12">
        <v>0.18808533456708021</v>
      </c>
      <c r="AA276" s="12">
        <v>-0.18808533456708076</v>
      </c>
      <c r="AB276" s="12">
        <v>8.922628292678543E-2</v>
      </c>
      <c r="AC276" s="12">
        <v>9.8859051640294779E-2</v>
      </c>
      <c r="AD276" s="12">
        <v>-0.1001377497626869</v>
      </c>
      <c r="AE276" s="12">
        <v>-8.7947584804393866E-2</v>
      </c>
      <c r="AF276" s="17"/>
      <c r="AG276">
        <v>274</v>
      </c>
      <c r="AH276">
        <v>21</v>
      </c>
      <c r="AI276">
        <v>37</v>
      </c>
      <c r="AJ276">
        <v>5</v>
      </c>
      <c r="AK276">
        <v>27</v>
      </c>
    </row>
    <row r="277" spans="1:37" x14ac:dyDescent="0.25">
      <c r="A277">
        <v>275</v>
      </c>
      <c r="B277" t="s">
        <v>227</v>
      </c>
      <c r="C277" t="s">
        <v>225</v>
      </c>
      <c r="D277" t="s">
        <v>210</v>
      </c>
      <c r="E277" t="s">
        <v>204</v>
      </c>
      <c r="F277">
        <v>10</v>
      </c>
      <c r="G277">
        <v>3</v>
      </c>
      <c r="H277" s="17"/>
      <c r="I277" s="1">
        <v>101.65029187426869</v>
      </c>
      <c r="J277" s="1">
        <v>98.891633453550924</v>
      </c>
      <c r="K277" s="1">
        <v>200.54192532781963</v>
      </c>
      <c r="L277" s="1">
        <v>0.50687800921480197</v>
      </c>
      <c r="M277" s="1">
        <v>0.49312199078519792</v>
      </c>
      <c r="N277" s="19"/>
      <c r="O277" s="1">
        <v>101.48651369335039</v>
      </c>
      <c r="P277" s="1">
        <v>90.428588134904345</v>
      </c>
      <c r="Q277" s="1">
        <v>191.91510182825473</v>
      </c>
      <c r="R277" s="1">
        <v>0.52880942003287945</v>
      </c>
      <c r="S277" s="1">
        <v>0.47119057996712055</v>
      </c>
      <c r="T277" s="19"/>
      <c r="U277" s="1">
        <v>0.59803395269278514</v>
      </c>
      <c r="V277" s="1">
        <v>0.40196604730721491</v>
      </c>
      <c r="W277" s="1">
        <v>0.93224999999999991</v>
      </c>
      <c r="X277" s="1">
        <v>6.7749999999999977E-2</v>
      </c>
      <c r="Y277" s="17"/>
      <c r="Z277" s="12">
        <v>3.3421604730721475</v>
      </c>
      <c r="AA277" s="12">
        <v>-3.3421604730721493</v>
      </c>
      <c r="AB277" s="12">
        <v>1.6480928260049366</v>
      </c>
      <c r="AC277" s="12">
        <v>1.6940676470672114</v>
      </c>
      <c r="AD277" s="12">
        <v>-1.7673659414220972</v>
      </c>
      <c r="AE277" s="12">
        <v>-1.574794531650052</v>
      </c>
      <c r="AF277" s="17"/>
      <c r="AG277">
        <v>275</v>
      </c>
      <c r="AH277">
        <v>46</v>
      </c>
      <c r="AI277">
        <v>41</v>
      </c>
      <c r="AJ277">
        <v>22</v>
      </c>
      <c r="AK277">
        <v>16</v>
      </c>
    </row>
    <row r="278" spans="1:37" x14ac:dyDescent="0.25">
      <c r="A278">
        <v>276</v>
      </c>
      <c r="B278" t="s">
        <v>227</v>
      </c>
      <c r="C278" t="s">
        <v>225</v>
      </c>
      <c r="D278" t="s">
        <v>210</v>
      </c>
      <c r="E278" t="s">
        <v>204</v>
      </c>
      <c r="F278">
        <v>10</v>
      </c>
      <c r="G278">
        <v>6</v>
      </c>
      <c r="H278" s="17"/>
      <c r="I278" s="1">
        <v>103.29838470027363</v>
      </c>
      <c r="J278" s="1">
        <v>100.58570110061814</v>
      </c>
      <c r="K278" s="1">
        <v>203.88408580089177</v>
      </c>
      <c r="L278" s="1">
        <v>0.50665251431714153</v>
      </c>
      <c r="M278" s="1">
        <v>0.49334748568285847</v>
      </c>
      <c r="N278" s="19"/>
      <c r="O278" s="1">
        <v>99.71914775192829</v>
      </c>
      <c r="P278" s="1">
        <v>88.853793603254289</v>
      </c>
      <c r="Q278" s="1">
        <v>188.57294135518259</v>
      </c>
      <c r="R278" s="1">
        <v>0.52880942003287945</v>
      </c>
      <c r="S278" s="1">
        <v>0.47119057996712049</v>
      </c>
      <c r="T278" s="19"/>
      <c r="U278" s="1">
        <v>0.66931847899247954</v>
      </c>
      <c r="V278" s="1">
        <v>0.33068152100752041</v>
      </c>
      <c r="W278" s="1">
        <v>0.64800000000000002</v>
      </c>
      <c r="X278" s="1">
        <v>0.35199999999999998</v>
      </c>
      <c r="Y278" s="17"/>
      <c r="Z278" s="12">
        <v>-0.21318478992479517</v>
      </c>
      <c r="AA278" s="12">
        <v>0.21318478992479573</v>
      </c>
      <c r="AB278" s="12">
        <v>-0.1080106098295691</v>
      </c>
      <c r="AC278" s="12">
        <v>-0.10517418009522607</v>
      </c>
      <c r="AD278" s="12">
        <v>0.10045066480483325</v>
      </c>
      <c r="AE278" s="12">
        <v>0.11273412511996247</v>
      </c>
      <c r="AF278" s="17"/>
      <c r="AG278">
        <v>276</v>
      </c>
      <c r="AH278">
        <v>46</v>
      </c>
      <c r="AI278">
        <v>41</v>
      </c>
      <c r="AJ278">
        <v>22</v>
      </c>
      <c r="AK278">
        <v>16</v>
      </c>
    </row>
    <row r="279" spans="1:37" x14ac:dyDescent="0.25">
      <c r="A279">
        <v>277</v>
      </c>
      <c r="B279" t="s">
        <v>231</v>
      </c>
      <c r="C279" t="s">
        <v>190</v>
      </c>
      <c r="D279" t="s">
        <v>196</v>
      </c>
      <c r="E279" t="s">
        <v>220</v>
      </c>
      <c r="F279">
        <v>7</v>
      </c>
      <c r="G279">
        <v>10</v>
      </c>
      <c r="H279" s="17"/>
      <c r="I279" s="1">
        <v>102.54164959280841</v>
      </c>
      <c r="J279" s="1">
        <v>98.218271980747275</v>
      </c>
      <c r="K279" s="1">
        <v>200.75992157355569</v>
      </c>
      <c r="L279" s="1">
        <v>0.51076753163224642</v>
      </c>
      <c r="M279" s="1">
        <v>0.48923246836775358</v>
      </c>
      <c r="N279" s="19"/>
      <c r="O279" s="1">
        <v>93.3751879919229</v>
      </c>
      <c r="P279" s="1">
        <v>101.65218170991882</v>
      </c>
      <c r="Q279" s="1">
        <v>195.02736970184174</v>
      </c>
      <c r="R279" s="1">
        <v>0.47877991758118404</v>
      </c>
      <c r="S279" s="1">
        <v>0.5212200824188159</v>
      </c>
      <c r="T279" s="19"/>
      <c r="U279" s="1">
        <v>0.565617794182529</v>
      </c>
      <c r="V279" s="1">
        <v>0.43438220581747095</v>
      </c>
      <c r="W279" s="1">
        <v>0.40475</v>
      </c>
      <c r="X279" s="1">
        <v>0.59525000000000006</v>
      </c>
      <c r="Y279" s="17"/>
      <c r="Z279" s="12">
        <v>-1.6086779418252899</v>
      </c>
      <c r="AA279" s="12">
        <v>1.6086779418252912</v>
      </c>
      <c r="AB279" s="12">
        <v>-0.82166046153734584</v>
      </c>
      <c r="AC279" s="12">
        <v>-0.78701748028794405</v>
      </c>
      <c r="AD279" s="12">
        <v>0.83847524942350959</v>
      </c>
      <c r="AE279" s="12">
        <v>0.77020269240178185</v>
      </c>
      <c r="AF279" s="17"/>
      <c r="AG279">
        <v>277</v>
      </c>
      <c r="AH279">
        <v>38</v>
      </c>
      <c r="AI279">
        <v>2</v>
      </c>
      <c r="AJ279">
        <v>9</v>
      </c>
      <c r="AK279">
        <v>35</v>
      </c>
    </row>
    <row r="280" spans="1:37" x14ac:dyDescent="0.25">
      <c r="A280">
        <v>278</v>
      </c>
      <c r="B280" t="s">
        <v>231</v>
      </c>
      <c r="C280" t="s">
        <v>190</v>
      </c>
      <c r="D280" t="s">
        <v>196</v>
      </c>
      <c r="E280" t="s">
        <v>220</v>
      </c>
      <c r="F280">
        <v>10</v>
      </c>
      <c r="G280">
        <v>6</v>
      </c>
      <c r="H280" s="17"/>
      <c r="I280" s="1">
        <v>101.71998913127106</v>
      </c>
      <c r="J280" s="1">
        <v>97.431254500459332</v>
      </c>
      <c r="K280" s="1">
        <v>199.15124363173038</v>
      </c>
      <c r="L280" s="1">
        <v>0.51076753163224642</v>
      </c>
      <c r="M280" s="1">
        <v>0.48923246836775364</v>
      </c>
      <c r="N280" s="19"/>
      <c r="O280" s="1">
        <v>94.21366324134641</v>
      </c>
      <c r="P280" s="1">
        <v>102.4223844023206</v>
      </c>
      <c r="Q280" s="1">
        <v>196.63604764366701</v>
      </c>
      <c r="R280" s="1">
        <v>0.4791271202321723</v>
      </c>
      <c r="S280" s="1">
        <v>0.5208728797678277</v>
      </c>
      <c r="T280" s="19"/>
      <c r="U280" s="1">
        <v>0.52892493220281189</v>
      </c>
      <c r="V280" s="1">
        <v>0.47107506779718805</v>
      </c>
      <c r="W280" s="1">
        <v>0.64800000000000002</v>
      </c>
      <c r="X280" s="1">
        <v>0.35199999999999998</v>
      </c>
      <c r="Y280" s="17"/>
      <c r="Z280" s="12">
        <v>1.1907506779718813</v>
      </c>
      <c r="AA280" s="12">
        <v>-1.1907506779718808</v>
      </c>
      <c r="AB280" s="12">
        <v>0.58255389339475949</v>
      </c>
      <c r="AC280" s="12">
        <v>0.60819678457712179</v>
      </c>
      <c r="AD280" s="12">
        <v>-0.57052094325117397</v>
      </c>
      <c r="AE280" s="12">
        <v>-0.62022973472070686</v>
      </c>
      <c r="AF280" s="17"/>
      <c r="AG280">
        <v>278</v>
      </c>
      <c r="AH280">
        <v>38</v>
      </c>
      <c r="AI280">
        <v>2</v>
      </c>
      <c r="AJ280">
        <v>9</v>
      </c>
      <c r="AK280">
        <v>35</v>
      </c>
    </row>
    <row r="281" spans="1:37" x14ac:dyDescent="0.25">
      <c r="A281">
        <v>279</v>
      </c>
      <c r="B281" t="s">
        <v>222</v>
      </c>
      <c r="C281" t="s">
        <v>210</v>
      </c>
      <c r="D281" t="s">
        <v>196</v>
      </c>
      <c r="E281" t="s">
        <v>208</v>
      </c>
      <c r="F281">
        <v>10</v>
      </c>
      <c r="G281">
        <v>2</v>
      </c>
      <c r="H281" s="17"/>
      <c r="I281" s="1">
        <v>91.144204380009242</v>
      </c>
      <c r="J281" s="1">
        <v>99.819598416733129</v>
      </c>
      <c r="K281" s="1">
        <v>190.96380279674236</v>
      </c>
      <c r="L281" s="1">
        <v>0.47728523963790725</v>
      </c>
      <c r="M281" s="1">
        <v>0.52271476036209286</v>
      </c>
      <c r="N281" s="19"/>
      <c r="O281" s="1">
        <v>93.643142298095242</v>
      </c>
      <c r="P281" s="1">
        <v>107.30327859952207</v>
      </c>
      <c r="Q281" s="1">
        <v>200.94642089761732</v>
      </c>
      <c r="R281" s="1">
        <v>0.46601050110669373</v>
      </c>
      <c r="S281" s="1">
        <v>0.53398949889330627</v>
      </c>
      <c r="T281" s="19"/>
      <c r="U281" s="1">
        <v>0.3870530676251398</v>
      </c>
      <c r="V281" s="1">
        <v>0.6129469323748602</v>
      </c>
      <c r="W281" s="1">
        <v>1.0840000000000001</v>
      </c>
      <c r="X281" s="1">
        <v>-8.4000000000000075E-2</v>
      </c>
      <c r="Y281" s="17"/>
      <c r="Z281" s="12">
        <v>6.9694693237486032</v>
      </c>
      <c r="AA281" s="12">
        <v>-6.9694693237486032</v>
      </c>
      <c r="AB281" s="12">
        <v>3.6430444874142078</v>
      </c>
      <c r="AC281" s="12">
        <v>3.3264248363343949</v>
      </c>
      <c r="AD281" s="12">
        <v>-3.2478458920078164</v>
      </c>
      <c r="AE281" s="12">
        <v>-3.7216234317407868</v>
      </c>
      <c r="AF281" s="17"/>
      <c r="AG281">
        <v>279</v>
      </c>
      <c r="AH281">
        <v>37</v>
      </c>
      <c r="AI281">
        <v>22</v>
      </c>
      <c r="AJ281">
        <v>9</v>
      </c>
      <c r="AK281">
        <v>20</v>
      </c>
    </row>
    <row r="282" spans="1:37" x14ac:dyDescent="0.25">
      <c r="A282">
        <v>280</v>
      </c>
      <c r="B282" t="s">
        <v>222</v>
      </c>
      <c r="C282" t="s">
        <v>210</v>
      </c>
      <c r="D282" t="s">
        <v>196</v>
      </c>
      <c r="E282" t="s">
        <v>208</v>
      </c>
      <c r="F282">
        <v>9</v>
      </c>
      <c r="G282">
        <v>10</v>
      </c>
      <c r="H282" s="17"/>
      <c r="I282" s="1">
        <v>94.787248867423443</v>
      </c>
      <c r="J282" s="1">
        <v>103.14602325306753</v>
      </c>
      <c r="K282" s="1">
        <v>197.93327212049098</v>
      </c>
      <c r="L282" s="1">
        <v>0.47888486787467516</v>
      </c>
      <c r="M282" s="1">
        <v>0.52111513212532479</v>
      </c>
      <c r="N282" s="19"/>
      <c r="O282" s="1">
        <v>90.395296406087425</v>
      </c>
      <c r="P282" s="1">
        <v>103.58165516778129</v>
      </c>
      <c r="Q282" s="1">
        <v>193.97695157386872</v>
      </c>
      <c r="R282" s="1">
        <v>0.46601050110669373</v>
      </c>
      <c r="S282" s="1">
        <v>0.53398949889330627</v>
      </c>
      <c r="T282" s="19"/>
      <c r="U282" s="1">
        <v>0.54542324051819802</v>
      </c>
      <c r="V282" s="1">
        <v>0.45457675948180198</v>
      </c>
      <c r="W282" s="1">
        <v>0.47425</v>
      </c>
      <c r="X282" s="1">
        <v>0.52575000000000005</v>
      </c>
      <c r="Y282" s="17"/>
      <c r="Z282" s="12">
        <v>-0.71173240518198011</v>
      </c>
      <c r="AA282" s="12">
        <v>0.71173240518198067</v>
      </c>
      <c r="AB282" s="12">
        <v>-0.34083787881769728</v>
      </c>
      <c r="AC282" s="12">
        <v>-0.37089452636428277</v>
      </c>
      <c r="AD282" s="12">
        <v>0.3800576303892535</v>
      </c>
      <c r="AE282" s="12">
        <v>0.33167477479272717</v>
      </c>
      <c r="AF282" s="17"/>
      <c r="AG282">
        <v>280</v>
      </c>
      <c r="AH282">
        <v>37</v>
      </c>
      <c r="AI282">
        <v>22</v>
      </c>
      <c r="AJ282">
        <v>9</v>
      </c>
      <c r="AK282">
        <v>20</v>
      </c>
    </row>
    <row r="283" spans="1:37" x14ac:dyDescent="0.25">
      <c r="A283">
        <v>281</v>
      </c>
      <c r="B283" t="s">
        <v>225</v>
      </c>
      <c r="C283" t="s">
        <v>208</v>
      </c>
      <c r="D283" t="s">
        <v>231</v>
      </c>
      <c r="E283" t="s">
        <v>227</v>
      </c>
      <c r="F283">
        <v>9</v>
      </c>
      <c r="G283">
        <v>10</v>
      </c>
      <c r="H283" s="17"/>
      <c r="I283" s="1">
        <v>100.48052692052291</v>
      </c>
      <c r="J283" s="1">
        <v>103.91332994257402</v>
      </c>
      <c r="K283" s="1">
        <v>204.39385686309691</v>
      </c>
      <c r="L283" s="1">
        <v>0.49160247995038719</v>
      </c>
      <c r="M283" s="1">
        <v>0.50839752004961292</v>
      </c>
      <c r="N283" s="19"/>
      <c r="O283" s="1">
        <v>102.30254302466582</v>
      </c>
      <c r="P283" s="1">
        <v>103.19037409044407</v>
      </c>
      <c r="Q283" s="1">
        <v>205.49291711510989</v>
      </c>
      <c r="R283" s="1">
        <v>0.49783975263419683</v>
      </c>
      <c r="S283" s="1">
        <v>0.50216024736580311</v>
      </c>
      <c r="T283" s="19"/>
      <c r="U283" s="1">
        <v>0.48734930176752611</v>
      </c>
      <c r="V283" s="1">
        <v>0.51265069823247389</v>
      </c>
      <c r="W283" s="1">
        <v>0.47425</v>
      </c>
      <c r="X283" s="1">
        <v>0.52575000000000005</v>
      </c>
      <c r="Y283" s="17"/>
      <c r="Z283" s="12">
        <v>-0.13099301767526106</v>
      </c>
      <c r="AA283" s="12">
        <v>0.13099301767526161</v>
      </c>
      <c r="AB283" s="12">
        <v>-6.439649234534324E-2</v>
      </c>
      <c r="AC283" s="12">
        <v>-6.6596525329917833E-2</v>
      </c>
      <c r="AD283" s="12">
        <v>6.5779486159002393E-2</v>
      </c>
      <c r="AE283" s="12">
        <v>6.5213531516259221E-2</v>
      </c>
      <c r="AF283" s="17"/>
      <c r="AG283">
        <v>281</v>
      </c>
      <c r="AH283">
        <v>41</v>
      </c>
      <c r="AI283">
        <v>20</v>
      </c>
      <c r="AJ283">
        <v>38</v>
      </c>
      <c r="AK283">
        <v>46</v>
      </c>
    </row>
    <row r="284" spans="1:37" x14ac:dyDescent="0.25">
      <c r="A284">
        <v>282</v>
      </c>
      <c r="B284" t="s">
        <v>225</v>
      </c>
      <c r="C284" t="s">
        <v>208</v>
      </c>
      <c r="D284" t="s">
        <v>231</v>
      </c>
      <c r="E284" t="s">
        <v>227</v>
      </c>
      <c r="F284">
        <v>8</v>
      </c>
      <c r="G284">
        <v>10</v>
      </c>
      <c r="H284" s="17"/>
      <c r="I284" s="1">
        <v>100.41613042817757</v>
      </c>
      <c r="J284" s="1">
        <v>103.84673341724411</v>
      </c>
      <c r="K284" s="1">
        <v>204.26286384542169</v>
      </c>
      <c r="L284" s="1">
        <v>0.49160247995038708</v>
      </c>
      <c r="M284" s="1">
        <v>0.50839752004961281</v>
      </c>
      <c r="N284" s="19"/>
      <c r="O284" s="1">
        <v>102.36832251082483</v>
      </c>
      <c r="P284" s="1">
        <v>103.25558762196033</v>
      </c>
      <c r="Q284" s="1">
        <v>205.62391013278517</v>
      </c>
      <c r="R284" s="1">
        <v>0.49784250501178934</v>
      </c>
      <c r="S284" s="1">
        <v>0.50215749498821061</v>
      </c>
      <c r="T284" s="19"/>
      <c r="U284" s="1">
        <v>0.48433550349082838</v>
      </c>
      <c r="V284" s="1">
        <v>0.51566449650917157</v>
      </c>
      <c r="W284" s="1">
        <v>0.44400000000000001</v>
      </c>
      <c r="X284" s="1">
        <v>0.55600000000000005</v>
      </c>
      <c r="Y284" s="17"/>
      <c r="Z284" s="12">
        <v>-0.40335503490828373</v>
      </c>
      <c r="AA284" s="12">
        <v>0.40335503490828484</v>
      </c>
      <c r="AB284" s="12">
        <v>-0.19829033546138725</v>
      </c>
      <c r="AC284" s="12">
        <v>-0.20506469944689645</v>
      </c>
      <c r="AD284" s="12">
        <v>0.20254775392042657</v>
      </c>
      <c r="AE284" s="12">
        <v>0.20080728098785827</v>
      </c>
      <c r="AF284" s="17"/>
      <c r="AG284">
        <v>282</v>
      </c>
      <c r="AH284">
        <v>41</v>
      </c>
      <c r="AI284">
        <v>20</v>
      </c>
      <c r="AJ284">
        <v>38</v>
      </c>
      <c r="AK284">
        <v>46</v>
      </c>
    </row>
    <row r="285" spans="1:37" x14ac:dyDescent="0.25">
      <c r="A285">
        <v>283</v>
      </c>
      <c r="B285" t="s">
        <v>203</v>
      </c>
      <c r="C285" t="s">
        <v>208</v>
      </c>
      <c r="D285" t="s">
        <v>217</v>
      </c>
      <c r="E285" t="s">
        <v>230</v>
      </c>
      <c r="F285">
        <v>9</v>
      </c>
      <c r="G285">
        <v>10</v>
      </c>
      <c r="H285" s="17"/>
      <c r="I285" s="1">
        <v>100</v>
      </c>
      <c r="J285" s="1">
        <v>103.64166871779722</v>
      </c>
      <c r="K285" s="1">
        <v>203.64166871779722</v>
      </c>
      <c r="L285" s="1">
        <v>0.49105863563992946</v>
      </c>
      <c r="M285" s="1">
        <v>0.50894136436007054</v>
      </c>
      <c r="N285" s="19"/>
      <c r="O285" s="1">
        <v>104.55322036581302</v>
      </c>
      <c r="P285" s="1">
        <v>90.100712561987365</v>
      </c>
      <c r="Q285" s="1">
        <v>194.65393292780038</v>
      </c>
      <c r="R285" s="1">
        <v>0.53712359567167411</v>
      </c>
      <c r="S285" s="1">
        <v>0.46287640432832594</v>
      </c>
      <c r="T285" s="19"/>
      <c r="U285" s="1">
        <v>0.60202278271633058</v>
      </c>
      <c r="V285" s="1">
        <v>0.39797721728366942</v>
      </c>
      <c r="W285" s="1">
        <v>0.47425</v>
      </c>
      <c r="X285" s="1">
        <v>0.52575000000000005</v>
      </c>
      <c r="Y285" s="17"/>
      <c r="Z285" s="12">
        <v>-1.2777278271633059</v>
      </c>
      <c r="AA285" s="12">
        <v>1.2777278271633064</v>
      </c>
      <c r="AB285" s="12">
        <v>-0.62743928352598466</v>
      </c>
      <c r="AC285" s="12">
        <v>-0.65028854363732125</v>
      </c>
      <c r="AD285" s="12">
        <v>0.59143006234759588</v>
      </c>
      <c r="AE285" s="12">
        <v>0.68629776481571036</v>
      </c>
      <c r="AF285" s="17"/>
      <c r="AG285">
        <v>283</v>
      </c>
      <c r="AH285">
        <v>15</v>
      </c>
      <c r="AI285">
        <v>20</v>
      </c>
      <c r="AJ285">
        <v>32</v>
      </c>
      <c r="AK285">
        <v>31</v>
      </c>
    </row>
    <row r="286" spans="1:37" x14ac:dyDescent="0.25">
      <c r="A286">
        <v>284</v>
      </c>
      <c r="B286" t="s">
        <v>203</v>
      </c>
      <c r="C286" t="s">
        <v>208</v>
      </c>
      <c r="D286" t="s">
        <v>217</v>
      </c>
      <c r="E286" t="s">
        <v>230</v>
      </c>
      <c r="F286">
        <v>7</v>
      </c>
      <c r="G286">
        <v>10</v>
      </c>
      <c r="H286" s="17"/>
      <c r="I286" s="1">
        <v>99.372560716474013</v>
      </c>
      <c r="J286" s="1">
        <v>102.9913801741599</v>
      </c>
      <c r="K286" s="1">
        <v>202.3639408906339</v>
      </c>
      <c r="L286" s="1">
        <v>0.49105863563992946</v>
      </c>
      <c r="M286" s="1">
        <v>0.50894136436007065</v>
      </c>
      <c r="N286" s="19"/>
      <c r="O286" s="1">
        <v>105.14465042816062</v>
      </c>
      <c r="P286" s="1">
        <v>90.78701032680307</v>
      </c>
      <c r="Q286" s="1">
        <v>195.93166075496367</v>
      </c>
      <c r="R286" s="1">
        <v>0.53663940795998644</v>
      </c>
      <c r="S286" s="1">
        <v>0.46336059204001362</v>
      </c>
      <c r="T286" s="19"/>
      <c r="U286" s="1">
        <v>0.57351758096951821</v>
      </c>
      <c r="V286" s="1">
        <v>0.42648241903048179</v>
      </c>
      <c r="W286" s="1">
        <v>0.40475</v>
      </c>
      <c r="X286" s="1">
        <v>0.59525000000000006</v>
      </c>
      <c r="Y286" s="17"/>
      <c r="Z286" s="12">
        <v>-1.687675809695182</v>
      </c>
      <c r="AA286" s="12">
        <v>1.6876758096951827</v>
      </c>
      <c r="AB286" s="12">
        <v>-0.82874778051142939</v>
      </c>
      <c r="AC286" s="12">
        <v>-0.85892802918375288</v>
      </c>
      <c r="AD286" s="12">
        <v>0.78200246235196913</v>
      </c>
      <c r="AE286" s="12">
        <v>0.90567334734321336</v>
      </c>
      <c r="AF286" s="17"/>
      <c r="AG286">
        <v>284</v>
      </c>
      <c r="AH286">
        <v>15</v>
      </c>
      <c r="AI286">
        <v>20</v>
      </c>
      <c r="AJ286">
        <v>32</v>
      </c>
      <c r="AK286">
        <v>31</v>
      </c>
    </row>
    <row r="287" spans="1:37" x14ac:dyDescent="0.25">
      <c r="A287">
        <v>285</v>
      </c>
      <c r="B287" t="s">
        <v>225</v>
      </c>
      <c r="C287" t="s">
        <v>208</v>
      </c>
      <c r="D287" t="s">
        <v>222</v>
      </c>
      <c r="E287" t="s">
        <v>210</v>
      </c>
      <c r="F287">
        <v>10</v>
      </c>
      <c r="G287">
        <v>7</v>
      </c>
      <c r="H287" s="17"/>
      <c r="I287" s="1">
        <v>100.21784009271617</v>
      </c>
      <c r="J287" s="1">
        <v>102.13245214497614</v>
      </c>
      <c r="K287" s="1">
        <v>202.35029223769232</v>
      </c>
      <c r="L287" s="1">
        <v>0.49526906526527043</v>
      </c>
      <c r="M287" s="1">
        <v>0.50473093473472963</v>
      </c>
      <c r="N287" s="19"/>
      <c r="O287" s="1">
        <v>94.446410988605749</v>
      </c>
      <c r="P287" s="1">
        <v>102.77512872670324</v>
      </c>
      <c r="Q287" s="1">
        <v>197.22153971530901</v>
      </c>
      <c r="R287" s="1">
        <v>0.47888486787467516</v>
      </c>
      <c r="S287" s="1">
        <v>0.52111513212532479</v>
      </c>
      <c r="T287" s="19"/>
      <c r="U287" s="1">
        <v>0.55877397531631423</v>
      </c>
      <c r="V287" s="1">
        <v>0.44122602468368577</v>
      </c>
      <c r="W287" s="1">
        <v>0.59525000000000006</v>
      </c>
      <c r="X287" s="1">
        <v>0.40475</v>
      </c>
      <c r="Y287" s="17"/>
      <c r="Z287" s="12">
        <v>0.36476024683685826</v>
      </c>
      <c r="AA287" s="12">
        <v>-0.3647602468368577</v>
      </c>
      <c r="AB287" s="12">
        <v>0.18410578034003813</v>
      </c>
      <c r="AC287" s="12">
        <v>0.18065446649682007</v>
      </c>
      <c r="AD287" s="12">
        <v>-0.17467816261240249</v>
      </c>
      <c r="AE287" s="12">
        <v>-0.19008208422445519</v>
      </c>
      <c r="AF287" s="17"/>
      <c r="AG287">
        <v>285</v>
      </c>
      <c r="AH287">
        <v>41</v>
      </c>
      <c r="AI287">
        <v>20</v>
      </c>
      <c r="AJ287">
        <v>37</v>
      </c>
      <c r="AK287">
        <v>22</v>
      </c>
    </row>
    <row r="288" spans="1:37" x14ac:dyDescent="0.25">
      <c r="A288">
        <v>286</v>
      </c>
      <c r="B288" t="s">
        <v>225</v>
      </c>
      <c r="C288" t="s">
        <v>208</v>
      </c>
      <c r="D288" t="s">
        <v>222</v>
      </c>
      <c r="E288" t="s">
        <v>210</v>
      </c>
      <c r="F288">
        <v>10</v>
      </c>
      <c r="G288">
        <v>7</v>
      </c>
      <c r="H288" s="17"/>
      <c r="I288" s="1">
        <v>100.40194587305621</v>
      </c>
      <c r="J288" s="1">
        <v>102.31310661147296</v>
      </c>
      <c r="K288" s="1">
        <v>202.71505248452917</v>
      </c>
      <c r="L288" s="1">
        <v>0.49528609070961166</v>
      </c>
      <c r="M288" s="1">
        <v>0.50471390929038829</v>
      </c>
      <c r="N288" s="19"/>
      <c r="O288" s="1">
        <v>94.27173282599334</v>
      </c>
      <c r="P288" s="1">
        <v>102.58504664247879</v>
      </c>
      <c r="Q288" s="1">
        <v>196.85677946847213</v>
      </c>
      <c r="R288" s="1">
        <v>0.47888486787467516</v>
      </c>
      <c r="S288" s="1">
        <v>0.52111513212532479</v>
      </c>
      <c r="T288" s="19"/>
      <c r="U288" s="1">
        <v>0.56703973960565512</v>
      </c>
      <c r="V288" s="1">
        <v>0.43296026039434482</v>
      </c>
      <c r="W288" s="1">
        <v>0.59525000000000006</v>
      </c>
      <c r="X288" s="1">
        <v>0.40475</v>
      </c>
      <c r="Y288" s="17"/>
      <c r="Z288" s="12">
        <v>0.28210260394344933</v>
      </c>
      <c r="AA288" s="12">
        <v>-0.28210260394344822</v>
      </c>
      <c r="AB288" s="12">
        <v>0.14238110805729642</v>
      </c>
      <c r="AC288" s="12">
        <v>0.1397214958861529</v>
      </c>
      <c r="AD288" s="12">
        <v>-0.13509466821656002</v>
      </c>
      <c r="AE288" s="12">
        <v>-0.14700793572688819</v>
      </c>
      <c r="AF288" s="17"/>
      <c r="AG288">
        <v>286</v>
      </c>
      <c r="AH288">
        <v>41</v>
      </c>
      <c r="AI288">
        <v>20</v>
      </c>
      <c r="AJ288">
        <v>37</v>
      </c>
      <c r="AK288">
        <v>22</v>
      </c>
    </row>
    <row r="289" spans="1:37" x14ac:dyDescent="0.25">
      <c r="A289">
        <v>287</v>
      </c>
      <c r="B289" t="s">
        <v>222</v>
      </c>
      <c r="C289" t="s">
        <v>192</v>
      </c>
      <c r="D289" t="s">
        <v>190</v>
      </c>
      <c r="E289" t="s">
        <v>220</v>
      </c>
      <c r="F289">
        <v>10</v>
      </c>
      <c r="G289">
        <v>7</v>
      </c>
      <c r="H289" s="17"/>
      <c r="I289" s="1">
        <v>94.136638157776773</v>
      </c>
      <c r="J289" s="1">
        <v>110.10001653226699</v>
      </c>
      <c r="K289" s="1">
        <v>204.23665469004376</v>
      </c>
      <c r="L289" s="1">
        <v>0.46091940891140043</v>
      </c>
      <c r="M289" s="1">
        <v>0.53908059108859951</v>
      </c>
      <c r="N289" s="19"/>
      <c r="O289" s="1">
        <v>98.039451285036449</v>
      </c>
      <c r="P289" s="1">
        <v>101.80215466759989</v>
      </c>
      <c r="Q289" s="1">
        <v>199.84160595263634</v>
      </c>
      <c r="R289" s="1">
        <v>0.49058578576611511</v>
      </c>
      <c r="S289" s="1">
        <v>0.50941421423388489</v>
      </c>
      <c r="T289" s="19"/>
      <c r="U289" s="1">
        <v>0.55042783562830366</v>
      </c>
      <c r="V289" s="1">
        <v>0.44957216437169634</v>
      </c>
      <c r="W289" s="1">
        <v>0.59525000000000006</v>
      </c>
      <c r="X289" s="1">
        <v>0.40475</v>
      </c>
      <c r="Y289" s="17"/>
      <c r="Z289" s="12">
        <v>0.44822164371696394</v>
      </c>
      <c r="AA289" s="12">
        <v>-0.44822164371696338</v>
      </c>
      <c r="AB289" s="12">
        <v>0.24162758863364461</v>
      </c>
      <c r="AC289" s="12">
        <v>0.20659405508331935</v>
      </c>
      <c r="AD289" s="12">
        <v>-0.21989116728026617</v>
      </c>
      <c r="AE289" s="12">
        <v>-0.22833047643669721</v>
      </c>
      <c r="AF289" s="17"/>
      <c r="AG289">
        <v>287</v>
      </c>
      <c r="AH289">
        <v>37</v>
      </c>
      <c r="AI289">
        <v>5</v>
      </c>
      <c r="AJ289">
        <v>2</v>
      </c>
      <c r="AK289">
        <v>35</v>
      </c>
    </row>
    <row r="290" spans="1:37" x14ac:dyDescent="0.25">
      <c r="A290">
        <v>288</v>
      </c>
      <c r="B290" t="s">
        <v>222</v>
      </c>
      <c r="C290" t="s">
        <v>192</v>
      </c>
      <c r="D290" t="s">
        <v>190</v>
      </c>
      <c r="E290" t="s">
        <v>220</v>
      </c>
      <c r="F290">
        <v>10</v>
      </c>
      <c r="G290">
        <v>3</v>
      </c>
      <c r="H290" s="17"/>
      <c r="I290" s="1">
        <v>94.37826574641042</v>
      </c>
      <c r="J290" s="1">
        <v>110.30661058735031</v>
      </c>
      <c r="K290" s="1">
        <v>204.68487633376071</v>
      </c>
      <c r="L290" s="1">
        <v>0.46109056729973791</v>
      </c>
      <c r="M290" s="1">
        <v>0.53890943270026215</v>
      </c>
      <c r="N290" s="19"/>
      <c r="O290" s="1">
        <v>97.819560117756183</v>
      </c>
      <c r="P290" s="1">
        <v>101.5738241911632</v>
      </c>
      <c r="Q290" s="1">
        <v>199.39338430891939</v>
      </c>
      <c r="R290" s="1">
        <v>0.49058578576611506</v>
      </c>
      <c r="S290" s="1">
        <v>0.50941421423388489</v>
      </c>
      <c r="T290" s="19"/>
      <c r="U290" s="1">
        <v>0.56062087230324098</v>
      </c>
      <c r="V290" s="1">
        <v>0.43937912769675896</v>
      </c>
      <c r="W290" s="1">
        <v>0.93224999999999991</v>
      </c>
      <c r="X290" s="1">
        <v>6.7749999999999977E-2</v>
      </c>
      <c r="Y290" s="17"/>
      <c r="Z290" s="12">
        <v>3.7162912769675893</v>
      </c>
      <c r="AA290" s="12">
        <v>-3.7162912769675898</v>
      </c>
      <c r="AB290" s="12">
        <v>2.0027444238195362</v>
      </c>
      <c r="AC290" s="12">
        <v>1.7135468531480529</v>
      </c>
      <c r="AD290" s="12">
        <v>-1.8231596762469042</v>
      </c>
      <c r="AE290" s="12">
        <v>-1.8931316007206853</v>
      </c>
      <c r="AF290" s="17"/>
      <c r="AG290">
        <v>288</v>
      </c>
      <c r="AH290">
        <v>37</v>
      </c>
      <c r="AI290">
        <v>5</v>
      </c>
      <c r="AJ290">
        <v>2</v>
      </c>
      <c r="AK290">
        <v>35</v>
      </c>
    </row>
    <row r="291" spans="1:37" x14ac:dyDescent="0.25">
      <c r="A291">
        <v>289</v>
      </c>
      <c r="B291" t="s">
        <v>207</v>
      </c>
      <c r="C291" t="s">
        <v>232</v>
      </c>
      <c r="D291" t="s">
        <v>233</v>
      </c>
      <c r="E291" t="s">
        <v>202</v>
      </c>
      <c r="F291">
        <v>6</v>
      </c>
      <c r="G291">
        <v>3</v>
      </c>
      <c r="H291" s="17"/>
      <c r="I291" s="1">
        <v>101.440722287209</v>
      </c>
      <c r="J291" s="1">
        <v>104.18125196236025</v>
      </c>
      <c r="K291" s="1">
        <v>205.62197424956923</v>
      </c>
      <c r="L291" s="1">
        <v>0.49333599999427841</v>
      </c>
      <c r="M291" s="1">
        <v>0.50666400000572165</v>
      </c>
      <c r="N291" s="19"/>
      <c r="O291" s="1">
        <v>94.511240497739976</v>
      </c>
      <c r="P291" s="1">
        <v>100</v>
      </c>
      <c r="Q291" s="1">
        <v>194.51124049773998</v>
      </c>
      <c r="R291" s="1">
        <v>0.48589089379047018</v>
      </c>
      <c r="S291" s="1">
        <v>0.51410910620952988</v>
      </c>
      <c r="T291" s="19"/>
      <c r="U291" s="1">
        <v>0.62519745757089495</v>
      </c>
      <c r="V291" s="1">
        <v>0.37480254242910499</v>
      </c>
      <c r="W291" s="1">
        <v>0.59525000000000006</v>
      </c>
      <c r="X291" s="1">
        <v>0.40475</v>
      </c>
      <c r="Y291" s="17"/>
      <c r="Z291" s="12">
        <v>-0.29947457570894898</v>
      </c>
      <c r="AA291" s="12">
        <v>0.29947457570895009</v>
      </c>
      <c r="AB291" s="12">
        <v>-0.14774158928023659</v>
      </c>
      <c r="AC291" s="12">
        <v>-0.15173298642871241</v>
      </c>
      <c r="AD291" s="12">
        <v>0.15396260645020649</v>
      </c>
      <c r="AE291" s="12">
        <v>0.14551196925874357</v>
      </c>
      <c r="AF291" s="17"/>
      <c r="AG291">
        <v>289</v>
      </c>
      <c r="AH291">
        <v>19</v>
      </c>
      <c r="AI291">
        <v>42</v>
      </c>
      <c r="AJ291">
        <v>43</v>
      </c>
      <c r="AK291">
        <v>14</v>
      </c>
    </row>
    <row r="292" spans="1:37" x14ac:dyDescent="0.25">
      <c r="A292">
        <v>290</v>
      </c>
      <c r="B292" t="s">
        <v>207</v>
      </c>
      <c r="C292" t="s">
        <v>232</v>
      </c>
      <c r="D292" t="s">
        <v>233</v>
      </c>
      <c r="E292" t="s">
        <v>202</v>
      </c>
      <c r="F292">
        <v>6</v>
      </c>
      <c r="G292">
        <v>1</v>
      </c>
      <c r="H292" s="17"/>
      <c r="I292" s="1">
        <v>101.29298069792877</v>
      </c>
      <c r="J292" s="1">
        <v>104.02951897593154</v>
      </c>
      <c r="K292" s="1">
        <v>205.32249967386031</v>
      </c>
      <c r="L292" s="1">
        <v>0.49333599999427835</v>
      </c>
      <c r="M292" s="1">
        <v>0.50666400000572165</v>
      </c>
      <c r="N292" s="19"/>
      <c r="O292" s="1">
        <v>94.665203104190184</v>
      </c>
      <c r="P292" s="1">
        <v>100.14551196925875</v>
      </c>
      <c r="Q292" s="1">
        <v>194.81071507344893</v>
      </c>
      <c r="R292" s="1">
        <v>0.48593427249881421</v>
      </c>
      <c r="S292" s="1">
        <v>0.51406572750118584</v>
      </c>
      <c r="T292" s="19"/>
      <c r="U292" s="1">
        <v>0.61871215750683684</v>
      </c>
      <c r="V292" s="1">
        <v>0.38128784249316322</v>
      </c>
      <c r="W292" s="1">
        <v>0.71875</v>
      </c>
      <c r="X292" s="1">
        <v>0.28125</v>
      </c>
      <c r="Y292" s="17"/>
      <c r="Z292" s="12">
        <v>1.0003784249316316</v>
      </c>
      <c r="AA292" s="12">
        <v>-1.0003784249316321</v>
      </c>
      <c r="AB292" s="12">
        <v>0.50685573429528408</v>
      </c>
      <c r="AC292" s="12">
        <v>0.49352269063634763</v>
      </c>
      <c r="AD292" s="12">
        <v>-0.48611816214266229</v>
      </c>
      <c r="AE292" s="12">
        <v>-0.51426026278896986</v>
      </c>
      <c r="AF292" s="17"/>
      <c r="AG292">
        <v>290</v>
      </c>
      <c r="AH292">
        <v>19</v>
      </c>
      <c r="AI292">
        <v>42</v>
      </c>
      <c r="AJ292">
        <v>43</v>
      </c>
      <c r="AK292">
        <v>14</v>
      </c>
    </row>
    <row r="293" spans="1:37" x14ac:dyDescent="0.25">
      <c r="A293">
        <v>291</v>
      </c>
      <c r="B293" t="s">
        <v>192</v>
      </c>
      <c r="C293" t="s">
        <v>230</v>
      </c>
      <c r="D293" t="s">
        <v>208</v>
      </c>
      <c r="E293" t="s">
        <v>225</v>
      </c>
      <c r="F293">
        <v>10</v>
      </c>
      <c r="G293">
        <v>7</v>
      </c>
      <c r="H293" s="17"/>
      <c r="I293" s="1">
        <v>112.02015744049837</v>
      </c>
      <c r="J293" s="1">
        <v>91.692683674146281</v>
      </c>
      <c r="K293" s="1">
        <v>203.71284111464465</v>
      </c>
      <c r="L293" s="1">
        <v>0.54989247033993371</v>
      </c>
      <c r="M293" s="1">
        <v>0.45010752966006629</v>
      </c>
      <c r="N293" s="19"/>
      <c r="O293" s="1">
        <v>102.45282810735911</v>
      </c>
      <c r="P293" s="1">
        <v>100.5443269811135</v>
      </c>
      <c r="Q293" s="1">
        <v>202.9971550884726</v>
      </c>
      <c r="R293" s="1">
        <v>0.5047008075689875</v>
      </c>
      <c r="S293" s="1">
        <v>0.49529919243101261</v>
      </c>
      <c r="T293" s="19"/>
      <c r="U293" s="1">
        <v>0.50823889408615541</v>
      </c>
      <c r="V293" s="1">
        <v>0.49176110591384453</v>
      </c>
      <c r="W293" s="1">
        <v>0.59525000000000006</v>
      </c>
      <c r="X293" s="1">
        <v>0.40475</v>
      </c>
      <c r="Y293" s="17"/>
      <c r="Z293" s="12">
        <v>0.87011105913844644</v>
      </c>
      <c r="AA293" s="12">
        <v>-0.87011105913844533</v>
      </c>
      <c r="AB293" s="12">
        <v>0.39164353935870999</v>
      </c>
      <c r="AC293" s="12">
        <v>0.47846751977973645</v>
      </c>
      <c r="AD293" s="12">
        <v>-0.4391457542218804</v>
      </c>
      <c r="AE293" s="12">
        <v>-0.43096530491656504</v>
      </c>
      <c r="AF293" s="17"/>
      <c r="AG293">
        <v>291</v>
      </c>
      <c r="AH293">
        <v>5</v>
      </c>
      <c r="AI293">
        <v>31</v>
      </c>
      <c r="AJ293">
        <v>20</v>
      </c>
      <c r="AK293">
        <v>41</v>
      </c>
    </row>
    <row r="294" spans="1:37" x14ac:dyDescent="0.25">
      <c r="A294">
        <v>292</v>
      </c>
      <c r="B294" t="s">
        <v>192</v>
      </c>
      <c r="C294" t="s">
        <v>230</v>
      </c>
      <c r="D294" t="s">
        <v>208</v>
      </c>
      <c r="E294" t="s">
        <v>225</v>
      </c>
      <c r="F294">
        <v>9</v>
      </c>
      <c r="G294">
        <v>10</v>
      </c>
      <c r="H294" s="17"/>
      <c r="I294" s="1">
        <v>112.41180097985708</v>
      </c>
      <c r="J294" s="1">
        <v>92.171151193926022</v>
      </c>
      <c r="K294" s="1">
        <v>204.5829521737831</v>
      </c>
      <c r="L294" s="1">
        <v>0.54946807534759212</v>
      </c>
      <c r="M294" s="1">
        <v>0.45053192465240793</v>
      </c>
      <c r="N294" s="19"/>
      <c r="O294" s="1">
        <v>102.01368235313723</v>
      </c>
      <c r="P294" s="1">
        <v>100.11336167619693</v>
      </c>
      <c r="Q294" s="1">
        <v>202.12704402933417</v>
      </c>
      <c r="R294" s="1">
        <v>0.50470080756898739</v>
      </c>
      <c r="S294" s="1">
        <v>0.49529919243101256</v>
      </c>
      <c r="T294" s="19"/>
      <c r="U294" s="1">
        <v>0.52824458668663521</v>
      </c>
      <c r="V294" s="1">
        <v>0.47175541331336485</v>
      </c>
      <c r="W294" s="1">
        <v>0.47425</v>
      </c>
      <c r="X294" s="1">
        <v>0.52575000000000005</v>
      </c>
      <c r="Y294" s="17"/>
      <c r="Z294" s="12">
        <v>-0.53994586686635204</v>
      </c>
      <c r="AA294" s="12">
        <v>0.53994586686635204</v>
      </c>
      <c r="AB294" s="12">
        <v>-0.29668301625894167</v>
      </c>
      <c r="AC294" s="12">
        <v>-0.2432628506074104</v>
      </c>
      <c r="AD294" s="12">
        <v>0.26743475181536724</v>
      </c>
      <c r="AE294" s="12">
        <v>0.2725111150509848</v>
      </c>
      <c r="AF294" s="17"/>
      <c r="AG294">
        <v>292</v>
      </c>
      <c r="AH294">
        <v>5</v>
      </c>
      <c r="AI294">
        <v>31</v>
      </c>
      <c r="AJ294">
        <v>20</v>
      </c>
      <c r="AK294">
        <v>41</v>
      </c>
    </row>
    <row r="295" spans="1:37" x14ac:dyDescent="0.25">
      <c r="A295">
        <v>293</v>
      </c>
      <c r="B295" t="s">
        <v>204</v>
      </c>
      <c r="C295" t="s">
        <v>231</v>
      </c>
      <c r="D295" t="s">
        <v>210</v>
      </c>
      <c r="E295" t="s">
        <v>214</v>
      </c>
      <c r="F295">
        <v>10</v>
      </c>
      <c r="G295">
        <v>9</v>
      </c>
      <c r="H295" s="17"/>
      <c r="I295" s="1">
        <v>88.966527728374245</v>
      </c>
      <c r="J295" s="1">
        <v>102.57087026474525</v>
      </c>
      <c r="K295" s="1">
        <v>191.5373979931195</v>
      </c>
      <c r="L295" s="1">
        <v>0.46448645883541839</v>
      </c>
      <c r="M295" s="1">
        <v>0.53551354116458161</v>
      </c>
      <c r="N295" s="19"/>
      <c r="O295" s="1">
        <v>102.4380387067519</v>
      </c>
      <c r="P295" s="1">
        <v>86.930389853138422</v>
      </c>
      <c r="Q295" s="1">
        <v>189.36842855989033</v>
      </c>
      <c r="R295" s="1">
        <v>0.54094570824594701</v>
      </c>
      <c r="S295" s="1">
        <v>0.45905429175405293</v>
      </c>
      <c r="T295" s="19"/>
      <c r="U295" s="1">
        <v>0.52495044273832381</v>
      </c>
      <c r="V295" s="1">
        <v>0.4750495572616763</v>
      </c>
      <c r="W295" s="1">
        <v>0.52575000000000005</v>
      </c>
      <c r="X295" s="1">
        <v>0.47425</v>
      </c>
      <c r="Y295" s="17"/>
      <c r="Z295" s="12">
        <v>7.9955726167624253E-3</v>
      </c>
      <c r="AA295" s="12">
        <v>-7.9955726167629804E-3</v>
      </c>
      <c r="AB295" s="12">
        <v>4.2817374056410068E-3</v>
      </c>
      <c r="AC295" s="12">
        <v>3.7138352111214189E-3</v>
      </c>
      <c r="AD295" s="12">
        <v>-4.3251706920067502E-3</v>
      </c>
      <c r="AE295" s="12">
        <v>-3.6704019247562297E-3</v>
      </c>
      <c r="AF295" s="17"/>
      <c r="AG295">
        <v>293</v>
      </c>
      <c r="AH295">
        <v>16</v>
      </c>
      <c r="AI295">
        <v>38</v>
      </c>
      <c r="AJ295">
        <v>22</v>
      </c>
      <c r="AK295">
        <v>28</v>
      </c>
    </row>
    <row r="296" spans="1:37" x14ac:dyDescent="0.25">
      <c r="A296">
        <v>294</v>
      </c>
      <c r="B296" t="s">
        <v>204</v>
      </c>
      <c r="C296" t="s">
        <v>231</v>
      </c>
      <c r="D296" t="s">
        <v>210</v>
      </c>
      <c r="E296" t="s">
        <v>214</v>
      </c>
      <c r="F296">
        <v>9</v>
      </c>
      <c r="G296">
        <v>10</v>
      </c>
      <c r="H296" s="17"/>
      <c r="I296" s="1">
        <v>88.97080946577988</v>
      </c>
      <c r="J296" s="1">
        <v>102.57458409995637</v>
      </c>
      <c r="K296" s="1">
        <v>191.54539356573625</v>
      </c>
      <c r="L296" s="1">
        <v>0.46448942367933316</v>
      </c>
      <c r="M296" s="1">
        <v>0.53551057632066679</v>
      </c>
      <c r="N296" s="19"/>
      <c r="O296" s="1">
        <v>102.43371353605988</v>
      </c>
      <c r="P296" s="1">
        <v>86.926719451213671</v>
      </c>
      <c r="Q296" s="1">
        <v>189.36043298727355</v>
      </c>
      <c r="R296" s="1">
        <v>0.54094570824594701</v>
      </c>
      <c r="S296" s="1">
        <v>0.45905429175405299</v>
      </c>
      <c r="T296" s="19"/>
      <c r="U296" s="1">
        <v>0.52513408577972187</v>
      </c>
      <c r="V296" s="1">
        <v>0.47486591422027807</v>
      </c>
      <c r="W296" s="1">
        <v>0.47425</v>
      </c>
      <c r="X296" s="1">
        <v>0.52575000000000005</v>
      </c>
      <c r="Y296" s="17"/>
      <c r="Z296" s="12">
        <v>-0.50884085779721866</v>
      </c>
      <c r="AA296" s="12">
        <v>0.50884085779721977</v>
      </c>
      <c r="AB296" s="12">
        <v>-0.23635119678272762</v>
      </c>
      <c r="AC296" s="12">
        <v>-0.27248966101449101</v>
      </c>
      <c r="AD296" s="12">
        <v>0.23358557959162751</v>
      </c>
      <c r="AE296" s="12">
        <v>0.27525527820559226</v>
      </c>
      <c r="AF296" s="17"/>
      <c r="AG296">
        <v>294</v>
      </c>
      <c r="AH296">
        <v>16</v>
      </c>
      <c r="AI296">
        <v>38</v>
      </c>
      <c r="AJ296">
        <v>22</v>
      </c>
      <c r="AK296">
        <v>28</v>
      </c>
    </row>
    <row r="297" spans="1:37" x14ac:dyDescent="0.25">
      <c r="A297">
        <v>295</v>
      </c>
      <c r="B297" t="s">
        <v>190</v>
      </c>
      <c r="C297" t="s">
        <v>220</v>
      </c>
      <c r="D297" t="s">
        <v>231</v>
      </c>
      <c r="E297" t="s">
        <v>192</v>
      </c>
      <c r="F297">
        <v>4</v>
      </c>
      <c r="G297">
        <v>10</v>
      </c>
      <c r="H297" s="17"/>
      <c r="I297" s="1">
        <v>95.99640044150928</v>
      </c>
      <c r="J297" s="1">
        <v>99.680692590442519</v>
      </c>
      <c r="K297" s="1">
        <v>195.67709303195181</v>
      </c>
      <c r="L297" s="1">
        <v>0.49058578576611506</v>
      </c>
      <c r="M297" s="1">
        <v>0.50941421423388489</v>
      </c>
      <c r="N297" s="19"/>
      <c r="O297" s="1">
        <v>102.30209443894188</v>
      </c>
      <c r="P297" s="1">
        <v>112.11511796359814</v>
      </c>
      <c r="Q297" s="1">
        <v>214.41721240254003</v>
      </c>
      <c r="R297" s="1">
        <v>0.47711698745007092</v>
      </c>
      <c r="S297" s="1">
        <v>0.52288301254992908</v>
      </c>
      <c r="T297" s="19"/>
      <c r="U297" s="1">
        <v>0.29670993815963054</v>
      </c>
      <c r="V297" s="1">
        <v>0.70329006184036957</v>
      </c>
      <c r="W297" s="1">
        <v>0.18799999999999994</v>
      </c>
      <c r="X297" s="1">
        <v>0.81200000000000006</v>
      </c>
      <c r="Y297" s="17"/>
      <c r="Z297" s="12">
        <v>-1.0870993815963059</v>
      </c>
      <c r="AA297" s="12">
        <v>1.0870993815963048</v>
      </c>
      <c r="AB297" s="12">
        <v>-0.5333155043262815</v>
      </c>
      <c r="AC297" s="12">
        <v>-0.55378387727002432</v>
      </c>
      <c r="AD297" s="12">
        <v>0.56842579959024075</v>
      </c>
      <c r="AE297" s="12">
        <v>0.51867358200606406</v>
      </c>
      <c r="AF297" s="17"/>
      <c r="AG297">
        <v>295</v>
      </c>
      <c r="AH297">
        <v>2</v>
      </c>
      <c r="AI297">
        <v>35</v>
      </c>
      <c r="AJ297">
        <v>38</v>
      </c>
      <c r="AK297">
        <v>5</v>
      </c>
    </row>
    <row r="298" spans="1:37" x14ac:dyDescent="0.25">
      <c r="A298">
        <v>296</v>
      </c>
      <c r="B298" t="s">
        <v>190</v>
      </c>
      <c r="C298" t="s">
        <v>220</v>
      </c>
      <c r="D298" t="s">
        <v>231</v>
      </c>
      <c r="E298" t="s">
        <v>192</v>
      </c>
      <c r="F298">
        <v>2</v>
      </c>
      <c r="G298">
        <v>10</v>
      </c>
      <c r="H298" s="17"/>
      <c r="I298" s="1">
        <v>95.463084937182998</v>
      </c>
      <c r="J298" s="1">
        <v>99.126908713172497</v>
      </c>
      <c r="K298" s="1">
        <v>194.5899936503555</v>
      </c>
      <c r="L298" s="1">
        <v>0.49058578576611511</v>
      </c>
      <c r="M298" s="1">
        <v>0.50941421423388489</v>
      </c>
      <c r="N298" s="19"/>
      <c r="O298" s="1">
        <v>102.87052023853212</v>
      </c>
      <c r="P298" s="1">
        <v>112.6337915456042</v>
      </c>
      <c r="Q298" s="1">
        <v>215.50431178413632</v>
      </c>
      <c r="R298" s="1">
        <v>0.47734785158996812</v>
      </c>
      <c r="S298" s="1">
        <v>0.52265214841003182</v>
      </c>
      <c r="T298" s="19"/>
      <c r="U298" s="1">
        <v>0.27624996656184875</v>
      </c>
      <c r="V298" s="1">
        <v>0.72375003343815125</v>
      </c>
      <c r="W298" s="1">
        <v>-8.4000000000000075E-2</v>
      </c>
      <c r="X298" s="1">
        <v>1.0840000000000001</v>
      </c>
      <c r="Y298" s="17"/>
      <c r="Z298" s="12">
        <v>-3.6024996656184882</v>
      </c>
      <c r="AA298" s="12">
        <v>3.6024996656184882</v>
      </c>
      <c r="AB298" s="12">
        <v>-1.7673351291796129</v>
      </c>
      <c r="AC298" s="12">
        <v>-1.8351645364388753</v>
      </c>
      <c r="AD298" s="12">
        <v>1.8828541898819244</v>
      </c>
      <c r="AE298" s="12">
        <v>1.719645475736564</v>
      </c>
      <c r="AF298" s="17"/>
      <c r="AG298">
        <v>296</v>
      </c>
      <c r="AH298">
        <v>2</v>
      </c>
      <c r="AI298">
        <v>35</v>
      </c>
      <c r="AJ298">
        <v>38</v>
      </c>
      <c r="AK298">
        <v>5</v>
      </c>
    </row>
    <row r="299" spans="1:37" x14ac:dyDescent="0.25">
      <c r="A299">
        <v>297</v>
      </c>
      <c r="B299" t="s">
        <v>192</v>
      </c>
      <c r="C299" t="s">
        <v>230</v>
      </c>
      <c r="D299" t="s">
        <v>231</v>
      </c>
      <c r="E299" t="s">
        <v>210</v>
      </c>
      <c r="F299">
        <v>5</v>
      </c>
      <c r="G299">
        <v>10</v>
      </c>
      <c r="H299" s="17"/>
      <c r="I299" s="1">
        <v>114.35343702134077</v>
      </c>
      <c r="J299" s="1">
        <v>91.927888343318614</v>
      </c>
      <c r="K299" s="1">
        <v>206.28132536465938</v>
      </c>
      <c r="L299" s="1">
        <v>0.5543567107647257</v>
      </c>
      <c r="M299" s="1">
        <v>0.44564328923527424</v>
      </c>
      <c r="N299" s="19"/>
      <c r="O299" s="1">
        <v>104.75337442841405</v>
      </c>
      <c r="P299" s="1">
        <v>102.66729911565152</v>
      </c>
      <c r="Q299" s="1">
        <v>207.42067354406555</v>
      </c>
      <c r="R299" s="1">
        <v>0.50502860991896104</v>
      </c>
      <c r="S299" s="1">
        <v>0.49497139008103902</v>
      </c>
      <c r="T299" s="19"/>
      <c r="U299" s="1">
        <v>0.48688577780167258</v>
      </c>
      <c r="V299" s="1">
        <v>0.51311422219832736</v>
      </c>
      <c r="W299" s="1">
        <v>0.28125</v>
      </c>
      <c r="X299" s="1">
        <v>0.71875</v>
      </c>
      <c r="Y299" s="17"/>
      <c r="Z299" s="12">
        <v>-2.0563577780167259</v>
      </c>
      <c r="AA299" s="12">
        <v>2.0563577780167264</v>
      </c>
      <c r="AB299" s="12">
        <v>-1.139955733976812</v>
      </c>
      <c r="AC299" s="12">
        <v>-0.91640204403991365</v>
      </c>
      <c r="AD299" s="12">
        <v>1.0178382678888955</v>
      </c>
      <c r="AE299" s="12">
        <v>1.0385195101278306</v>
      </c>
      <c r="AF299" s="17"/>
      <c r="AG299">
        <v>297</v>
      </c>
      <c r="AH299">
        <v>5</v>
      </c>
      <c r="AI299">
        <v>31</v>
      </c>
      <c r="AJ299">
        <v>38</v>
      </c>
      <c r="AK299">
        <v>22</v>
      </c>
    </row>
    <row r="300" spans="1:37" x14ac:dyDescent="0.25">
      <c r="A300">
        <v>298</v>
      </c>
      <c r="B300" t="s">
        <v>192</v>
      </c>
      <c r="C300" t="s">
        <v>230</v>
      </c>
      <c r="D300" t="s">
        <v>231</v>
      </c>
      <c r="E300" t="s">
        <v>210</v>
      </c>
      <c r="F300">
        <v>10</v>
      </c>
      <c r="G300">
        <v>5</v>
      </c>
      <c r="H300" s="17"/>
      <c r="I300" s="1">
        <v>113.21348128736396</v>
      </c>
      <c r="J300" s="1">
        <v>91.011486299278701</v>
      </c>
      <c r="K300" s="1">
        <v>204.22496758664266</v>
      </c>
      <c r="L300" s="1">
        <v>0.55435671076472581</v>
      </c>
      <c r="M300" s="1">
        <v>0.44564328923527424</v>
      </c>
      <c r="N300" s="19"/>
      <c r="O300" s="1">
        <v>105.77121269630294</v>
      </c>
      <c r="P300" s="1">
        <v>103.70581862577934</v>
      </c>
      <c r="Q300" s="1">
        <v>209.47703132208227</v>
      </c>
      <c r="R300" s="1">
        <v>0.50492988194812627</v>
      </c>
      <c r="S300" s="1">
        <v>0.49507011805187384</v>
      </c>
      <c r="T300" s="19"/>
      <c r="U300" s="1">
        <v>0.439826439122874</v>
      </c>
      <c r="V300" s="1">
        <v>0.560173560877126</v>
      </c>
      <c r="W300" s="1">
        <v>0.71875</v>
      </c>
      <c r="X300" s="1">
        <v>0.28125</v>
      </c>
      <c r="Y300" s="17"/>
      <c r="Z300" s="12">
        <v>2.7892356087712598</v>
      </c>
      <c r="AA300" s="12">
        <v>-2.7892356087712598</v>
      </c>
      <c r="AB300" s="12">
        <v>1.2430041311449767</v>
      </c>
      <c r="AC300" s="12">
        <v>1.5462314776262831</v>
      </c>
      <c r="AD300" s="12">
        <v>-1.4083684066623823</v>
      </c>
      <c r="AE300" s="12">
        <v>-1.3808672021088777</v>
      </c>
      <c r="AF300" s="17"/>
      <c r="AG300">
        <v>298</v>
      </c>
      <c r="AH300">
        <v>5</v>
      </c>
      <c r="AI300">
        <v>31</v>
      </c>
      <c r="AJ300">
        <v>38</v>
      </c>
      <c r="AK300">
        <v>22</v>
      </c>
    </row>
    <row r="301" spans="1:37" x14ac:dyDescent="0.25">
      <c r="A301">
        <v>299</v>
      </c>
      <c r="B301" t="s">
        <v>232</v>
      </c>
      <c r="C301" t="s">
        <v>207</v>
      </c>
      <c r="D301" t="s">
        <v>233</v>
      </c>
      <c r="E301" t="s">
        <v>229</v>
      </c>
      <c r="F301">
        <v>10</v>
      </c>
      <c r="G301">
        <v>4</v>
      </c>
      <c r="H301" s="17"/>
      <c r="I301" s="1">
        <v>104.52304166656789</v>
      </c>
      <c r="J301" s="1">
        <v>101.79983643222405</v>
      </c>
      <c r="K301" s="1">
        <v>206.32287809879193</v>
      </c>
      <c r="L301" s="1">
        <v>0.50659937777971453</v>
      </c>
      <c r="M301" s="1">
        <v>0.49340062222028552</v>
      </c>
      <c r="N301" s="19"/>
      <c r="O301" s="1">
        <v>94.179084942047524</v>
      </c>
      <c r="P301" s="1">
        <v>100</v>
      </c>
      <c r="Q301" s="1">
        <v>194.17908494204752</v>
      </c>
      <c r="R301" s="1">
        <v>0.48501147778173503</v>
      </c>
      <c r="S301" s="1">
        <v>0.51498852221826497</v>
      </c>
      <c r="T301" s="19"/>
      <c r="U301" s="1">
        <v>0.63627721469983711</v>
      </c>
      <c r="V301" s="1">
        <v>0.36372278530016283</v>
      </c>
      <c r="W301" s="1">
        <v>0.81200000000000006</v>
      </c>
      <c r="X301" s="1">
        <v>0.18799999999999994</v>
      </c>
      <c r="Y301" s="17"/>
      <c r="Z301" s="12">
        <v>1.7572278530016294</v>
      </c>
      <c r="AA301" s="12">
        <v>-1.7572278530016288</v>
      </c>
      <c r="AB301" s="12">
        <v>0.86701731605382026</v>
      </c>
      <c r="AC301" s="12">
        <v>0.89021053694780894</v>
      </c>
      <c r="AD301" s="12">
        <v>-0.8522756777835454</v>
      </c>
      <c r="AE301" s="12">
        <v>-0.90495217521808335</v>
      </c>
      <c r="AF301" s="17"/>
      <c r="AG301">
        <v>299</v>
      </c>
      <c r="AH301">
        <v>42</v>
      </c>
      <c r="AI301">
        <v>19</v>
      </c>
      <c r="AJ301">
        <v>43</v>
      </c>
      <c r="AK301">
        <v>25</v>
      </c>
    </row>
    <row r="302" spans="1:37" x14ac:dyDescent="0.25">
      <c r="A302">
        <v>300</v>
      </c>
      <c r="B302" t="s">
        <v>232</v>
      </c>
      <c r="C302" t="s">
        <v>207</v>
      </c>
      <c r="D302" t="s">
        <v>233</v>
      </c>
      <c r="E302" t="s">
        <v>229</v>
      </c>
      <c r="F302">
        <v>10</v>
      </c>
      <c r="G302">
        <v>7</v>
      </c>
      <c r="H302" s="17"/>
      <c r="I302" s="1">
        <v>105.39005898262171</v>
      </c>
      <c r="J302" s="1">
        <v>102.69004696917186</v>
      </c>
      <c r="K302" s="1">
        <v>208.08010595179357</v>
      </c>
      <c r="L302" s="1">
        <v>0.50648791483717182</v>
      </c>
      <c r="M302" s="1">
        <v>0.49351208516282818</v>
      </c>
      <c r="N302" s="19"/>
      <c r="O302" s="1">
        <v>93.326809264263971</v>
      </c>
      <c r="P302" s="1">
        <v>99.095047824781915</v>
      </c>
      <c r="Q302" s="1">
        <v>192.42185708904589</v>
      </c>
      <c r="R302" s="1">
        <v>0.48501147778173503</v>
      </c>
      <c r="S302" s="1">
        <v>0.51498852221826497</v>
      </c>
      <c r="T302" s="19"/>
      <c r="U302" s="1">
        <v>0.67284677902255663</v>
      </c>
      <c r="V302" s="1">
        <v>0.32715322097744343</v>
      </c>
      <c r="W302" s="1">
        <v>0.59525000000000006</v>
      </c>
      <c r="X302" s="1">
        <v>0.40475</v>
      </c>
      <c r="Y302" s="17"/>
      <c r="Z302" s="12">
        <v>-0.77596779022556572</v>
      </c>
      <c r="AA302" s="12">
        <v>0.77596779022556572</v>
      </c>
      <c r="AB302" s="12">
        <v>-0.39301830805215476</v>
      </c>
      <c r="AC302" s="12">
        <v>-0.38294948217341096</v>
      </c>
      <c r="AD302" s="12">
        <v>0.39961450557723671</v>
      </c>
      <c r="AE302" s="12">
        <v>0.37635328464832901</v>
      </c>
      <c r="AF302" s="17"/>
      <c r="AG302">
        <v>300</v>
      </c>
      <c r="AH302">
        <v>42</v>
      </c>
      <c r="AI302">
        <v>19</v>
      </c>
      <c r="AJ302">
        <v>43</v>
      </c>
      <c r="AK302">
        <v>25</v>
      </c>
    </row>
    <row r="303" spans="1:37" x14ac:dyDescent="0.25">
      <c r="A303">
        <v>301</v>
      </c>
      <c r="B303" t="s">
        <v>217</v>
      </c>
      <c r="C303" t="s">
        <v>190</v>
      </c>
      <c r="D303" t="s">
        <v>225</v>
      </c>
      <c r="E303" t="s">
        <v>208</v>
      </c>
      <c r="F303">
        <v>9</v>
      </c>
      <c r="G303">
        <v>10</v>
      </c>
      <c r="H303" s="17"/>
      <c r="I303" s="1">
        <v>105.92665289051259</v>
      </c>
      <c r="J303" s="1">
        <v>93.695749808003384</v>
      </c>
      <c r="K303" s="1">
        <v>199.62240269851597</v>
      </c>
      <c r="L303" s="1">
        <v>0.53063509635484452</v>
      </c>
      <c r="M303" s="1">
        <v>0.46936490364515554</v>
      </c>
      <c r="N303" s="19"/>
      <c r="O303" s="1">
        <v>100.38587279124792</v>
      </c>
      <c r="P303" s="1">
        <v>102.2811171049526</v>
      </c>
      <c r="Q303" s="1">
        <v>202.6669898962005</v>
      </c>
      <c r="R303" s="1">
        <v>0.49532424023597688</v>
      </c>
      <c r="S303" s="1">
        <v>0.50467575976402324</v>
      </c>
      <c r="T303" s="19"/>
      <c r="U303" s="1">
        <v>0.46500520422616992</v>
      </c>
      <c r="V303" s="1">
        <v>0.53499479577383013</v>
      </c>
      <c r="W303" s="1">
        <v>0.47425</v>
      </c>
      <c r="X303" s="1">
        <v>0.52575000000000005</v>
      </c>
      <c r="Y303" s="17"/>
      <c r="Z303" s="12">
        <v>9.2447957738300834E-2</v>
      </c>
      <c r="AA303" s="12">
        <v>-9.2447957738300834E-2</v>
      </c>
      <c r="AB303" s="12">
        <v>4.3391826776028979E-2</v>
      </c>
      <c r="AC303" s="12">
        <v>4.9056130962271856E-2</v>
      </c>
      <c r="AD303" s="12">
        <v>-4.5791714428091559E-2</v>
      </c>
      <c r="AE303" s="12">
        <v>-4.6656243310209282E-2</v>
      </c>
      <c r="AF303" s="17"/>
      <c r="AG303">
        <v>301</v>
      </c>
      <c r="AH303">
        <v>32</v>
      </c>
      <c r="AI303">
        <v>2</v>
      </c>
      <c r="AJ303">
        <v>41</v>
      </c>
      <c r="AK303">
        <v>20</v>
      </c>
    </row>
    <row r="304" spans="1:37" x14ac:dyDescent="0.25">
      <c r="A304">
        <v>302</v>
      </c>
      <c r="B304" t="s">
        <v>217</v>
      </c>
      <c r="C304" t="s">
        <v>190</v>
      </c>
      <c r="D304" t="s">
        <v>225</v>
      </c>
      <c r="E304" t="s">
        <v>208</v>
      </c>
      <c r="F304">
        <v>10</v>
      </c>
      <c r="G304">
        <v>8</v>
      </c>
      <c r="H304" s="17"/>
      <c r="I304" s="1">
        <v>105.97004471728862</v>
      </c>
      <c r="J304" s="1">
        <v>93.744805938965655</v>
      </c>
      <c r="K304" s="1">
        <v>199.71485065625427</v>
      </c>
      <c r="L304" s="1">
        <v>0.53060673439694483</v>
      </c>
      <c r="M304" s="1">
        <v>0.46939326560305517</v>
      </c>
      <c r="N304" s="19"/>
      <c r="O304" s="1">
        <v>100.34008107681983</v>
      </c>
      <c r="P304" s="1">
        <v>102.23446086164239</v>
      </c>
      <c r="Q304" s="1">
        <v>202.57454193846223</v>
      </c>
      <c r="R304" s="1">
        <v>0.49532424023597682</v>
      </c>
      <c r="S304" s="1">
        <v>0.50467575976402312</v>
      </c>
      <c r="T304" s="19"/>
      <c r="U304" s="1">
        <v>0.4671240881940652</v>
      </c>
      <c r="V304" s="1">
        <v>0.53287591180593485</v>
      </c>
      <c r="W304" s="1">
        <v>0.55600000000000005</v>
      </c>
      <c r="X304" s="1">
        <v>0.44400000000000001</v>
      </c>
      <c r="Y304" s="17"/>
      <c r="Z304" s="12">
        <v>0.88875911805934849</v>
      </c>
      <c r="AA304" s="12">
        <v>-0.88875911805934849</v>
      </c>
      <c r="AB304" s="12">
        <v>0.41717754476036883</v>
      </c>
      <c r="AC304" s="12">
        <v>0.47158157329897965</v>
      </c>
      <c r="AD304" s="12">
        <v>-0.44022393490554362</v>
      </c>
      <c r="AE304" s="12">
        <v>-0.44853518315380481</v>
      </c>
      <c r="AF304" s="17"/>
      <c r="AG304">
        <v>302</v>
      </c>
      <c r="AH304">
        <v>32</v>
      </c>
      <c r="AI304">
        <v>2</v>
      </c>
      <c r="AJ304">
        <v>41</v>
      </c>
      <c r="AK304">
        <v>20</v>
      </c>
    </row>
    <row r="305" spans="1:37" x14ac:dyDescent="0.25">
      <c r="A305">
        <v>303</v>
      </c>
      <c r="B305" t="s">
        <v>230</v>
      </c>
      <c r="C305" t="s">
        <v>231</v>
      </c>
      <c r="D305" t="s">
        <v>212</v>
      </c>
      <c r="E305" t="s">
        <v>203</v>
      </c>
      <c r="F305">
        <v>10</v>
      </c>
      <c r="G305">
        <v>0</v>
      </c>
      <c r="H305" s="17"/>
      <c r="I305" s="1">
        <v>92.55771777690498</v>
      </c>
      <c r="J305" s="1">
        <v>104.36284428964056</v>
      </c>
      <c r="K305" s="1">
        <v>196.92056206654553</v>
      </c>
      <c r="L305" s="1">
        <v>0.47002566316882072</v>
      </c>
      <c r="M305" s="1">
        <v>0.52997433683117934</v>
      </c>
      <c r="N305" s="19"/>
      <c r="O305" s="1">
        <v>91.954453216163841</v>
      </c>
      <c r="P305" s="1">
        <v>98.543812935962578</v>
      </c>
      <c r="Q305" s="1">
        <v>190.4982661521264</v>
      </c>
      <c r="R305" s="1">
        <v>0.48270493518682039</v>
      </c>
      <c r="S305" s="1">
        <v>0.51729506481317966</v>
      </c>
      <c r="T305" s="19"/>
      <c r="U305" s="1">
        <v>0.57340511466575561</v>
      </c>
      <c r="V305" s="1">
        <v>0.42659488533424444</v>
      </c>
      <c r="W305" s="1">
        <v>1.5</v>
      </c>
      <c r="X305" s="1">
        <v>-0.5</v>
      </c>
      <c r="Y305" s="17"/>
      <c r="Z305" s="12">
        <v>9.2659488533424437</v>
      </c>
      <c r="AA305" s="12">
        <v>-9.2659488533424454</v>
      </c>
      <c r="AB305" s="12">
        <v>4.9107150986617878</v>
      </c>
      <c r="AC305" s="12">
        <v>4.3552337546806559</v>
      </c>
      <c r="AD305" s="12">
        <v>-4.4727192406970575</v>
      </c>
      <c r="AE305" s="12">
        <v>-4.7932296126453879</v>
      </c>
      <c r="AF305" s="17"/>
      <c r="AG305">
        <v>303</v>
      </c>
      <c r="AH305">
        <v>31</v>
      </c>
      <c r="AI305">
        <v>38</v>
      </c>
      <c r="AJ305">
        <v>26</v>
      </c>
      <c r="AK305">
        <v>15</v>
      </c>
    </row>
    <row r="306" spans="1:37" x14ac:dyDescent="0.25">
      <c r="A306">
        <v>304</v>
      </c>
      <c r="B306" t="s">
        <v>230</v>
      </c>
      <c r="C306" t="s">
        <v>231</v>
      </c>
      <c r="D306" t="s">
        <v>212</v>
      </c>
      <c r="E306" t="s">
        <v>203</v>
      </c>
      <c r="F306">
        <v>10</v>
      </c>
      <c r="G306">
        <v>4</v>
      </c>
      <c r="H306" s="17"/>
      <c r="I306" s="1">
        <v>97.468432875566762</v>
      </c>
      <c r="J306" s="1">
        <v>108.71807804432122</v>
      </c>
      <c r="K306" s="1">
        <v>206.18651091988798</v>
      </c>
      <c r="L306" s="1">
        <v>0.47271973535377054</v>
      </c>
      <c r="M306" s="1">
        <v>0.52728026464622946</v>
      </c>
      <c r="N306" s="19"/>
      <c r="O306" s="1">
        <v>87.481733975466781</v>
      </c>
      <c r="P306" s="1">
        <v>93.750583323317187</v>
      </c>
      <c r="Q306" s="1">
        <v>181.23231729878398</v>
      </c>
      <c r="R306" s="1">
        <v>0.48270493518682034</v>
      </c>
      <c r="S306" s="1">
        <v>0.51729506481317955</v>
      </c>
      <c r="T306" s="19"/>
      <c r="U306" s="1">
        <v>0.75936167241894759</v>
      </c>
      <c r="V306" s="1">
        <v>0.24063832758105244</v>
      </c>
      <c r="W306" s="1">
        <v>0.81200000000000006</v>
      </c>
      <c r="X306" s="1">
        <v>0.18799999999999994</v>
      </c>
      <c r="Y306" s="17"/>
      <c r="Z306" s="12">
        <v>0.52638327581052469</v>
      </c>
      <c r="AA306" s="12">
        <v>-0.52638327581052491</v>
      </c>
      <c r="AB306" s="12">
        <v>0.27755151297472264</v>
      </c>
      <c r="AC306" s="12">
        <v>0.24883176283580205</v>
      </c>
      <c r="AD306" s="12">
        <v>-0.25408780503354561</v>
      </c>
      <c r="AE306" s="12">
        <v>-0.27229547077697924</v>
      </c>
      <c r="AF306" s="17"/>
      <c r="AG306">
        <v>304</v>
      </c>
      <c r="AH306">
        <v>31</v>
      </c>
      <c r="AI306">
        <v>38</v>
      </c>
      <c r="AJ306">
        <v>26</v>
      </c>
      <c r="AK306">
        <v>15</v>
      </c>
    </row>
    <row r="307" spans="1:37" x14ac:dyDescent="0.25">
      <c r="A307">
        <v>305</v>
      </c>
      <c r="B307" t="s">
        <v>217</v>
      </c>
      <c r="C307" t="s">
        <v>231</v>
      </c>
      <c r="D307" t="s">
        <v>196</v>
      </c>
      <c r="E307" t="s">
        <v>210</v>
      </c>
      <c r="F307">
        <v>10</v>
      </c>
      <c r="G307">
        <v>8</v>
      </c>
      <c r="H307" s="17"/>
      <c r="I307" s="1">
        <v>106.38722226204898</v>
      </c>
      <c r="J307" s="1">
        <v>108.96690980715702</v>
      </c>
      <c r="K307" s="1">
        <v>215.354132069206</v>
      </c>
      <c r="L307" s="1">
        <v>0.49401059194843072</v>
      </c>
      <c r="M307" s="1">
        <v>0.50598940805156933</v>
      </c>
      <c r="N307" s="19"/>
      <c r="O307" s="1">
        <v>90.775354036476685</v>
      </c>
      <c r="P307" s="1">
        <v>102.32495142367047</v>
      </c>
      <c r="Q307" s="1">
        <v>193.10030546014715</v>
      </c>
      <c r="R307" s="1">
        <v>0.4700943057555716</v>
      </c>
      <c r="S307" s="1">
        <v>0.52990569424442846</v>
      </c>
      <c r="T307" s="19"/>
      <c r="U307" s="1">
        <v>0.73591169348109331</v>
      </c>
      <c r="V307" s="1">
        <v>0.2640883065189068</v>
      </c>
      <c r="W307" s="1">
        <v>0.55600000000000005</v>
      </c>
      <c r="X307" s="1">
        <v>0.44400000000000001</v>
      </c>
      <c r="Y307" s="17"/>
      <c r="Z307" s="12">
        <v>-1.7991169348109326</v>
      </c>
      <c r="AA307" s="12">
        <v>1.7991169348109319</v>
      </c>
      <c r="AB307" s="12">
        <v>-0.88878282195039504</v>
      </c>
      <c r="AC307" s="12">
        <v>-0.91033411286053767</v>
      </c>
      <c r="AD307" s="12">
        <v>0.95336230836789504</v>
      </c>
      <c r="AE307" s="12">
        <v>0.84575462644303689</v>
      </c>
      <c r="AF307" s="17"/>
      <c r="AG307">
        <v>305</v>
      </c>
      <c r="AH307">
        <v>32</v>
      </c>
      <c r="AI307">
        <v>38</v>
      </c>
      <c r="AJ307">
        <v>9</v>
      </c>
      <c r="AK307">
        <v>22</v>
      </c>
    </row>
    <row r="308" spans="1:37" x14ac:dyDescent="0.25">
      <c r="A308">
        <v>306</v>
      </c>
      <c r="B308" t="s">
        <v>217</v>
      </c>
      <c r="C308" t="s">
        <v>231</v>
      </c>
      <c r="D308" t="s">
        <v>196</v>
      </c>
      <c r="E308" t="s">
        <v>210</v>
      </c>
      <c r="F308">
        <v>10</v>
      </c>
      <c r="G308">
        <v>3</v>
      </c>
      <c r="H308" s="17"/>
      <c r="I308" s="1">
        <v>105.49843944009858</v>
      </c>
      <c r="J308" s="1">
        <v>108.05657569429648</v>
      </c>
      <c r="K308" s="1">
        <v>213.55501513439506</v>
      </c>
      <c r="L308" s="1">
        <v>0.49401059194843067</v>
      </c>
      <c r="M308" s="1">
        <v>0.50598940805156933</v>
      </c>
      <c r="N308" s="19"/>
      <c r="O308" s="1">
        <v>91.728716344844585</v>
      </c>
      <c r="P308" s="1">
        <v>103.17070605011351</v>
      </c>
      <c r="Q308" s="1">
        <v>194.89942239495809</v>
      </c>
      <c r="R308" s="1">
        <v>0.47064642479524116</v>
      </c>
      <c r="S308" s="1">
        <v>0.52935357520475879</v>
      </c>
      <c r="T308" s="19"/>
      <c r="U308" s="1">
        <v>0.70247713947174395</v>
      </c>
      <c r="V308" s="1">
        <v>0.29752286052825605</v>
      </c>
      <c r="W308" s="1">
        <v>0.93224999999999991</v>
      </c>
      <c r="X308" s="1">
        <v>6.7749999999999977E-2</v>
      </c>
      <c r="Y308" s="17"/>
      <c r="Z308" s="12">
        <v>2.2977286052825594</v>
      </c>
      <c r="AA308" s="12">
        <v>-2.2977286052825607</v>
      </c>
      <c r="AB308" s="12">
        <v>1.1626263368500802</v>
      </c>
      <c r="AC308" s="12">
        <v>1.1351022684324792</v>
      </c>
      <c r="AD308" s="12">
        <v>-1.081417753225993</v>
      </c>
      <c r="AE308" s="12">
        <v>-1.2163108520565675</v>
      </c>
      <c r="AF308" s="17"/>
      <c r="AG308">
        <v>306</v>
      </c>
      <c r="AH308">
        <v>32</v>
      </c>
      <c r="AI308">
        <v>38</v>
      </c>
      <c r="AJ308">
        <v>9</v>
      </c>
      <c r="AK308">
        <v>22</v>
      </c>
    </row>
    <row r="309" spans="1:37" x14ac:dyDescent="0.25">
      <c r="A309">
        <v>307</v>
      </c>
      <c r="B309" t="s">
        <v>225</v>
      </c>
      <c r="C309" t="s">
        <v>208</v>
      </c>
      <c r="D309" t="s">
        <v>192</v>
      </c>
      <c r="E309" t="s">
        <v>210</v>
      </c>
      <c r="F309">
        <v>6</v>
      </c>
      <c r="G309">
        <v>10</v>
      </c>
      <c r="H309" s="17"/>
      <c r="I309" s="1">
        <v>99.899857141914282</v>
      </c>
      <c r="J309" s="1">
        <v>101.78592567848858</v>
      </c>
      <c r="K309" s="1">
        <v>201.68578282040286</v>
      </c>
      <c r="L309" s="1">
        <v>0.49532424023597688</v>
      </c>
      <c r="M309" s="1">
        <v>0.50467575976402312</v>
      </c>
      <c r="N309" s="19"/>
      <c r="O309" s="1">
        <v>114.45648541850893</v>
      </c>
      <c r="P309" s="1">
        <v>101.95439519805694</v>
      </c>
      <c r="Q309" s="1">
        <v>216.41088061656586</v>
      </c>
      <c r="R309" s="1">
        <v>0.52888507773923588</v>
      </c>
      <c r="S309" s="1">
        <v>0.47111492226076418</v>
      </c>
      <c r="T309" s="19"/>
      <c r="U309" s="1">
        <v>0.33668196314081361</v>
      </c>
      <c r="V309" s="1">
        <v>0.66331803685918644</v>
      </c>
      <c r="W309" s="1">
        <v>0.35199999999999998</v>
      </c>
      <c r="X309" s="1">
        <v>0.64800000000000002</v>
      </c>
      <c r="Y309" s="17"/>
      <c r="Z309" s="12">
        <v>0.15318036859186368</v>
      </c>
      <c r="AA309" s="12">
        <v>-0.15318036859186424</v>
      </c>
      <c r="AB309" s="12">
        <v>7.7306418900031912E-2</v>
      </c>
      <c r="AC309" s="12">
        <v>7.5873949691831769E-2</v>
      </c>
      <c r="AD309" s="12">
        <v>-8.1014811150832922E-2</v>
      </c>
      <c r="AE309" s="12">
        <v>-7.2165557441031328E-2</v>
      </c>
      <c r="AF309" s="17"/>
      <c r="AG309">
        <v>307</v>
      </c>
      <c r="AH309">
        <v>41</v>
      </c>
      <c r="AI309">
        <v>20</v>
      </c>
      <c r="AJ309">
        <v>5</v>
      </c>
      <c r="AK309">
        <v>22</v>
      </c>
    </row>
    <row r="310" spans="1:37" x14ac:dyDescent="0.25">
      <c r="A310">
        <v>308</v>
      </c>
      <c r="B310" t="s">
        <v>225</v>
      </c>
      <c r="C310" t="s">
        <v>208</v>
      </c>
      <c r="D310" t="s">
        <v>192</v>
      </c>
      <c r="E310" t="s">
        <v>210</v>
      </c>
      <c r="F310">
        <v>7</v>
      </c>
      <c r="G310">
        <v>10</v>
      </c>
      <c r="H310" s="17"/>
      <c r="I310" s="1">
        <v>99.977163560814319</v>
      </c>
      <c r="J310" s="1">
        <v>101.86179962818041</v>
      </c>
      <c r="K310" s="1">
        <v>201.83896318899474</v>
      </c>
      <c r="L310" s="1">
        <v>0.49533133732558515</v>
      </c>
      <c r="M310" s="1">
        <v>0.50466866267441479</v>
      </c>
      <c r="N310" s="19"/>
      <c r="O310" s="1">
        <v>114.3754706073581</v>
      </c>
      <c r="P310" s="1">
        <v>101.88222964061592</v>
      </c>
      <c r="Q310" s="1">
        <v>216.25770024797401</v>
      </c>
      <c r="R310" s="1">
        <v>0.52888507773923588</v>
      </c>
      <c r="S310" s="1">
        <v>0.47111492226076418</v>
      </c>
      <c r="T310" s="19"/>
      <c r="U310" s="1">
        <v>0.33983998452739167</v>
      </c>
      <c r="V310" s="1">
        <v>0.66016001547260827</v>
      </c>
      <c r="W310" s="1">
        <v>0.40475</v>
      </c>
      <c r="X310" s="1">
        <v>0.59525000000000006</v>
      </c>
      <c r="Y310" s="17"/>
      <c r="Z310" s="12">
        <v>0.64910015472608329</v>
      </c>
      <c r="AA310" s="12">
        <v>-0.64910015472608218</v>
      </c>
      <c r="AB310" s="12">
        <v>0.32758050702736818</v>
      </c>
      <c r="AC310" s="12">
        <v>0.32151964769871511</v>
      </c>
      <c r="AD310" s="12">
        <v>-0.34329938579285402</v>
      </c>
      <c r="AE310" s="12">
        <v>-0.30580076893322822</v>
      </c>
      <c r="AF310" s="17"/>
      <c r="AG310">
        <v>308</v>
      </c>
      <c r="AH310">
        <v>41</v>
      </c>
      <c r="AI310">
        <v>20</v>
      </c>
      <c r="AJ310">
        <v>5</v>
      </c>
      <c r="AK310">
        <v>22</v>
      </c>
    </row>
    <row r="311" spans="1:37" x14ac:dyDescent="0.25">
      <c r="A311">
        <v>309</v>
      </c>
      <c r="B311" t="s">
        <v>190</v>
      </c>
      <c r="C311" t="s">
        <v>225</v>
      </c>
      <c r="D311" t="s">
        <v>208</v>
      </c>
      <c r="E311" t="s">
        <v>222</v>
      </c>
      <c r="F311">
        <v>10</v>
      </c>
      <c r="G311">
        <v>9</v>
      </c>
      <c r="H311" s="17"/>
      <c r="I311" s="1">
        <v>94.216387512264632</v>
      </c>
      <c r="J311" s="1">
        <v>100.30474406784168</v>
      </c>
      <c r="K311" s="1">
        <v>194.52113158010633</v>
      </c>
      <c r="L311" s="1">
        <v>0.48435039806184293</v>
      </c>
      <c r="M311" s="1">
        <v>0.51564960193815701</v>
      </c>
      <c r="N311" s="19"/>
      <c r="O311" s="1">
        <v>102.18331927587913</v>
      </c>
      <c r="P311" s="1">
        <v>96.381010170229956</v>
      </c>
      <c r="Q311" s="1">
        <v>198.56432944610907</v>
      </c>
      <c r="R311" s="1">
        <v>0.51461065318689059</v>
      </c>
      <c r="S311" s="1">
        <v>0.48538934681310947</v>
      </c>
      <c r="T311" s="19"/>
      <c r="U311" s="1">
        <v>0.45358498377261058</v>
      </c>
      <c r="V311" s="1">
        <v>0.54641501622738942</v>
      </c>
      <c r="W311" s="1">
        <v>0.52575000000000005</v>
      </c>
      <c r="X311" s="1">
        <v>0.47425</v>
      </c>
      <c r="Y311" s="17"/>
      <c r="Z311" s="12">
        <v>0.72165016227389467</v>
      </c>
      <c r="AA311" s="12">
        <v>-0.72165016227389411</v>
      </c>
      <c r="AB311" s="12">
        <v>0.37211861891514025</v>
      </c>
      <c r="AC311" s="12">
        <v>0.34953154335875447</v>
      </c>
      <c r="AD311" s="12">
        <v>-0.37136886138019426</v>
      </c>
      <c r="AE311" s="12">
        <v>-0.35028130089369991</v>
      </c>
      <c r="AF311" s="17"/>
      <c r="AG311">
        <v>309</v>
      </c>
      <c r="AH311">
        <v>2</v>
      </c>
      <c r="AI311">
        <v>41</v>
      </c>
      <c r="AJ311">
        <v>20</v>
      </c>
      <c r="AK311">
        <v>37</v>
      </c>
    </row>
    <row r="312" spans="1:37" x14ac:dyDescent="0.25">
      <c r="A312">
        <v>310</v>
      </c>
      <c r="B312" t="s">
        <v>190</v>
      </c>
      <c r="C312" t="s">
        <v>225</v>
      </c>
      <c r="D312" t="s">
        <v>208</v>
      </c>
      <c r="E312" t="s">
        <v>222</v>
      </c>
      <c r="F312">
        <v>10</v>
      </c>
      <c r="G312">
        <v>4</v>
      </c>
      <c r="H312" s="17"/>
      <c r="I312" s="1">
        <v>94.58850613117977</v>
      </c>
      <c r="J312" s="1">
        <v>100.65427561120043</v>
      </c>
      <c r="K312" s="1">
        <v>195.2427817423802</v>
      </c>
      <c r="L312" s="1">
        <v>0.48446608518407519</v>
      </c>
      <c r="M312" s="1">
        <v>0.51553391481592481</v>
      </c>
      <c r="N312" s="19"/>
      <c r="O312" s="1">
        <v>101.81195041449894</v>
      </c>
      <c r="P312" s="1">
        <v>96.030728869336258</v>
      </c>
      <c r="Q312" s="1">
        <v>197.8426792838352</v>
      </c>
      <c r="R312" s="1">
        <v>0.51461065318689059</v>
      </c>
      <c r="S312" s="1">
        <v>0.48538934681310941</v>
      </c>
      <c r="T312" s="19"/>
      <c r="U312" s="1">
        <v>0.47010327948745562</v>
      </c>
      <c r="V312" s="1">
        <v>0.52989672051254444</v>
      </c>
      <c r="W312" s="1">
        <v>0.81200000000000006</v>
      </c>
      <c r="X312" s="1">
        <v>0.18799999999999994</v>
      </c>
      <c r="Y312" s="17"/>
      <c r="Z312" s="12">
        <v>3.4189672051254445</v>
      </c>
      <c r="AA312" s="12">
        <v>-3.4189672051254449</v>
      </c>
      <c r="AB312" s="12">
        <v>1.7625935478855814</v>
      </c>
      <c r="AC312" s="12">
        <v>1.6563736572398631</v>
      </c>
      <c r="AD312" s="12">
        <v>-1.7594369466541631</v>
      </c>
      <c r="AE312" s="12">
        <v>-1.6595302584712819</v>
      </c>
      <c r="AF312" s="17"/>
      <c r="AG312">
        <v>310</v>
      </c>
      <c r="AH312">
        <v>2</v>
      </c>
      <c r="AI312">
        <v>41</v>
      </c>
      <c r="AJ312">
        <v>20</v>
      </c>
      <c r="AK312">
        <v>37</v>
      </c>
    </row>
    <row r="313" spans="1:37" x14ac:dyDescent="0.25">
      <c r="A313">
        <v>311</v>
      </c>
      <c r="B313" t="s">
        <v>208</v>
      </c>
      <c r="C313" t="s">
        <v>192</v>
      </c>
      <c r="D313" t="s">
        <v>198</v>
      </c>
      <c r="E313" t="s">
        <v>228</v>
      </c>
      <c r="F313">
        <v>8</v>
      </c>
      <c r="G313">
        <v>10</v>
      </c>
      <c r="H313" s="17"/>
      <c r="I313" s="1">
        <v>100.05251346784478</v>
      </c>
      <c r="J313" s="1">
        <v>114.03217122156524</v>
      </c>
      <c r="K313" s="1">
        <v>214.08468468941001</v>
      </c>
      <c r="L313" s="1">
        <v>0.46735016852326011</v>
      </c>
      <c r="M313" s="1">
        <v>0.53264983147673983</v>
      </c>
      <c r="N313" s="19"/>
      <c r="O313" s="1">
        <v>106.38259539360834</v>
      </c>
      <c r="P313" s="1">
        <v>101.3186014054906</v>
      </c>
      <c r="Q313" s="1">
        <v>207.70119679909894</v>
      </c>
      <c r="R313" s="1">
        <v>0.51219057488873299</v>
      </c>
      <c r="S313" s="1">
        <v>0.48780942511126707</v>
      </c>
      <c r="T313" s="19"/>
      <c r="U313" s="1">
        <v>0.57296789339247722</v>
      </c>
      <c r="V313" s="1">
        <v>0.42703210660752272</v>
      </c>
      <c r="W313" s="1">
        <v>0.44400000000000001</v>
      </c>
      <c r="X313" s="1">
        <v>0.55600000000000005</v>
      </c>
      <c r="Y313" s="17"/>
      <c r="Z313" s="12">
        <v>-1.2896789339247721</v>
      </c>
      <c r="AA313" s="12">
        <v>1.2896789339247734</v>
      </c>
      <c r="AB313" s="12">
        <v>-0.60273166711064063</v>
      </c>
      <c r="AC313" s="12">
        <v>-0.68694726681413132</v>
      </c>
      <c r="AD313" s="12">
        <v>0.62911753933595538</v>
      </c>
      <c r="AE313" s="12">
        <v>0.66056139458881802</v>
      </c>
      <c r="AF313" s="17"/>
      <c r="AG313">
        <v>311</v>
      </c>
      <c r="AH313">
        <v>20</v>
      </c>
      <c r="AI313">
        <v>5</v>
      </c>
      <c r="AJ313">
        <v>10</v>
      </c>
      <c r="AK313">
        <v>23</v>
      </c>
    </row>
    <row r="314" spans="1:37" x14ac:dyDescent="0.25">
      <c r="A314">
        <v>312</v>
      </c>
      <c r="B314" t="s">
        <v>208</v>
      </c>
      <c r="C314" t="s">
        <v>192</v>
      </c>
      <c r="D314" t="s">
        <v>198</v>
      </c>
      <c r="E314" t="s">
        <v>228</v>
      </c>
      <c r="F314">
        <v>3</v>
      </c>
      <c r="G314">
        <v>3</v>
      </c>
      <c r="H314" s="17"/>
      <c r="I314" s="1">
        <v>99.449781800734129</v>
      </c>
      <c r="J314" s="1">
        <v>113.34522395475111</v>
      </c>
      <c r="K314" s="1">
        <v>212.79500575548525</v>
      </c>
      <c r="L314" s="1">
        <v>0.46735016852326006</v>
      </c>
      <c r="M314" s="1">
        <v>0.53264983147673983</v>
      </c>
      <c r="N314" s="19"/>
      <c r="O314" s="1">
        <v>107.01171293294429</v>
      </c>
      <c r="P314" s="1">
        <v>101.97916280007942</v>
      </c>
      <c r="Q314" s="1">
        <v>208.9908757330237</v>
      </c>
      <c r="R314" s="1">
        <v>0.51204011925212878</v>
      </c>
      <c r="S314" s="1">
        <v>0.48795988074787122</v>
      </c>
      <c r="T314" s="19"/>
      <c r="U314" s="1">
        <v>0.54368499680109661</v>
      </c>
      <c r="V314" s="1">
        <v>0.45631500319890345</v>
      </c>
      <c r="W314" s="1">
        <v>0.5</v>
      </c>
      <c r="X314" s="1">
        <v>0.5</v>
      </c>
      <c r="Y314" s="17"/>
      <c r="Z314" s="12">
        <v>-0.43684996801096609</v>
      </c>
      <c r="AA314" s="12">
        <v>0.43684996801096554</v>
      </c>
      <c r="AB314" s="12">
        <v>-0.20416190616930577</v>
      </c>
      <c r="AC314" s="12">
        <v>-0.23268806184166027</v>
      </c>
      <c r="AD314" s="12">
        <v>0.21316525829534211</v>
      </c>
      <c r="AE314" s="12">
        <v>0.22368470971562343</v>
      </c>
      <c r="AF314" s="17"/>
      <c r="AG314">
        <v>312</v>
      </c>
      <c r="AH314">
        <v>20</v>
      </c>
      <c r="AI314">
        <v>5</v>
      </c>
      <c r="AJ314">
        <v>10</v>
      </c>
      <c r="AK314">
        <v>23</v>
      </c>
    </row>
    <row r="315" spans="1:37" x14ac:dyDescent="0.25">
      <c r="A315">
        <v>313</v>
      </c>
      <c r="B315" t="s">
        <v>230</v>
      </c>
      <c r="C315" t="s">
        <v>229</v>
      </c>
      <c r="D315" t="s">
        <v>210</v>
      </c>
      <c r="E315" t="s">
        <v>231</v>
      </c>
      <c r="F315">
        <v>3</v>
      </c>
      <c r="G315">
        <v>10</v>
      </c>
      <c r="H315" s="17"/>
      <c r="I315" s="1">
        <v>97.745984388541487</v>
      </c>
      <c r="J315" s="1">
        <v>99.471401109430246</v>
      </c>
      <c r="K315" s="1">
        <v>197.21738549797175</v>
      </c>
      <c r="L315" s="1">
        <v>0.49562559680899299</v>
      </c>
      <c r="M315" s="1">
        <v>0.5043744031910069</v>
      </c>
      <c r="N315" s="19"/>
      <c r="O315" s="1">
        <v>101.57642887168269</v>
      </c>
      <c r="P315" s="1">
        <v>109.19167796272896</v>
      </c>
      <c r="Q315" s="1">
        <v>210.76810683441164</v>
      </c>
      <c r="R315" s="1">
        <v>0.48193453173389961</v>
      </c>
      <c r="S315" s="1">
        <v>0.51806546826610045</v>
      </c>
      <c r="T315" s="19"/>
      <c r="U315" s="1">
        <v>0.34886458819073912</v>
      </c>
      <c r="V315" s="1">
        <v>0.65113541180926082</v>
      </c>
      <c r="W315" s="1">
        <v>6.7749999999999977E-2</v>
      </c>
      <c r="X315" s="1">
        <v>0.93224999999999991</v>
      </c>
      <c r="Y315" s="17"/>
      <c r="Z315" s="12">
        <v>-2.8111458819073913</v>
      </c>
      <c r="AA315" s="12">
        <v>2.8111458819073909</v>
      </c>
      <c r="AB315" s="12">
        <v>-1.3932758554374938</v>
      </c>
      <c r="AC315" s="12">
        <v>-1.4178700264698973</v>
      </c>
      <c r="AD315" s="12">
        <v>1.456357607674672</v>
      </c>
      <c r="AE315" s="12">
        <v>1.3547882742327184</v>
      </c>
      <c r="AF315" s="17"/>
      <c r="AG315">
        <v>313</v>
      </c>
      <c r="AH315">
        <v>31</v>
      </c>
      <c r="AI315">
        <v>25</v>
      </c>
      <c r="AJ315">
        <v>22</v>
      </c>
      <c r="AK315">
        <v>38</v>
      </c>
    </row>
    <row r="316" spans="1:37" x14ac:dyDescent="0.25">
      <c r="A316">
        <v>314</v>
      </c>
      <c r="B316" t="s">
        <v>230</v>
      </c>
      <c r="C316" t="s">
        <v>229</v>
      </c>
      <c r="D316" t="s">
        <v>210</v>
      </c>
      <c r="E316" t="s">
        <v>231</v>
      </c>
      <c r="F316">
        <v>2</v>
      </c>
      <c r="G316">
        <v>10</v>
      </c>
      <c r="H316" s="17"/>
      <c r="I316" s="1">
        <v>96.352708533103993</v>
      </c>
      <c r="J316" s="1">
        <v>98.053531082960347</v>
      </c>
      <c r="K316" s="1">
        <v>194.40623961606434</v>
      </c>
      <c r="L316" s="1">
        <v>0.49562559680899304</v>
      </c>
      <c r="M316" s="1">
        <v>0.50437440319100701</v>
      </c>
      <c r="N316" s="19"/>
      <c r="O316" s="1">
        <v>103.03278647935737</v>
      </c>
      <c r="P316" s="1">
        <v>110.54646623696168</v>
      </c>
      <c r="Q316" s="1">
        <v>213.57925271631905</v>
      </c>
      <c r="R316" s="1">
        <v>0.48241008978623934</v>
      </c>
      <c r="S316" s="1">
        <v>0.51758991021376066</v>
      </c>
      <c r="T316" s="19"/>
      <c r="U316" s="1">
        <v>0.2925668638266386</v>
      </c>
      <c r="V316" s="1">
        <v>0.70743313617336145</v>
      </c>
      <c r="W316" s="1">
        <v>-8.4000000000000075E-2</v>
      </c>
      <c r="X316" s="1">
        <v>1.0840000000000001</v>
      </c>
      <c r="Y316" s="17"/>
      <c r="Z316" s="12">
        <v>-3.7656686382663866</v>
      </c>
      <c r="AA316" s="12">
        <v>3.7656686382663862</v>
      </c>
      <c r="AB316" s="12">
        <v>-1.8663617662256859</v>
      </c>
      <c r="AC316" s="12">
        <v>-1.8993068720407009</v>
      </c>
      <c r="AD316" s="12">
        <v>1.9490720923750733</v>
      </c>
      <c r="AE316" s="12">
        <v>1.8165965458913129</v>
      </c>
      <c r="AF316" s="17"/>
      <c r="AG316">
        <v>314</v>
      </c>
      <c r="AH316">
        <v>31</v>
      </c>
      <c r="AI316">
        <v>25</v>
      </c>
      <c r="AJ316">
        <v>22</v>
      </c>
      <c r="AK316">
        <v>38</v>
      </c>
    </row>
    <row r="317" spans="1:37" x14ac:dyDescent="0.25">
      <c r="A317">
        <v>315</v>
      </c>
      <c r="B317" t="s">
        <v>192</v>
      </c>
      <c r="C317" t="s">
        <v>225</v>
      </c>
      <c r="D317" t="s">
        <v>208</v>
      </c>
      <c r="E317" t="s">
        <v>222</v>
      </c>
      <c r="F317">
        <v>10</v>
      </c>
      <c r="G317">
        <v>8</v>
      </c>
      <c r="H317" s="17"/>
      <c r="I317" s="1">
        <v>113.11253589290945</v>
      </c>
      <c r="J317" s="1">
        <v>102.3106492684403</v>
      </c>
      <c r="K317" s="1">
        <v>215.42318516134975</v>
      </c>
      <c r="L317" s="1">
        <v>0.52507131861498257</v>
      </c>
      <c r="M317" s="1">
        <v>0.47492868138501748</v>
      </c>
      <c r="N317" s="19"/>
      <c r="O317" s="1">
        <v>99.245619894564825</v>
      </c>
      <c r="P317" s="1">
        <v>94.37119861086498</v>
      </c>
      <c r="Q317" s="1">
        <v>193.61681850542982</v>
      </c>
      <c r="R317" s="1">
        <v>0.51258780441008833</v>
      </c>
      <c r="S317" s="1">
        <v>0.48741219558991161</v>
      </c>
      <c r="T317" s="19"/>
      <c r="U317" s="1">
        <v>0.7318875295930064</v>
      </c>
      <c r="V317" s="1">
        <v>0.2681124704069936</v>
      </c>
      <c r="W317" s="1">
        <v>0.55600000000000005</v>
      </c>
      <c r="X317" s="1">
        <v>0.44400000000000001</v>
      </c>
      <c r="Y317" s="17"/>
      <c r="Z317" s="12">
        <v>-1.7588752959300635</v>
      </c>
      <c r="AA317" s="12">
        <v>1.7588752959300642</v>
      </c>
      <c r="AB317" s="12">
        <v>-0.92353497091331616</v>
      </c>
      <c r="AC317" s="12">
        <v>-0.83534032501674749</v>
      </c>
      <c r="AD317" s="12">
        <v>0.85729726975812826</v>
      </c>
      <c r="AE317" s="12">
        <v>0.90157802617193616</v>
      </c>
      <c r="AF317" s="17"/>
      <c r="AG317">
        <v>315</v>
      </c>
      <c r="AH317">
        <v>5</v>
      </c>
      <c r="AI317">
        <v>41</v>
      </c>
      <c r="AJ317">
        <v>20</v>
      </c>
      <c r="AK317">
        <v>37</v>
      </c>
    </row>
    <row r="318" spans="1:37" x14ac:dyDescent="0.25">
      <c r="A318">
        <v>316</v>
      </c>
      <c r="B318" t="s">
        <v>192</v>
      </c>
      <c r="C318" t="s">
        <v>225</v>
      </c>
      <c r="D318" t="s">
        <v>208</v>
      </c>
      <c r="E318" t="s">
        <v>222</v>
      </c>
      <c r="F318">
        <v>10</v>
      </c>
      <c r="G318">
        <v>4</v>
      </c>
      <c r="H318" s="17"/>
      <c r="I318" s="1">
        <v>112.18900092199613</v>
      </c>
      <c r="J318" s="1">
        <v>101.47530894342356</v>
      </c>
      <c r="K318" s="1">
        <v>213.66430986541968</v>
      </c>
      <c r="L318" s="1">
        <v>0.52507131861498246</v>
      </c>
      <c r="M318" s="1">
        <v>0.47492868138501748</v>
      </c>
      <c r="N318" s="19"/>
      <c r="O318" s="1">
        <v>100.10291716432296</v>
      </c>
      <c r="P318" s="1">
        <v>95.272776637036912</v>
      </c>
      <c r="Q318" s="1">
        <v>195.37569380135989</v>
      </c>
      <c r="R318" s="1">
        <v>0.51236116026847456</v>
      </c>
      <c r="S318" s="1">
        <v>0.48763883973152539</v>
      </c>
      <c r="T318" s="19"/>
      <c r="U318" s="1">
        <v>0.69893296619077427</v>
      </c>
      <c r="V318" s="1">
        <v>0.30106703380922578</v>
      </c>
      <c r="W318" s="1">
        <v>0.81200000000000006</v>
      </c>
      <c r="X318" s="1">
        <v>0.18799999999999994</v>
      </c>
      <c r="Y318" s="17"/>
      <c r="Z318" s="12">
        <v>1.1306703380922578</v>
      </c>
      <c r="AA318" s="12">
        <v>-1.1306703380922585</v>
      </c>
      <c r="AB318" s="12">
        <v>0.53698777275130793</v>
      </c>
      <c r="AC318" s="12">
        <v>0.59368256534094987</v>
      </c>
      <c r="AD318" s="12">
        <v>-0.57931156630609792</v>
      </c>
      <c r="AE318" s="12">
        <v>-0.55135877178616044</v>
      </c>
      <c r="AF318" s="17"/>
      <c r="AG318">
        <v>316</v>
      </c>
      <c r="AH318">
        <v>5</v>
      </c>
      <c r="AI318">
        <v>41</v>
      </c>
      <c r="AJ318">
        <v>20</v>
      </c>
      <c r="AK318">
        <v>37</v>
      </c>
    </row>
    <row r="319" spans="1:37" x14ac:dyDescent="0.25">
      <c r="A319">
        <v>317</v>
      </c>
      <c r="B319" t="s">
        <v>208</v>
      </c>
      <c r="C319" t="s">
        <v>230</v>
      </c>
      <c r="D319" t="s">
        <v>210</v>
      </c>
      <c r="E319" t="s">
        <v>225</v>
      </c>
      <c r="F319">
        <v>10</v>
      </c>
      <c r="G319">
        <v>4</v>
      </c>
      <c r="H319" s="17"/>
      <c r="I319" s="1">
        <v>99.523605598016857</v>
      </c>
      <c r="J319" s="1">
        <v>94.486346766878313</v>
      </c>
      <c r="K319" s="1">
        <v>194.00995236489518</v>
      </c>
      <c r="L319" s="1">
        <v>0.5129819598678742</v>
      </c>
      <c r="M319" s="1">
        <v>0.48701804013212568</v>
      </c>
      <c r="N319" s="19"/>
      <c r="O319" s="1">
        <v>104.98185857173245</v>
      </c>
      <c r="P319" s="1">
        <v>102.06899150876451</v>
      </c>
      <c r="Q319" s="1">
        <v>207.05085008049696</v>
      </c>
      <c r="R319" s="1">
        <v>0.50703418281508017</v>
      </c>
      <c r="S319" s="1">
        <v>0.49296581718491983</v>
      </c>
      <c r="T319" s="19"/>
      <c r="U319" s="1">
        <v>0.35421660673188604</v>
      </c>
      <c r="V319" s="1">
        <v>0.64578339326811407</v>
      </c>
      <c r="W319" s="1">
        <v>0.81200000000000006</v>
      </c>
      <c r="X319" s="1">
        <v>0.18799999999999994</v>
      </c>
      <c r="Y319" s="17"/>
      <c r="Z319" s="12">
        <v>4.5778339326811404</v>
      </c>
      <c r="AA319" s="12">
        <v>-4.5778339326811412</v>
      </c>
      <c r="AB319" s="12">
        <v>2.2294877099447108</v>
      </c>
      <c r="AC319" s="12">
        <v>2.34834622273643</v>
      </c>
      <c r="AD319" s="12">
        <v>-2.321118287120127</v>
      </c>
      <c r="AE319" s="12">
        <v>-2.2567156455610142</v>
      </c>
      <c r="AF319" s="17"/>
      <c r="AG319">
        <v>317</v>
      </c>
      <c r="AH319">
        <v>20</v>
      </c>
      <c r="AI319">
        <v>31</v>
      </c>
      <c r="AJ319">
        <v>22</v>
      </c>
      <c r="AK319">
        <v>41</v>
      </c>
    </row>
    <row r="320" spans="1:37" x14ac:dyDescent="0.25">
      <c r="A320">
        <v>318</v>
      </c>
      <c r="B320" t="s">
        <v>208</v>
      </c>
      <c r="C320" t="s">
        <v>230</v>
      </c>
      <c r="D320" t="s">
        <v>210</v>
      </c>
      <c r="E320" t="s">
        <v>225</v>
      </c>
      <c r="F320">
        <v>8</v>
      </c>
      <c r="G320">
        <v>10</v>
      </c>
      <c r="H320" s="17"/>
      <c r="I320" s="1">
        <v>101.75309330796156</v>
      </c>
      <c r="J320" s="1">
        <v>96.834692989614737</v>
      </c>
      <c r="K320" s="1">
        <v>198.58778629757632</v>
      </c>
      <c r="L320" s="1">
        <v>0.51238344112204559</v>
      </c>
      <c r="M320" s="1">
        <v>0.48761655887795435</v>
      </c>
      <c r="N320" s="19"/>
      <c r="O320" s="1">
        <v>102.66074028461232</v>
      </c>
      <c r="P320" s="1">
        <v>99.812275863203496</v>
      </c>
      <c r="Q320" s="1">
        <v>202.47301614781583</v>
      </c>
      <c r="R320" s="1">
        <v>0.50703418281508006</v>
      </c>
      <c r="S320" s="1">
        <v>0.49296581718491983</v>
      </c>
      <c r="T320" s="19"/>
      <c r="U320" s="1">
        <v>0.45538858653721076</v>
      </c>
      <c r="V320" s="1">
        <v>0.5446114134627893</v>
      </c>
      <c r="W320" s="1">
        <v>0.44400000000000001</v>
      </c>
      <c r="X320" s="1">
        <v>0.55600000000000005</v>
      </c>
      <c r="Y320" s="17"/>
      <c r="Z320" s="12">
        <v>-0.11388586537210754</v>
      </c>
      <c r="AA320" s="12">
        <v>0.11388586537210754</v>
      </c>
      <c r="AB320" s="12">
        <v>-5.8353231594522478E-2</v>
      </c>
      <c r="AC320" s="12">
        <v>-5.5532633777585057E-2</v>
      </c>
      <c r="AD320" s="12">
        <v>5.6141838688972774E-2</v>
      </c>
      <c r="AE320" s="12">
        <v>5.7744026683134782E-2</v>
      </c>
      <c r="AF320" s="17"/>
      <c r="AG320">
        <v>318</v>
      </c>
      <c r="AH320">
        <v>20</v>
      </c>
      <c r="AI320">
        <v>31</v>
      </c>
      <c r="AJ320">
        <v>22</v>
      </c>
      <c r="AK320">
        <v>41</v>
      </c>
    </row>
    <row r="321" spans="1:37" x14ac:dyDescent="0.25">
      <c r="A321">
        <v>319</v>
      </c>
      <c r="B321" t="s">
        <v>212</v>
      </c>
      <c r="C321" t="s">
        <v>225</v>
      </c>
      <c r="D321" t="s">
        <v>231</v>
      </c>
      <c r="E321" t="s">
        <v>230</v>
      </c>
      <c r="F321">
        <v>4</v>
      </c>
      <c r="G321">
        <v>10</v>
      </c>
      <c r="H321" s="17"/>
      <c r="I321" s="1">
        <v>87.227646170433232</v>
      </c>
      <c r="J321" s="1">
        <v>99.870019889886635</v>
      </c>
      <c r="K321" s="1">
        <v>187.09766606031985</v>
      </c>
      <c r="L321" s="1">
        <v>0.46621450714575585</v>
      </c>
      <c r="M321" s="1">
        <v>0.53378549285424426</v>
      </c>
      <c r="N321" s="19"/>
      <c r="O321" s="1">
        <v>112.36306278285299</v>
      </c>
      <c r="P321" s="1">
        <v>96.779160355837149</v>
      </c>
      <c r="Q321" s="1">
        <v>209.14222313869016</v>
      </c>
      <c r="R321" s="1">
        <v>0.53725671027385402</v>
      </c>
      <c r="S321" s="1">
        <v>0.46274328972614587</v>
      </c>
      <c r="T321" s="19"/>
      <c r="U321" s="1">
        <v>0.2659655115002047</v>
      </c>
      <c r="V321" s="1">
        <v>0.73403448849979525</v>
      </c>
      <c r="W321" s="1">
        <v>0.18799999999999994</v>
      </c>
      <c r="X321" s="1">
        <v>0.81200000000000006</v>
      </c>
      <c r="Y321" s="17"/>
      <c r="Z321" s="12">
        <v>-0.77965511500204754</v>
      </c>
      <c r="AA321" s="12">
        <v>0.77965511500204809</v>
      </c>
      <c r="AB321" s="12">
        <v>-0.36348652518434721</v>
      </c>
      <c r="AC321" s="12">
        <v>-0.41616858981770044</v>
      </c>
      <c r="AD321" s="12">
        <v>0.36078017276786439</v>
      </c>
      <c r="AE321" s="12">
        <v>0.41887494223418376</v>
      </c>
      <c r="AF321" s="17"/>
      <c r="AG321">
        <v>319</v>
      </c>
      <c r="AH321">
        <v>26</v>
      </c>
      <c r="AI321">
        <v>41</v>
      </c>
      <c r="AJ321">
        <v>38</v>
      </c>
      <c r="AK321">
        <v>31</v>
      </c>
    </row>
    <row r="322" spans="1:37" x14ac:dyDescent="0.25">
      <c r="A322">
        <v>320</v>
      </c>
      <c r="B322" t="s">
        <v>212</v>
      </c>
      <c r="C322" t="s">
        <v>225</v>
      </c>
      <c r="D322" t="s">
        <v>231</v>
      </c>
      <c r="E322" t="s">
        <v>230</v>
      </c>
      <c r="F322">
        <v>10</v>
      </c>
      <c r="G322">
        <v>8</v>
      </c>
      <c r="H322" s="17"/>
      <c r="I322" s="1">
        <v>86.86415964524889</v>
      </c>
      <c r="J322" s="1">
        <v>99.453851300068933</v>
      </c>
      <c r="K322" s="1">
        <v>186.31801094531784</v>
      </c>
      <c r="L322" s="1">
        <v>0.4662145071457558</v>
      </c>
      <c r="M322" s="1">
        <v>0.53378549285424415</v>
      </c>
      <c r="N322" s="19"/>
      <c r="O322" s="1">
        <v>112.72384295562085</v>
      </c>
      <c r="P322" s="1">
        <v>97.198035298071332</v>
      </c>
      <c r="Q322" s="1">
        <v>209.92187825369217</v>
      </c>
      <c r="R322" s="1">
        <v>0.53697996556315697</v>
      </c>
      <c r="S322" s="1">
        <v>0.46302003443684309</v>
      </c>
      <c r="T322" s="19"/>
      <c r="U322" s="1">
        <v>0.25218394692750362</v>
      </c>
      <c r="V322" s="1">
        <v>0.74781605307249643</v>
      </c>
      <c r="W322" s="1">
        <v>0.55600000000000005</v>
      </c>
      <c r="X322" s="1">
        <v>0.44400000000000001</v>
      </c>
      <c r="Y322" s="17"/>
      <c r="Z322" s="12">
        <v>3.0381605307249644</v>
      </c>
      <c r="AA322" s="12">
        <v>-3.0381605307249644</v>
      </c>
      <c r="AB322" s="12">
        <v>1.6217260162633373</v>
      </c>
      <c r="AC322" s="12">
        <v>1.4164345144616273</v>
      </c>
      <c r="AD322" s="12">
        <v>-1.6314313371640341</v>
      </c>
      <c r="AE322" s="12">
        <v>-1.4067291935609305</v>
      </c>
      <c r="AF322" s="17"/>
      <c r="AG322">
        <v>320</v>
      </c>
      <c r="AH322">
        <v>26</v>
      </c>
      <c r="AI322">
        <v>41</v>
      </c>
      <c r="AJ322">
        <v>38</v>
      </c>
      <c r="AK322">
        <v>31</v>
      </c>
    </row>
    <row r="323" spans="1:37" x14ac:dyDescent="0.25">
      <c r="A323">
        <v>321</v>
      </c>
      <c r="B323" t="s">
        <v>192</v>
      </c>
      <c r="C323" t="s">
        <v>230</v>
      </c>
      <c r="D323" t="s">
        <v>190</v>
      </c>
      <c r="E323" t="s">
        <v>222</v>
      </c>
      <c r="F323">
        <v>10</v>
      </c>
      <c r="G323">
        <v>4</v>
      </c>
      <c r="H323" s="17"/>
      <c r="I323" s="1">
        <v>112.72598869474743</v>
      </c>
      <c r="J323" s="1">
        <v>95.791306104510397</v>
      </c>
      <c r="K323" s="1">
        <v>208.51729479925783</v>
      </c>
      <c r="L323" s="1">
        <v>0.54060738128830099</v>
      </c>
      <c r="M323" s="1">
        <v>0.45939261871169906</v>
      </c>
      <c r="N323" s="19"/>
      <c r="O323" s="1">
        <v>96.351099679065356</v>
      </c>
      <c r="P323" s="1">
        <v>94.721417865250757</v>
      </c>
      <c r="Q323" s="1">
        <v>191.0725175443161</v>
      </c>
      <c r="R323" s="1">
        <v>0.50426456361898475</v>
      </c>
      <c r="S323" s="1">
        <v>0.49573543638101536</v>
      </c>
      <c r="T323" s="19"/>
      <c r="U323" s="1">
        <v>0.69069311770136443</v>
      </c>
      <c r="V323" s="1">
        <v>0.30930688229863562</v>
      </c>
      <c r="W323" s="1">
        <v>0.81200000000000006</v>
      </c>
      <c r="X323" s="1">
        <v>0.18799999999999994</v>
      </c>
      <c r="Y323" s="17"/>
      <c r="Z323" s="12">
        <v>1.2130688229863562</v>
      </c>
      <c r="AA323" s="12">
        <v>-1.2130688229863567</v>
      </c>
      <c r="AB323" s="12">
        <v>0.5572748632692206</v>
      </c>
      <c r="AC323" s="12">
        <v>0.65579395971713561</v>
      </c>
      <c r="AD323" s="12">
        <v>-0.61170762066301054</v>
      </c>
      <c r="AE323" s="12">
        <v>-0.60136120232334622</v>
      </c>
      <c r="AF323" s="17"/>
      <c r="AG323">
        <v>321</v>
      </c>
      <c r="AH323">
        <v>5</v>
      </c>
      <c r="AI323">
        <v>31</v>
      </c>
      <c r="AJ323">
        <v>2</v>
      </c>
      <c r="AK323">
        <v>37</v>
      </c>
    </row>
    <row r="324" spans="1:37" x14ac:dyDescent="0.25">
      <c r="A324">
        <v>322</v>
      </c>
      <c r="B324" t="s">
        <v>192</v>
      </c>
      <c r="C324" t="s">
        <v>230</v>
      </c>
      <c r="D324" t="s">
        <v>190</v>
      </c>
      <c r="E324" t="s">
        <v>222</v>
      </c>
      <c r="F324">
        <v>10</v>
      </c>
      <c r="G324">
        <v>3</v>
      </c>
      <c r="H324" s="17"/>
      <c r="I324" s="1">
        <v>113.28326355801664</v>
      </c>
      <c r="J324" s="1">
        <v>96.447100064227527</v>
      </c>
      <c r="K324" s="1">
        <v>209.73036362224417</v>
      </c>
      <c r="L324" s="1">
        <v>0.54013763959355354</v>
      </c>
      <c r="M324" s="1">
        <v>0.45986236040644651</v>
      </c>
      <c r="N324" s="19"/>
      <c r="O324" s="1">
        <v>95.739392058402345</v>
      </c>
      <c r="P324" s="1">
        <v>94.120056662927411</v>
      </c>
      <c r="Q324" s="1">
        <v>189.85944872132976</v>
      </c>
      <c r="R324" s="1">
        <v>0.50426456361898464</v>
      </c>
      <c r="S324" s="1">
        <v>0.49573543638101536</v>
      </c>
      <c r="T324" s="19"/>
      <c r="U324" s="1">
        <v>0.71404049135898684</v>
      </c>
      <c r="V324" s="1">
        <v>0.2859595086410131</v>
      </c>
      <c r="W324" s="1">
        <v>0.93224999999999991</v>
      </c>
      <c r="X324" s="1">
        <v>6.7749999999999977E-2</v>
      </c>
      <c r="Y324" s="17"/>
      <c r="Z324" s="12">
        <v>2.1820950864101309</v>
      </c>
      <c r="AA324" s="12">
        <v>-2.1820950864101314</v>
      </c>
      <c r="AB324" s="12">
        <v>1.0034633970678715</v>
      </c>
      <c r="AC324" s="12">
        <v>1.1786316893422595</v>
      </c>
      <c r="AD324" s="12">
        <v>-1.1003532265237355</v>
      </c>
      <c r="AE324" s="12">
        <v>-1.0817418598863959</v>
      </c>
      <c r="AF324" s="17"/>
      <c r="AG324">
        <v>322</v>
      </c>
      <c r="AH324">
        <v>5</v>
      </c>
      <c r="AI324">
        <v>31</v>
      </c>
      <c r="AJ324">
        <v>2</v>
      </c>
      <c r="AK324">
        <v>37</v>
      </c>
    </row>
    <row r="325" spans="1:37" x14ac:dyDescent="0.25">
      <c r="A325">
        <v>323</v>
      </c>
      <c r="B325" t="s">
        <v>192</v>
      </c>
      <c r="C325" t="s">
        <v>229</v>
      </c>
      <c r="D325" t="s">
        <v>231</v>
      </c>
      <c r="E325" t="s">
        <v>210</v>
      </c>
      <c r="F325">
        <v>10</v>
      </c>
      <c r="G325">
        <v>0</v>
      </c>
      <c r="H325" s="17"/>
      <c r="I325" s="1">
        <v>114.28672695508452</v>
      </c>
      <c r="J325" s="1">
        <v>96.154224210919651</v>
      </c>
      <c r="K325" s="1">
        <v>210.44095116600417</v>
      </c>
      <c r="L325" s="1">
        <v>0.54308216305737289</v>
      </c>
      <c r="M325" s="1">
        <v>0.45691783694262711</v>
      </c>
      <c r="N325" s="19"/>
      <c r="O325" s="1">
        <v>111.09241161845682</v>
      </c>
      <c r="P325" s="1">
        <v>102.71688212330129</v>
      </c>
      <c r="Q325" s="1">
        <v>213.8092937417581</v>
      </c>
      <c r="R325" s="1">
        <v>0.51958644862573566</v>
      </c>
      <c r="S325" s="1">
        <v>0.48041355137426439</v>
      </c>
      <c r="T325" s="19"/>
      <c r="U325" s="1">
        <v>0.46129809425179463</v>
      </c>
      <c r="V325" s="1">
        <v>0.53870190574820542</v>
      </c>
      <c r="W325" s="1">
        <v>1.5</v>
      </c>
      <c r="X325" s="1">
        <v>-0.5</v>
      </c>
      <c r="Y325" s="17"/>
      <c r="Z325" s="12">
        <v>10.387019057482053</v>
      </c>
      <c r="AA325" s="12">
        <v>-10.387019057482053</v>
      </c>
      <c r="AB325" s="12">
        <v>4.7460142800265448</v>
      </c>
      <c r="AC325" s="12">
        <v>5.6410047774555085</v>
      </c>
      <c r="AD325" s="12">
        <v>-5.3969543438849366</v>
      </c>
      <c r="AE325" s="12">
        <v>-4.9900647135971177</v>
      </c>
      <c r="AF325" s="17"/>
      <c r="AG325">
        <v>323</v>
      </c>
      <c r="AH325">
        <v>5</v>
      </c>
      <c r="AI325">
        <v>25</v>
      </c>
      <c r="AJ325">
        <v>38</v>
      </c>
      <c r="AK325">
        <v>22</v>
      </c>
    </row>
    <row r="326" spans="1:37" x14ac:dyDescent="0.25">
      <c r="A326">
        <v>324</v>
      </c>
      <c r="B326" t="s">
        <v>192</v>
      </c>
      <c r="C326" t="s">
        <v>229</v>
      </c>
      <c r="D326" t="s">
        <v>231</v>
      </c>
      <c r="E326" t="s">
        <v>210</v>
      </c>
      <c r="F326">
        <v>8</v>
      </c>
      <c r="G326">
        <v>10</v>
      </c>
      <c r="H326" s="17"/>
      <c r="I326" s="1">
        <v>119.03274123511106</v>
      </c>
      <c r="J326" s="1">
        <v>101.79522898837516</v>
      </c>
      <c r="K326" s="1">
        <v>220.8279702234862</v>
      </c>
      <c r="L326" s="1">
        <v>0.53902927747171459</v>
      </c>
      <c r="M326" s="1">
        <v>0.46097072252828553</v>
      </c>
      <c r="N326" s="19"/>
      <c r="O326" s="1">
        <v>105.69545727457188</v>
      </c>
      <c r="P326" s="1">
        <v>97.726817409704168</v>
      </c>
      <c r="Q326" s="1">
        <v>203.42227468427603</v>
      </c>
      <c r="R326" s="1">
        <v>0.51958644862573566</v>
      </c>
      <c r="S326" s="1">
        <v>0.48041355137426439</v>
      </c>
      <c r="T326" s="19"/>
      <c r="U326" s="1">
        <v>0.69030848785760701</v>
      </c>
      <c r="V326" s="1">
        <v>0.30969151214239304</v>
      </c>
      <c r="W326" s="1">
        <v>0.44400000000000001</v>
      </c>
      <c r="X326" s="1">
        <v>0.55600000000000005</v>
      </c>
      <c r="Y326" s="17"/>
      <c r="Z326" s="12">
        <v>-2.4630848785760699</v>
      </c>
      <c r="AA326" s="12">
        <v>2.4630848785760699</v>
      </c>
      <c r="AB326" s="12">
        <v>-1.3276748624503649</v>
      </c>
      <c r="AC326" s="12">
        <v>-1.1354100161257055</v>
      </c>
      <c r="AD326" s="12">
        <v>1.1832993538529784</v>
      </c>
      <c r="AE326" s="12">
        <v>1.2797855247230912</v>
      </c>
      <c r="AF326" s="17"/>
      <c r="AG326">
        <v>324</v>
      </c>
      <c r="AH326">
        <v>5</v>
      </c>
      <c r="AI326">
        <v>25</v>
      </c>
      <c r="AJ326">
        <v>38</v>
      </c>
      <c r="AK326">
        <v>22</v>
      </c>
    </row>
    <row r="327" spans="1:37" x14ac:dyDescent="0.25">
      <c r="A327">
        <v>325</v>
      </c>
      <c r="B327" t="s">
        <v>208</v>
      </c>
      <c r="C327" t="s">
        <v>227</v>
      </c>
      <c r="D327" t="s">
        <v>230</v>
      </c>
      <c r="E327" t="s">
        <v>214</v>
      </c>
      <c r="F327">
        <v>10</v>
      </c>
      <c r="G327">
        <v>2</v>
      </c>
      <c r="H327" s="17"/>
      <c r="I327" s="1">
        <v>101.69474007636704</v>
      </c>
      <c r="J327" s="1">
        <v>103.45639490294819</v>
      </c>
      <c r="K327" s="1">
        <v>205.15113497931523</v>
      </c>
      <c r="L327" s="1">
        <v>0.49570644630662469</v>
      </c>
      <c r="M327" s="1">
        <v>0.50429355369337536</v>
      </c>
      <c r="N327" s="19"/>
      <c r="O327" s="1">
        <v>97.625731753569781</v>
      </c>
      <c r="P327" s="1">
        <v>87.201974729419263</v>
      </c>
      <c r="Q327" s="1">
        <v>184.82770648298904</v>
      </c>
      <c r="R327" s="1">
        <v>0.52819857807711823</v>
      </c>
      <c r="S327" s="1">
        <v>0.47180142192288177</v>
      </c>
      <c r="T327" s="19"/>
      <c r="U327" s="1">
        <v>0.71827649412285033</v>
      </c>
      <c r="V327" s="1">
        <v>0.28172350587714962</v>
      </c>
      <c r="W327" s="1">
        <v>1.0840000000000001</v>
      </c>
      <c r="X327" s="1">
        <v>-8.4000000000000075E-2</v>
      </c>
      <c r="Y327" s="17"/>
      <c r="Z327" s="12">
        <v>3.6572350587714975</v>
      </c>
      <c r="AA327" s="12">
        <v>-3.657235058771497</v>
      </c>
      <c r="AB327" s="12">
        <v>1.8443200644798785</v>
      </c>
      <c r="AC327" s="12">
        <v>1.8129149942916185</v>
      </c>
      <c r="AD327" s="12">
        <v>-1.9317463577368907</v>
      </c>
      <c r="AE327" s="12">
        <v>-1.7254887010346063</v>
      </c>
      <c r="AF327" s="17"/>
      <c r="AG327">
        <v>325</v>
      </c>
      <c r="AH327">
        <v>20</v>
      </c>
      <c r="AI327">
        <v>46</v>
      </c>
      <c r="AJ327">
        <v>31</v>
      </c>
      <c r="AK327">
        <v>28</v>
      </c>
    </row>
    <row r="328" spans="1:37" x14ac:dyDescent="0.25">
      <c r="A328">
        <v>326</v>
      </c>
      <c r="B328" t="s">
        <v>208</v>
      </c>
      <c r="C328" t="s">
        <v>227</v>
      </c>
      <c r="D328" t="s">
        <v>230</v>
      </c>
      <c r="E328" t="s">
        <v>214</v>
      </c>
      <c r="F328">
        <v>10</v>
      </c>
      <c r="G328">
        <v>4</v>
      </c>
      <c r="H328" s="17"/>
      <c r="I328" s="1">
        <v>103.53906014084691</v>
      </c>
      <c r="J328" s="1">
        <v>105.26930989723981</v>
      </c>
      <c r="K328" s="1">
        <v>208.80837003808671</v>
      </c>
      <c r="L328" s="1">
        <v>0.49585684770184912</v>
      </c>
      <c r="M328" s="1">
        <v>0.50414315229815099</v>
      </c>
      <c r="N328" s="19"/>
      <c r="O328" s="1">
        <v>95.693985395832897</v>
      </c>
      <c r="P328" s="1">
        <v>85.476486028384656</v>
      </c>
      <c r="Q328" s="1">
        <v>181.17047142421757</v>
      </c>
      <c r="R328" s="1">
        <v>0.52819857807711823</v>
      </c>
      <c r="S328" s="1">
        <v>0.47180142192288171</v>
      </c>
      <c r="T328" s="19"/>
      <c r="U328" s="1">
        <v>0.78121694493802862</v>
      </c>
      <c r="V328" s="1">
        <v>0.21878305506197129</v>
      </c>
      <c r="W328" s="1">
        <v>0.81200000000000006</v>
      </c>
      <c r="X328" s="1">
        <v>0.18799999999999994</v>
      </c>
      <c r="Y328" s="17"/>
      <c r="Z328" s="12">
        <v>0.30783055061971432</v>
      </c>
      <c r="AA328" s="12">
        <v>-0.30783055061971348</v>
      </c>
      <c r="AB328" s="12">
        <v>0.15519066416309829</v>
      </c>
      <c r="AC328" s="12">
        <v>0.152639886456616</v>
      </c>
      <c r="AD328" s="12">
        <v>-0.16259565912602902</v>
      </c>
      <c r="AE328" s="12">
        <v>-0.14523489149368443</v>
      </c>
      <c r="AF328" s="17"/>
      <c r="AG328">
        <v>326</v>
      </c>
      <c r="AH328">
        <v>20</v>
      </c>
      <c r="AI328">
        <v>46</v>
      </c>
      <c r="AJ328">
        <v>31</v>
      </c>
      <c r="AK328">
        <v>28</v>
      </c>
    </row>
    <row r="329" spans="1:37" x14ac:dyDescent="0.25">
      <c r="A329">
        <v>327</v>
      </c>
      <c r="B329" t="s">
        <v>204</v>
      </c>
      <c r="C329" t="s">
        <v>192</v>
      </c>
      <c r="D329" t="s">
        <v>210</v>
      </c>
      <c r="E329" t="s">
        <v>222</v>
      </c>
      <c r="F329">
        <v>10</v>
      </c>
      <c r="G329">
        <v>9</v>
      </c>
      <c r="H329" s="17"/>
      <c r="I329" s="1">
        <v>88.734458268997159</v>
      </c>
      <c r="J329" s="1">
        <v>117.7050663726607</v>
      </c>
      <c r="K329" s="1">
        <v>206.43952464165784</v>
      </c>
      <c r="L329" s="1">
        <v>0.42983270002691748</v>
      </c>
      <c r="M329" s="1">
        <v>0.57016729997308258</v>
      </c>
      <c r="N329" s="19"/>
      <c r="O329" s="1">
        <v>99.006602934427264</v>
      </c>
      <c r="P329" s="1">
        <v>93.038314803041018</v>
      </c>
      <c r="Q329" s="1">
        <v>192.04491773746827</v>
      </c>
      <c r="R329" s="1">
        <v>0.51553878176444401</v>
      </c>
      <c r="S329" s="1">
        <v>0.48446121823555605</v>
      </c>
      <c r="T329" s="19"/>
      <c r="U329" s="1">
        <v>0.65991066698416989</v>
      </c>
      <c r="V329" s="1">
        <v>0.34008933301583011</v>
      </c>
      <c r="W329" s="1">
        <v>0.52575000000000005</v>
      </c>
      <c r="X329" s="1">
        <v>0.47425</v>
      </c>
      <c r="Y329" s="17"/>
      <c r="Z329" s="12">
        <v>-1.3416066698416984</v>
      </c>
      <c r="AA329" s="12">
        <v>1.3416066698416991</v>
      </c>
      <c r="AB329" s="12">
        <v>-0.57666641727217849</v>
      </c>
      <c r="AC329" s="12">
        <v>-0.76494025256952003</v>
      </c>
      <c r="AD329" s="12">
        <v>0.6499564016644569</v>
      </c>
      <c r="AE329" s="12">
        <v>0.69165026817724207</v>
      </c>
      <c r="AF329" s="17"/>
      <c r="AG329">
        <v>327</v>
      </c>
      <c r="AH329">
        <v>16</v>
      </c>
      <c r="AI329">
        <v>5</v>
      </c>
      <c r="AJ329">
        <v>22</v>
      </c>
      <c r="AK329">
        <v>37</v>
      </c>
    </row>
    <row r="330" spans="1:37" x14ac:dyDescent="0.25">
      <c r="A330">
        <v>328</v>
      </c>
      <c r="B330" t="s">
        <v>204</v>
      </c>
      <c r="C330" t="s">
        <v>192</v>
      </c>
      <c r="D330" t="s">
        <v>210</v>
      </c>
      <c r="E330" t="s">
        <v>222</v>
      </c>
      <c r="F330">
        <v>10</v>
      </c>
      <c r="G330">
        <v>1</v>
      </c>
      <c r="H330" s="17"/>
      <c r="I330" s="1">
        <v>88.15779185172498</v>
      </c>
      <c r="J330" s="1">
        <v>116.94012612009118</v>
      </c>
      <c r="K330" s="1">
        <v>205.09791797181617</v>
      </c>
      <c r="L330" s="1">
        <v>0.42983270002691742</v>
      </c>
      <c r="M330" s="1">
        <v>0.57016729997308246</v>
      </c>
      <c r="N330" s="19"/>
      <c r="O330" s="1">
        <v>99.656559336091718</v>
      </c>
      <c r="P330" s="1">
        <v>93.72996507121826</v>
      </c>
      <c r="Q330" s="1">
        <v>193.38652440730999</v>
      </c>
      <c r="R330" s="1">
        <v>0.51532318315104231</v>
      </c>
      <c r="S330" s="1">
        <v>0.48467681684895764</v>
      </c>
      <c r="T330" s="19"/>
      <c r="U330" s="1">
        <v>0.63165645294948125</v>
      </c>
      <c r="V330" s="1">
        <v>0.36834354705051869</v>
      </c>
      <c r="W330" s="1">
        <v>1.2717499999999999</v>
      </c>
      <c r="X330" s="1">
        <v>-0.27175000000000005</v>
      </c>
      <c r="Y330" s="17"/>
      <c r="Z330" s="12">
        <v>6.4009354705051873</v>
      </c>
      <c r="AA330" s="12">
        <v>-6.4009354705051873</v>
      </c>
      <c r="AB330" s="12">
        <v>3.6496040945198756</v>
      </c>
      <c r="AC330" s="12">
        <v>2.7513313759853126</v>
      </c>
      <c r="AD330" s="12">
        <v>-3.2985504418051477</v>
      </c>
      <c r="AE330" s="12">
        <v>-3.1023850287000392</v>
      </c>
      <c r="AF330" s="17"/>
      <c r="AG330">
        <v>328</v>
      </c>
      <c r="AH330">
        <v>16</v>
      </c>
      <c r="AI330">
        <v>5</v>
      </c>
      <c r="AJ330">
        <v>22</v>
      </c>
      <c r="AK330">
        <v>37</v>
      </c>
    </row>
    <row r="331" spans="1:37" x14ac:dyDescent="0.25">
      <c r="A331">
        <v>329</v>
      </c>
      <c r="B331" t="s">
        <v>217</v>
      </c>
      <c r="C331" t="s">
        <v>203</v>
      </c>
      <c r="D331" t="s">
        <v>231</v>
      </c>
      <c r="E331" t="s">
        <v>230</v>
      </c>
      <c r="F331">
        <v>4</v>
      </c>
      <c r="G331">
        <v>10</v>
      </c>
      <c r="H331" s="17"/>
      <c r="I331" s="1">
        <v>106.66106577694866</v>
      </c>
      <c r="J331" s="1">
        <v>93.478287852540205</v>
      </c>
      <c r="K331" s="1">
        <v>200.13935362948888</v>
      </c>
      <c r="L331" s="1">
        <v>0.53293399745062953</v>
      </c>
      <c r="M331" s="1">
        <v>0.46706600254937042</v>
      </c>
      <c r="N331" s="19"/>
      <c r="O331" s="1">
        <v>106.87875662842485</v>
      </c>
      <c r="P331" s="1">
        <v>95.531389736706871</v>
      </c>
      <c r="Q331" s="1">
        <v>202.41014636513171</v>
      </c>
      <c r="R331" s="1">
        <v>0.52803062765254927</v>
      </c>
      <c r="S331" s="1">
        <v>0.47196937234745084</v>
      </c>
      <c r="T331" s="19"/>
      <c r="U331" s="1">
        <v>0.47388033121031237</v>
      </c>
      <c r="V331" s="1">
        <v>0.52611966878968752</v>
      </c>
      <c r="W331" s="1">
        <v>0.18799999999999994</v>
      </c>
      <c r="X331" s="1">
        <v>0.81200000000000006</v>
      </c>
      <c r="Y331" s="17"/>
      <c r="Z331" s="12">
        <v>-2.8588033121031242</v>
      </c>
      <c r="AA331" s="12">
        <v>2.8588033121031255</v>
      </c>
      <c r="AB331" s="12">
        <v>-1.5235534770442176</v>
      </c>
      <c r="AC331" s="12">
        <v>-1.3352498350589064</v>
      </c>
      <c r="AD331" s="12">
        <v>1.3492676048781256</v>
      </c>
      <c r="AE331" s="12">
        <v>1.5095357072249997</v>
      </c>
      <c r="AF331" s="17"/>
      <c r="AG331">
        <v>329</v>
      </c>
      <c r="AH331">
        <v>32</v>
      </c>
      <c r="AI331">
        <v>15</v>
      </c>
      <c r="AJ331">
        <v>38</v>
      </c>
      <c r="AK331">
        <v>31</v>
      </c>
    </row>
    <row r="332" spans="1:37" x14ac:dyDescent="0.25">
      <c r="A332">
        <v>330</v>
      </c>
      <c r="B332" t="s">
        <v>217</v>
      </c>
      <c r="C332" t="s">
        <v>203</v>
      </c>
      <c r="D332" t="s">
        <v>231</v>
      </c>
      <c r="E332" t="s">
        <v>230</v>
      </c>
      <c r="F332">
        <v>6</v>
      </c>
      <c r="G332">
        <v>10</v>
      </c>
      <c r="H332" s="17"/>
      <c r="I332" s="1">
        <v>105.13751229990444</v>
      </c>
      <c r="J332" s="1">
        <v>92.143038017481302</v>
      </c>
      <c r="K332" s="1">
        <v>197.28055031738575</v>
      </c>
      <c r="L332" s="1">
        <v>0.53293399745062953</v>
      </c>
      <c r="M332" s="1">
        <v>0.46706600254937047</v>
      </c>
      <c r="N332" s="19"/>
      <c r="O332" s="1">
        <v>108.22802423330297</v>
      </c>
      <c r="P332" s="1">
        <v>97.040925443931869</v>
      </c>
      <c r="Q332" s="1">
        <v>205.26894967723484</v>
      </c>
      <c r="R332" s="1">
        <v>0.52724985636395982</v>
      </c>
      <c r="S332" s="1">
        <v>0.47275014363604012</v>
      </c>
      <c r="T332" s="19"/>
      <c r="U332" s="1">
        <v>0.40905353596490579</v>
      </c>
      <c r="V332" s="1">
        <v>0.59094646403509421</v>
      </c>
      <c r="W332" s="1">
        <v>0.35199999999999998</v>
      </c>
      <c r="X332" s="1">
        <v>0.64800000000000002</v>
      </c>
      <c r="Y332" s="17"/>
      <c r="Z332" s="12">
        <v>-0.5705353596490581</v>
      </c>
      <c r="AA332" s="12">
        <v>0.5705353596490581</v>
      </c>
      <c r="AB332" s="12">
        <v>-0.30405768990470511</v>
      </c>
      <c r="AC332" s="12">
        <v>-0.266477669744353</v>
      </c>
      <c r="AD332" s="12">
        <v>0.26972067322353205</v>
      </c>
      <c r="AE332" s="12">
        <v>0.30081468642552606</v>
      </c>
      <c r="AF332" s="17"/>
      <c r="AG332">
        <v>330</v>
      </c>
      <c r="AH332">
        <v>32</v>
      </c>
      <c r="AI332">
        <v>15</v>
      </c>
      <c r="AJ332">
        <v>38</v>
      </c>
      <c r="AK332">
        <v>31</v>
      </c>
    </row>
    <row r="333" spans="1:37" x14ac:dyDescent="0.25">
      <c r="A333">
        <v>331</v>
      </c>
      <c r="B333" t="s">
        <v>208</v>
      </c>
      <c r="C333" t="s">
        <v>222</v>
      </c>
      <c r="D333" t="s">
        <v>227</v>
      </c>
      <c r="E333" t="s">
        <v>230</v>
      </c>
      <c r="F333">
        <v>5</v>
      </c>
      <c r="G333">
        <v>10</v>
      </c>
      <c r="H333" s="17"/>
      <c r="I333" s="1">
        <v>103.69425080501001</v>
      </c>
      <c r="J333" s="1">
        <v>90.627580042518218</v>
      </c>
      <c r="K333" s="1">
        <v>194.32183084752825</v>
      </c>
      <c r="L333" s="1">
        <v>0.53362121153732944</v>
      </c>
      <c r="M333" s="1">
        <v>0.4663787884626705</v>
      </c>
      <c r="N333" s="19"/>
      <c r="O333" s="1">
        <v>105.42194978369642</v>
      </c>
      <c r="P333" s="1">
        <v>97.341740130357394</v>
      </c>
      <c r="Q333" s="1">
        <v>202.76368991405383</v>
      </c>
      <c r="R333" s="1">
        <v>0.5199251889151455</v>
      </c>
      <c r="S333" s="1">
        <v>0.48007481108485445</v>
      </c>
      <c r="T333" s="19"/>
      <c r="U333" s="1">
        <v>0.40401536505797203</v>
      </c>
      <c r="V333" s="1">
        <v>0.59598463494202791</v>
      </c>
      <c r="W333" s="1">
        <v>0.28125</v>
      </c>
      <c r="X333" s="1">
        <v>0.71875</v>
      </c>
      <c r="Y333" s="17"/>
      <c r="Z333" s="12">
        <v>-1.2276536505797204</v>
      </c>
      <c r="AA333" s="12">
        <v>1.2276536505797209</v>
      </c>
      <c r="AB333" s="12">
        <v>-0.65510202837057574</v>
      </c>
      <c r="AC333" s="12">
        <v>-0.57255162220914468</v>
      </c>
      <c r="AD333" s="12">
        <v>0.58936559437969149</v>
      </c>
      <c r="AE333" s="12">
        <v>0.63828805620002937</v>
      </c>
      <c r="AF333" s="17"/>
      <c r="AG333">
        <v>331</v>
      </c>
      <c r="AH333">
        <v>20</v>
      </c>
      <c r="AI333">
        <v>37</v>
      </c>
      <c r="AJ333">
        <v>46</v>
      </c>
      <c r="AK333">
        <v>31</v>
      </c>
    </row>
    <row r="334" spans="1:37" x14ac:dyDescent="0.25">
      <c r="A334">
        <v>332</v>
      </c>
      <c r="B334" t="s">
        <v>208</v>
      </c>
      <c r="C334" t="s">
        <v>222</v>
      </c>
      <c r="D334" t="s">
        <v>227</v>
      </c>
      <c r="E334" t="s">
        <v>230</v>
      </c>
      <c r="F334">
        <v>6</v>
      </c>
      <c r="G334">
        <v>10</v>
      </c>
      <c r="H334" s="17"/>
      <c r="I334" s="1">
        <v>103.03914877663944</v>
      </c>
      <c r="J334" s="1">
        <v>90.055028420309071</v>
      </c>
      <c r="K334" s="1">
        <v>193.09417719694852</v>
      </c>
      <c r="L334" s="1">
        <v>0.53362121153732944</v>
      </c>
      <c r="M334" s="1">
        <v>0.4663787884626705</v>
      </c>
      <c r="N334" s="19"/>
      <c r="O334" s="1">
        <v>106.01131537807611</v>
      </c>
      <c r="P334" s="1">
        <v>97.980028186557419</v>
      </c>
      <c r="Q334" s="1">
        <v>203.99134356463352</v>
      </c>
      <c r="R334" s="1">
        <v>0.51968536274916488</v>
      </c>
      <c r="S334" s="1">
        <v>0.48031463725083506</v>
      </c>
      <c r="T334" s="19"/>
      <c r="U334" s="1">
        <v>0.37710999047022992</v>
      </c>
      <c r="V334" s="1">
        <v>0.62289000952977014</v>
      </c>
      <c r="W334" s="1">
        <v>0.35199999999999998</v>
      </c>
      <c r="X334" s="1">
        <v>0.64800000000000002</v>
      </c>
      <c r="Y334" s="17"/>
      <c r="Z334" s="12">
        <v>-0.25109990470229937</v>
      </c>
      <c r="AA334" s="12">
        <v>0.25109990470229882</v>
      </c>
      <c r="AB334" s="12">
        <v>-0.13399223536414895</v>
      </c>
      <c r="AC334" s="12">
        <v>-0.11710766933815039</v>
      </c>
      <c r="AD334" s="12">
        <v>0.12060695964080392</v>
      </c>
      <c r="AE334" s="12">
        <v>0.13049294506149489</v>
      </c>
      <c r="AF334" s="17"/>
      <c r="AG334">
        <v>332</v>
      </c>
      <c r="AH334">
        <v>20</v>
      </c>
      <c r="AI334">
        <v>37</v>
      </c>
      <c r="AJ334">
        <v>46</v>
      </c>
      <c r="AK334">
        <v>31</v>
      </c>
    </row>
    <row r="335" spans="1:37" x14ac:dyDescent="0.25">
      <c r="A335">
        <v>333</v>
      </c>
      <c r="B335" t="s">
        <v>214</v>
      </c>
      <c r="C335" t="s">
        <v>210</v>
      </c>
      <c r="D335" t="s">
        <v>225</v>
      </c>
      <c r="E335" t="s">
        <v>217</v>
      </c>
      <c r="F335">
        <v>6</v>
      </c>
      <c r="G335">
        <v>10</v>
      </c>
      <c r="H335" s="17"/>
      <c r="I335" s="1">
        <v>85.33125113689097</v>
      </c>
      <c r="J335" s="1">
        <v>96.35800889428657</v>
      </c>
      <c r="K335" s="1">
        <v>181.68926003117753</v>
      </c>
      <c r="L335" s="1">
        <v>0.46965489937186322</v>
      </c>
      <c r="M335" s="1">
        <v>0.53034510062813689</v>
      </c>
      <c r="N335" s="19"/>
      <c r="O335" s="1">
        <v>100.87028581453056</v>
      </c>
      <c r="P335" s="1">
        <v>104.83345460999973</v>
      </c>
      <c r="Q335" s="1">
        <v>205.70374042453028</v>
      </c>
      <c r="R335" s="1">
        <v>0.49036680425137141</v>
      </c>
      <c r="S335" s="1">
        <v>0.50963319574862864</v>
      </c>
      <c r="T335" s="19"/>
      <c r="U335" s="1">
        <v>0.24863460831516804</v>
      </c>
      <c r="V335" s="1">
        <v>0.75136539168483196</v>
      </c>
      <c r="W335" s="1">
        <v>0.35199999999999998</v>
      </c>
      <c r="X335" s="1">
        <v>0.64800000000000002</v>
      </c>
      <c r="Y335" s="17"/>
      <c r="Z335" s="12">
        <v>1.0336539168483194</v>
      </c>
      <c r="AA335" s="12">
        <v>-1.0336539168483194</v>
      </c>
      <c r="AB335" s="12">
        <v>0.54819329054558974</v>
      </c>
      <c r="AC335" s="12">
        <v>0.48546062630272963</v>
      </c>
      <c r="AD335" s="12">
        <v>-0.50686956790682314</v>
      </c>
      <c r="AE335" s="12">
        <v>-0.52678434894149628</v>
      </c>
      <c r="AF335" s="17"/>
      <c r="AG335">
        <v>333</v>
      </c>
      <c r="AH335">
        <v>28</v>
      </c>
      <c r="AI335">
        <v>22</v>
      </c>
      <c r="AJ335">
        <v>41</v>
      </c>
      <c r="AK335">
        <v>32</v>
      </c>
    </row>
    <row r="336" spans="1:37" x14ac:dyDescent="0.25">
      <c r="A336">
        <v>334</v>
      </c>
      <c r="B336" t="s">
        <v>214</v>
      </c>
      <c r="C336" t="s">
        <v>210</v>
      </c>
      <c r="D336" t="s">
        <v>225</v>
      </c>
      <c r="E336" t="s">
        <v>217</v>
      </c>
      <c r="F336">
        <v>2</v>
      </c>
      <c r="G336">
        <v>10</v>
      </c>
      <c r="H336" s="17"/>
      <c r="I336" s="1">
        <v>85.879444427436553</v>
      </c>
      <c r="J336" s="1">
        <v>96.843469520589295</v>
      </c>
      <c r="K336" s="1">
        <v>182.72291394802585</v>
      </c>
      <c r="L336" s="1">
        <v>0.4699982206493506</v>
      </c>
      <c r="M336" s="1">
        <v>0.5300017793506494</v>
      </c>
      <c r="N336" s="19"/>
      <c r="O336" s="1">
        <v>100.36341624662374</v>
      </c>
      <c r="P336" s="1">
        <v>104.30667026105824</v>
      </c>
      <c r="Q336" s="1">
        <v>204.67008650768199</v>
      </c>
      <c r="R336" s="1">
        <v>0.49036680425137141</v>
      </c>
      <c r="S336" s="1">
        <v>0.50963319574862864</v>
      </c>
      <c r="T336" s="19"/>
      <c r="U336" s="1">
        <v>0.26684197277831245</v>
      </c>
      <c r="V336" s="1">
        <v>0.73315802722168755</v>
      </c>
      <c r="W336" s="1">
        <v>-8.4000000000000075E-2</v>
      </c>
      <c r="X336" s="1">
        <v>1.0840000000000001</v>
      </c>
      <c r="Y336" s="17"/>
      <c r="Z336" s="12">
        <v>-3.5084197277831253</v>
      </c>
      <c r="AA336" s="12">
        <v>3.5084197277831253</v>
      </c>
      <c r="AB336" s="12">
        <v>-1.6489510293491478</v>
      </c>
      <c r="AC336" s="12">
        <v>-1.8594686984339774</v>
      </c>
      <c r="AD336" s="12">
        <v>1.788007157897648</v>
      </c>
      <c r="AE336" s="12">
        <v>1.7204125698854773</v>
      </c>
      <c r="AF336" s="17"/>
      <c r="AG336">
        <v>334</v>
      </c>
      <c r="AH336">
        <v>28</v>
      </c>
      <c r="AI336">
        <v>22</v>
      </c>
      <c r="AJ336">
        <v>41</v>
      </c>
      <c r="AK336">
        <v>32</v>
      </c>
    </row>
    <row r="337" spans="1:37" x14ac:dyDescent="0.25">
      <c r="A337">
        <v>335</v>
      </c>
      <c r="B337" t="s">
        <v>195</v>
      </c>
      <c r="C337" t="s">
        <v>208</v>
      </c>
      <c r="D337" t="s">
        <v>193</v>
      </c>
      <c r="E337" t="s">
        <v>219</v>
      </c>
      <c r="F337">
        <v>10</v>
      </c>
      <c r="G337">
        <v>3</v>
      </c>
      <c r="H337" s="17"/>
      <c r="I337" s="1">
        <v>100.64757684147678</v>
      </c>
      <c r="J337" s="1">
        <v>102.90515654127529</v>
      </c>
      <c r="K337" s="1">
        <v>203.55273338275208</v>
      </c>
      <c r="L337" s="1">
        <v>0.4944545581327236</v>
      </c>
      <c r="M337" s="1">
        <v>0.50554544186727635</v>
      </c>
      <c r="N337" s="19"/>
      <c r="O337" s="1">
        <v>100</v>
      </c>
      <c r="P337" s="1">
        <v>100</v>
      </c>
      <c r="Q337" s="1">
        <v>200</v>
      </c>
      <c r="R337" s="1">
        <v>0.5</v>
      </c>
      <c r="S337" s="1">
        <v>0.5</v>
      </c>
      <c r="T337" s="19"/>
      <c r="U337" s="1">
        <v>0.54081135854184093</v>
      </c>
      <c r="V337" s="1">
        <v>0.45918864145815902</v>
      </c>
      <c r="W337" s="1">
        <v>0.93224999999999991</v>
      </c>
      <c r="X337" s="1">
        <v>6.7749999999999977E-2</v>
      </c>
      <c r="Y337" s="17"/>
      <c r="Z337" s="12">
        <v>3.9143864145815899</v>
      </c>
      <c r="AA337" s="12">
        <v>-3.9143864145815903</v>
      </c>
      <c r="AB337" s="12">
        <v>1.9789002095989139</v>
      </c>
      <c r="AC337" s="12">
        <v>1.9354862049826764</v>
      </c>
      <c r="AD337" s="12">
        <v>-1.9571932072907952</v>
      </c>
      <c r="AE337" s="12">
        <v>-1.9571932072907952</v>
      </c>
      <c r="AF337" s="17"/>
      <c r="AG337">
        <v>335</v>
      </c>
      <c r="AH337">
        <v>8</v>
      </c>
      <c r="AI337">
        <v>20</v>
      </c>
      <c r="AJ337">
        <v>6</v>
      </c>
      <c r="AK337">
        <v>34</v>
      </c>
    </row>
    <row r="338" spans="1:37" x14ac:dyDescent="0.25">
      <c r="A338">
        <v>336</v>
      </c>
      <c r="B338" t="s">
        <v>207</v>
      </c>
      <c r="C338" t="s">
        <v>232</v>
      </c>
      <c r="D338" t="s">
        <v>198</v>
      </c>
      <c r="E338" t="s">
        <v>202</v>
      </c>
      <c r="F338">
        <v>5</v>
      </c>
      <c r="G338">
        <v>6</v>
      </c>
      <c r="H338" s="17"/>
      <c r="I338" s="1">
        <v>102.30709748699844</v>
      </c>
      <c r="J338" s="1">
        <v>104.99704067456956</v>
      </c>
      <c r="K338" s="1">
        <v>207.30413816156801</v>
      </c>
      <c r="L338" s="1">
        <v>0.49351208516282818</v>
      </c>
      <c r="M338" s="1">
        <v>0.50648791483717182</v>
      </c>
      <c r="N338" s="19"/>
      <c r="O338" s="1">
        <v>107.22487819123964</v>
      </c>
      <c r="P338" s="1">
        <v>99.631251706469783</v>
      </c>
      <c r="Q338" s="1">
        <v>206.85612989770942</v>
      </c>
      <c r="R338" s="1">
        <v>0.51835485003157733</v>
      </c>
      <c r="S338" s="1">
        <v>0.48164514996842273</v>
      </c>
      <c r="T338" s="19"/>
      <c r="U338" s="1">
        <v>0.50515770279823458</v>
      </c>
      <c r="V338" s="1">
        <v>0.49484229720176548</v>
      </c>
      <c r="W338" s="1">
        <v>0.47425</v>
      </c>
      <c r="X338" s="1">
        <v>0.52575000000000005</v>
      </c>
      <c r="Y338" s="17"/>
      <c r="Z338" s="12">
        <v>-0.30907702798234571</v>
      </c>
      <c r="AA338" s="12">
        <v>0.30907702798234571</v>
      </c>
      <c r="AB338" s="12">
        <v>-0.15253324855549721</v>
      </c>
      <c r="AC338" s="12">
        <v>-0.1565437794268485</v>
      </c>
      <c r="AD338" s="12">
        <v>0.14886545149435126</v>
      </c>
      <c r="AE338" s="12">
        <v>0.16021157648799444</v>
      </c>
      <c r="AF338" s="17"/>
      <c r="AG338">
        <v>336</v>
      </c>
      <c r="AH338">
        <v>19</v>
      </c>
      <c r="AI338">
        <v>42</v>
      </c>
      <c r="AJ338">
        <v>10</v>
      </c>
      <c r="AK338">
        <v>14</v>
      </c>
    </row>
    <row r="339" spans="1:37" x14ac:dyDescent="0.25">
      <c r="A339">
        <v>337</v>
      </c>
      <c r="B339" t="s">
        <v>207</v>
      </c>
      <c r="C339" t="s">
        <v>232</v>
      </c>
      <c r="D339" t="s">
        <v>198</v>
      </c>
      <c r="E339" t="s">
        <v>202</v>
      </c>
      <c r="F339">
        <v>2</v>
      </c>
      <c r="G339">
        <v>6</v>
      </c>
      <c r="H339" s="17"/>
      <c r="I339" s="1">
        <v>102.15456423844294</v>
      </c>
      <c r="J339" s="1">
        <v>104.84049689514271</v>
      </c>
      <c r="K339" s="1">
        <v>206.99506113358564</v>
      </c>
      <c r="L339" s="1">
        <v>0.49351208516282818</v>
      </c>
      <c r="M339" s="1">
        <v>0.50648791483717182</v>
      </c>
      <c r="N339" s="19"/>
      <c r="O339" s="1">
        <v>107.37374364273398</v>
      </c>
      <c r="P339" s="1">
        <v>99.791463282957778</v>
      </c>
      <c r="Q339" s="1">
        <v>207.16520692569176</v>
      </c>
      <c r="R339" s="1">
        <v>0.51830008154432972</v>
      </c>
      <c r="S339" s="1">
        <v>0.48169991845567028</v>
      </c>
      <c r="T339" s="19"/>
      <c r="U339" s="1">
        <v>0.49804113419935903</v>
      </c>
      <c r="V339" s="1">
        <v>0.50195886580064097</v>
      </c>
      <c r="W339" s="1">
        <v>0.35199999999999998</v>
      </c>
      <c r="X339" s="1">
        <v>0.64800000000000002</v>
      </c>
      <c r="Y339" s="17"/>
      <c r="Z339" s="12">
        <v>-1.4604113419935905</v>
      </c>
      <c r="AA339" s="12">
        <v>1.4604113419935905</v>
      </c>
      <c r="AB339" s="12">
        <v>-0.72073064658270103</v>
      </c>
      <c r="AC339" s="12">
        <v>-0.73968069541088943</v>
      </c>
      <c r="AD339" s="12">
        <v>0.70348002435004853</v>
      </c>
      <c r="AE339" s="12">
        <v>0.75693131764354193</v>
      </c>
      <c r="AF339" s="17"/>
      <c r="AG339">
        <v>337</v>
      </c>
      <c r="AH339">
        <v>19</v>
      </c>
      <c r="AI339">
        <v>42</v>
      </c>
      <c r="AJ339">
        <v>10</v>
      </c>
      <c r="AK339">
        <v>14</v>
      </c>
    </row>
    <row r="340" spans="1:37" x14ac:dyDescent="0.25">
      <c r="A340">
        <v>338</v>
      </c>
      <c r="B340" t="s">
        <v>208</v>
      </c>
      <c r="C340" t="s">
        <v>192</v>
      </c>
      <c r="D340" t="s">
        <v>222</v>
      </c>
      <c r="E340" t="s">
        <v>219</v>
      </c>
      <c r="F340">
        <v>10</v>
      </c>
      <c r="G340">
        <v>6</v>
      </c>
      <c r="H340" s="17"/>
      <c r="I340" s="1">
        <v>104.84064274625797</v>
      </c>
      <c r="J340" s="1">
        <v>119.6914574960765</v>
      </c>
      <c r="K340" s="1">
        <v>224.53210024233448</v>
      </c>
      <c r="L340" s="1">
        <v>0.46692941736662541</v>
      </c>
      <c r="M340" s="1">
        <v>0.53307058263337448</v>
      </c>
      <c r="N340" s="19"/>
      <c r="O340" s="1">
        <v>89.937920750970918</v>
      </c>
      <c r="P340" s="1">
        <v>98.0428067927092</v>
      </c>
      <c r="Q340" s="1">
        <v>187.98072754368013</v>
      </c>
      <c r="R340" s="1">
        <v>0.47844224206480157</v>
      </c>
      <c r="S340" s="1">
        <v>0.52155775793519843</v>
      </c>
      <c r="T340" s="19"/>
      <c r="U340" s="1">
        <v>0.84333479077734297</v>
      </c>
      <c r="V340" s="1">
        <v>0.15666520922265711</v>
      </c>
      <c r="W340" s="1">
        <v>0.64800000000000002</v>
      </c>
      <c r="X340" s="1">
        <v>0.35199999999999998</v>
      </c>
      <c r="Y340" s="17"/>
      <c r="Z340" s="12">
        <v>-1.9533479077734295</v>
      </c>
      <c r="AA340" s="12">
        <v>1.9533479077734286</v>
      </c>
      <c r="AB340" s="12">
        <v>-0.91207560049096414</v>
      </c>
      <c r="AC340" s="12">
        <v>-1.041272307282465</v>
      </c>
      <c r="AD340" s="12">
        <v>1.0187837552457202</v>
      </c>
      <c r="AE340" s="12">
        <v>0.93456415252770841</v>
      </c>
      <c r="AF340" s="17"/>
      <c r="AG340">
        <v>338</v>
      </c>
      <c r="AH340">
        <v>20</v>
      </c>
      <c r="AI340">
        <v>5</v>
      </c>
      <c r="AJ340">
        <v>37</v>
      </c>
      <c r="AK340">
        <v>34</v>
      </c>
    </row>
    <row r="341" spans="1:37" x14ac:dyDescent="0.25">
      <c r="A341">
        <v>339</v>
      </c>
      <c r="B341" t="s">
        <v>208</v>
      </c>
      <c r="C341" t="s">
        <v>192</v>
      </c>
      <c r="D341" t="s">
        <v>222</v>
      </c>
      <c r="E341" t="s">
        <v>219</v>
      </c>
      <c r="F341">
        <v>10</v>
      </c>
      <c r="G341">
        <v>2</v>
      </c>
      <c r="H341" s="17"/>
      <c r="I341" s="1">
        <v>103.928567145767</v>
      </c>
      <c r="J341" s="1">
        <v>118.65018518879403</v>
      </c>
      <c r="K341" s="1">
        <v>222.57875233456105</v>
      </c>
      <c r="L341" s="1">
        <v>0.46692941736662541</v>
      </c>
      <c r="M341" s="1">
        <v>0.53307058263337448</v>
      </c>
      <c r="N341" s="19"/>
      <c r="O341" s="1">
        <v>90.956704506216639</v>
      </c>
      <c r="P341" s="1">
        <v>98.977370945236913</v>
      </c>
      <c r="Q341" s="1">
        <v>189.93407545145357</v>
      </c>
      <c r="R341" s="1">
        <v>0.47888565698399299</v>
      </c>
      <c r="S341" s="1">
        <v>0.5211143430160069</v>
      </c>
      <c r="T341" s="19"/>
      <c r="U341" s="1">
        <v>0.81807253270034141</v>
      </c>
      <c r="V341" s="1">
        <v>0.18192746729965867</v>
      </c>
      <c r="W341" s="1">
        <v>1.0840000000000001</v>
      </c>
      <c r="X341" s="1">
        <v>-8.4000000000000075E-2</v>
      </c>
      <c r="Y341" s="17"/>
      <c r="Z341" s="12">
        <v>2.6592746729965864</v>
      </c>
      <c r="AA341" s="12">
        <v>-2.6592746729965877</v>
      </c>
      <c r="AB341" s="12">
        <v>1.417581099316467</v>
      </c>
      <c r="AC341" s="12">
        <v>1.2416935736801198</v>
      </c>
      <c r="AD341" s="12">
        <v>-1.273488498878864</v>
      </c>
      <c r="AE341" s="12">
        <v>-1.3857861741177233</v>
      </c>
      <c r="AF341" s="17"/>
      <c r="AG341">
        <v>339</v>
      </c>
      <c r="AH341">
        <v>20</v>
      </c>
      <c r="AI341">
        <v>5</v>
      </c>
      <c r="AJ341">
        <v>37</v>
      </c>
      <c r="AK341">
        <v>34</v>
      </c>
    </row>
    <row r="342" spans="1:37" x14ac:dyDescent="0.25">
      <c r="A342">
        <v>340</v>
      </c>
      <c r="B342" t="s">
        <v>208</v>
      </c>
      <c r="C342" t="s">
        <v>225</v>
      </c>
      <c r="D342" t="s">
        <v>193</v>
      </c>
      <c r="E342" t="s">
        <v>219</v>
      </c>
      <c r="F342">
        <v>10</v>
      </c>
      <c r="G342">
        <v>7</v>
      </c>
      <c r="H342" s="17"/>
      <c r="I342" s="1">
        <v>105.34614824508347</v>
      </c>
      <c r="J342" s="1">
        <v>102.1514234045214</v>
      </c>
      <c r="K342" s="1">
        <v>207.49757164960488</v>
      </c>
      <c r="L342" s="1">
        <v>0.50769822223740746</v>
      </c>
      <c r="M342" s="1">
        <v>0.49230177776259249</v>
      </c>
      <c r="N342" s="19"/>
      <c r="O342" s="1">
        <v>98.0428067927092</v>
      </c>
      <c r="P342" s="1">
        <v>97.591584771119187</v>
      </c>
      <c r="Q342" s="1">
        <v>195.63439156382839</v>
      </c>
      <c r="R342" s="1">
        <v>0.50115322775812354</v>
      </c>
      <c r="S342" s="1">
        <v>0.49884677224187651</v>
      </c>
      <c r="T342" s="19"/>
      <c r="U342" s="1">
        <v>0.63328129682877754</v>
      </c>
      <c r="V342" s="1">
        <v>0.36671870317122252</v>
      </c>
      <c r="W342" s="1">
        <v>0.59525000000000006</v>
      </c>
      <c r="X342" s="1">
        <v>0.40475</v>
      </c>
      <c r="Y342" s="17"/>
      <c r="Z342" s="12">
        <v>-0.38031296828777483</v>
      </c>
      <c r="AA342" s="12">
        <v>0.38031296828777483</v>
      </c>
      <c r="AB342" s="12">
        <v>-0.1930842178935348</v>
      </c>
      <c r="AC342" s="12">
        <v>-0.18722875039424</v>
      </c>
      <c r="AD342" s="12">
        <v>0.18971789667208361</v>
      </c>
      <c r="AE342" s="12">
        <v>0.1905950716156912</v>
      </c>
      <c r="AF342" s="17"/>
      <c r="AG342">
        <v>340</v>
      </c>
      <c r="AH342">
        <v>20</v>
      </c>
      <c r="AI342">
        <v>41</v>
      </c>
      <c r="AJ342">
        <v>6</v>
      </c>
      <c r="AK342">
        <v>34</v>
      </c>
    </row>
    <row r="343" spans="1:37" x14ac:dyDescent="0.25">
      <c r="A343">
        <v>341</v>
      </c>
      <c r="B343" t="s">
        <v>208</v>
      </c>
      <c r="C343" t="s">
        <v>225</v>
      </c>
      <c r="D343" t="s">
        <v>193</v>
      </c>
      <c r="E343" t="s">
        <v>219</v>
      </c>
      <c r="F343">
        <v>10</v>
      </c>
      <c r="G343">
        <v>2</v>
      </c>
      <c r="H343" s="17"/>
      <c r="I343" s="1">
        <v>105.15306402718994</v>
      </c>
      <c r="J343" s="1">
        <v>101.96419465412716</v>
      </c>
      <c r="K343" s="1">
        <v>207.11725868131708</v>
      </c>
      <c r="L343" s="1">
        <v>0.50769822223740757</v>
      </c>
      <c r="M343" s="1">
        <v>0.49230177776259254</v>
      </c>
      <c r="N343" s="19"/>
      <c r="O343" s="1">
        <v>98.232524689381279</v>
      </c>
      <c r="P343" s="1">
        <v>97.782179842734877</v>
      </c>
      <c r="Q343" s="1">
        <v>196.01470453211616</v>
      </c>
      <c r="R343" s="1">
        <v>0.50114875271149006</v>
      </c>
      <c r="S343" s="1">
        <v>0.49885124728850988</v>
      </c>
      <c r="T343" s="19"/>
      <c r="U343" s="1">
        <v>0.62510918656039516</v>
      </c>
      <c r="V343" s="1">
        <v>0.37489081343960495</v>
      </c>
      <c r="W343" s="1">
        <v>1.0840000000000001</v>
      </c>
      <c r="X343" s="1">
        <v>-8.4000000000000075E-2</v>
      </c>
      <c r="Y343" s="17"/>
      <c r="Z343" s="12">
        <v>4.5889081343960489</v>
      </c>
      <c r="AA343" s="12">
        <v>-4.5889081343960498</v>
      </c>
      <c r="AB343" s="12">
        <v>2.2591276325523961</v>
      </c>
      <c r="AC343" s="12">
        <v>2.3297805018436519</v>
      </c>
      <c r="AD343" s="12">
        <v>-2.2997255878601912</v>
      </c>
      <c r="AE343" s="12">
        <v>-2.2891825465358582</v>
      </c>
      <c r="AF343" s="17"/>
      <c r="AG343">
        <v>341</v>
      </c>
      <c r="AH343">
        <v>20</v>
      </c>
      <c r="AI343">
        <v>41</v>
      </c>
      <c r="AJ343">
        <v>6</v>
      </c>
      <c r="AK343">
        <v>34</v>
      </c>
    </row>
    <row r="344" spans="1:37" x14ac:dyDescent="0.25">
      <c r="A344">
        <v>342</v>
      </c>
      <c r="B344" t="s">
        <v>230</v>
      </c>
      <c r="C344" t="s">
        <v>203</v>
      </c>
      <c r="D344" t="s">
        <v>190</v>
      </c>
      <c r="E344" t="s">
        <v>220</v>
      </c>
      <c r="F344">
        <v>1</v>
      </c>
      <c r="G344">
        <v>10</v>
      </c>
      <c r="H344" s="17"/>
      <c r="I344" s="1">
        <v>98.11052113161891</v>
      </c>
      <c r="J344" s="1">
        <v>91.876560347736955</v>
      </c>
      <c r="K344" s="1">
        <v>189.98708147935588</v>
      </c>
      <c r="L344" s="1">
        <v>0.51640627545657447</v>
      </c>
      <c r="M344" s="1">
        <v>0.48359372454342547</v>
      </c>
      <c r="N344" s="19"/>
      <c r="O344" s="1">
        <v>94.639038831878608</v>
      </c>
      <c r="P344" s="1">
        <v>97.291744176733616</v>
      </c>
      <c r="Q344" s="1">
        <v>191.93078300861222</v>
      </c>
      <c r="R344" s="1">
        <v>0.49308942186533994</v>
      </c>
      <c r="S344" s="1">
        <v>0.50691057813466012</v>
      </c>
      <c r="T344" s="19"/>
      <c r="U344" s="1">
        <v>0.47763723837394717</v>
      </c>
      <c r="V344" s="1">
        <v>0.52236276162605277</v>
      </c>
      <c r="W344" s="1">
        <v>-0.27175000000000005</v>
      </c>
      <c r="X344" s="1">
        <v>1.2717499999999999</v>
      </c>
      <c r="Y344" s="17"/>
      <c r="Z344" s="12">
        <v>-7.4938723837394727</v>
      </c>
      <c r="AA344" s="12">
        <v>7.4938723837394718</v>
      </c>
      <c r="AB344" s="12">
        <v>-3.8698827264337825</v>
      </c>
      <c r="AC344" s="12">
        <v>-3.6239896573056898</v>
      </c>
      <c r="AD344" s="12">
        <v>3.7987231825087391</v>
      </c>
      <c r="AE344" s="12">
        <v>3.6951492012307328</v>
      </c>
      <c r="AF344" s="17"/>
      <c r="AG344">
        <v>342</v>
      </c>
      <c r="AH344">
        <v>31</v>
      </c>
      <c r="AI344">
        <v>15</v>
      </c>
      <c r="AJ344">
        <v>2</v>
      </c>
      <c r="AK344">
        <v>35</v>
      </c>
    </row>
    <row r="345" spans="1:37" x14ac:dyDescent="0.25">
      <c r="A345">
        <v>343</v>
      </c>
      <c r="B345" t="s">
        <v>230</v>
      </c>
      <c r="C345" t="s">
        <v>203</v>
      </c>
      <c r="D345" t="s">
        <v>190</v>
      </c>
      <c r="E345" t="s">
        <v>220</v>
      </c>
      <c r="F345">
        <v>0</v>
      </c>
      <c r="G345">
        <v>10</v>
      </c>
      <c r="H345" s="17"/>
      <c r="I345" s="1">
        <v>94.240638405185123</v>
      </c>
      <c r="J345" s="1">
        <v>88.25257069043127</v>
      </c>
      <c r="K345" s="1">
        <v>182.49320909561641</v>
      </c>
      <c r="L345" s="1">
        <v>0.51640627545657447</v>
      </c>
      <c r="M345" s="1">
        <v>0.48359372454342547</v>
      </c>
      <c r="N345" s="19"/>
      <c r="O345" s="1">
        <v>98.437762014387346</v>
      </c>
      <c r="P345" s="1">
        <v>100.98689337796435</v>
      </c>
      <c r="Q345" s="1">
        <v>199.4246553923517</v>
      </c>
      <c r="R345" s="1">
        <v>0.49360878583803541</v>
      </c>
      <c r="S345" s="1">
        <v>0.50639121416196453</v>
      </c>
      <c r="T345" s="19"/>
      <c r="U345" s="1">
        <v>0.31437982242800433</v>
      </c>
      <c r="V345" s="1">
        <v>0.68562017757199567</v>
      </c>
      <c r="W345" s="1">
        <v>-0.5</v>
      </c>
      <c r="X345" s="1">
        <v>1.5</v>
      </c>
      <c r="Y345" s="17"/>
      <c r="Z345" s="12">
        <v>-8.1437982242800437</v>
      </c>
      <c r="AA345" s="12">
        <v>8.1437982242800437</v>
      </c>
      <c r="AB345" s="12">
        <v>-4.2055085090703219</v>
      </c>
      <c r="AC345" s="12">
        <v>-3.9382897152097209</v>
      </c>
      <c r="AD345" s="12">
        <v>4.1239478706832227</v>
      </c>
      <c r="AE345" s="12">
        <v>4.019850353596822</v>
      </c>
      <c r="AF345" s="17"/>
      <c r="AG345">
        <v>343</v>
      </c>
      <c r="AH345">
        <v>31</v>
      </c>
      <c r="AI345">
        <v>15</v>
      </c>
      <c r="AJ345">
        <v>2</v>
      </c>
      <c r="AK345">
        <v>35</v>
      </c>
    </row>
    <row r="346" spans="1:37" x14ac:dyDescent="0.25">
      <c r="A346">
        <v>344</v>
      </c>
      <c r="B346" t="s">
        <v>229</v>
      </c>
      <c r="C346" t="s">
        <v>231</v>
      </c>
      <c r="D346" t="s">
        <v>210</v>
      </c>
      <c r="E346" t="s">
        <v>204</v>
      </c>
      <c r="F346">
        <v>10</v>
      </c>
      <c r="G346">
        <v>7</v>
      </c>
      <c r="H346" s="17"/>
      <c r="I346" s="1">
        <v>100.65981897224945</v>
      </c>
      <c r="J346" s="1">
        <v>108.49774490652651</v>
      </c>
      <c r="K346" s="1">
        <v>209.15756387877596</v>
      </c>
      <c r="L346" s="1">
        <v>0.48126310665288735</v>
      </c>
      <c r="M346" s="1">
        <v>0.5187368933471127</v>
      </c>
      <c r="N346" s="19"/>
      <c r="O346" s="1">
        <v>94.984000822155323</v>
      </c>
      <c r="P346" s="1">
        <v>91.807395946244853</v>
      </c>
      <c r="Q346" s="1">
        <v>186.79139676840018</v>
      </c>
      <c r="R346" s="1">
        <v>0.50850308132726552</v>
      </c>
      <c r="S346" s="1">
        <v>0.49149691867273443</v>
      </c>
      <c r="T346" s="19"/>
      <c r="U346" s="1">
        <v>0.73691590737170232</v>
      </c>
      <c r="V346" s="1">
        <v>0.26308409262829768</v>
      </c>
      <c r="W346" s="1">
        <v>0.59525000000000006</v>
      </c>
      <c r="X346" s="1">
        <v>0.40475</v>
      </c>
      <c r="Y346" s="17"/>
      <c r="Z346" s="12">
        <v>-1.4166590737170226</v>
      </c>
      <c r="AA346" s="12">
        <v>1.4166590737170233</v>
      </c>
      <c r="AB346" s="12">
        <v>-0.681785746885056</v>
      </c>
      <c r="AC346" s="12">
        <v>-0.7348733268319666</v>
      </c>
      <c r="AD346" s="12">
        <v>0.69628356954168713</v>
      </c>
      <c r="AE346" s="12">
        <v>0.72037550417533613</v>
      </c>
      <c r="AF346" s="17"/>
      <c r="AG346">
        <v>344</v>
      </c>
      <c r="AH346">
        <v>25</v>
      </c>
      <c r="AI346">
        <v>38</v>
      </c>
      <c r="AJ346">
        <v>22</v>
      </c>
      <c r="AK346">
        <v>16</v>
      </c>
    </row>
    <row r="347" spans="1:37" x14ac:dyDescent="0.25">
      <c r="A347">
        <v>345</v>
      </c>
      <c r="B347" t="s">
        <v>229</v>
      </c>
      <c r="C347" t="s">
        <v>231</v>
      </c>
      <c r="D347" t="s">
        <v>210</v>
      </c>
      <c r="E347" t="s">
        <v>204</v>
      </c>
      <c r="F347">
        <v>10</v>
      </c>
      <c r="G347">
        <v>4</v>
      </c>
      <c r="H347" s="17"/>
      <c r="I347" s="1">
        <v>99.978033225364399</v>
      </c>
      <c r="J347" s="1">
        <v>107.76287157969453</v>
      </c>
      <c r="K347" s="1">
        <v>207.74090480505893</v>
      </c>
      <c r="L347" s="1">
        <v>0.48126310665288735</v>
      </c>
      <c r="M347" s="1">
        <v>0.51873689334711259</v>
      </c>
      <c r="N347" s="19"/>
      <c r="O347" s="1">
        <v>95.680284391697015</v>
      </c>
      <c r="P347" s="1">
        <v>92.52777145042019</v>
      </c>
      <c r="Q347" s="1">
        <v>188.2080558421172</v>
      </c>
      <c r="R347" s="1">
        <v>0.50837507440149476</v>
      </c>
      <c r="S347" s="1">
        <v>0.49162492559850524</v>
      </c>
      <c r="T347" s="19"/>
      <c r="U347" s="1">
        <v>0.71085104506584529</v>
      </c>
      <c r="V347" s="1">
        <v>0.28914895493415466</v>
      </c>
      <c r="W347" s="1">
        <v>0.81200000000000006</v>
      </c>
      <c r="X347" s="1">
        <v>0.18799999999999994</v>
      </c>
      <c r="Y347" s="17"/>
      <c r="Z347" s="12">
        <v>1.0114895493415477</v>
      </c>
      <c r="AA347" s="12">
        <v>-1.011489549341547</v>
      </c>
      <c r="AB347" s="12">
        <v>0.5246969464785054</v>
      </c>
      <c r="AC347" s="12">
        <v>0.48679260286304227</v>
      </c>
      <c r="AD347" s="12">
        <v>-0.51421607490284338</v>
      </c>
      <c r="AE347" s="12">
        <v>-0.49727347443870362</v>
      </c>
      <c r="AF347" s="17"/>
      <c r="AG347">
        <v>345</v>
      </c>
      <c r="AH347">
        <v>25</v>
      </c>
      <c r="AI347">
        <v>38</v>
      </c>
      <c r="AJ347">
        <v>22</v>
      </c>
      <c r="AK347">
        <v>16</v>
      </c>
    </row>
    <row r="348" spans="1:37" x14ac:dyDescent="0.25">
      <c r="A348">
        <v>346</v>
      </c>
      <c r="B348" t="s">
        <v>214</v>
      </c>
      <c r="C348" t="s">
        <v>227</v>
      </c>
      <c r="D348" t="s">
        <v>225</v>
      </c>
      <c r="E348" t="s">
        <v>222</v>
      </c>
      <c r="F348">
        <v>5</v>
      </c>
      <c r="G348">
        <v>10</v>
      </c>
      <c r="H348" s="17"/>
      <c r="I348" s="1">
        <v>84.230493398087404</v>
      </c>
      <c r="J348" s="1">
        <v>106.13192233771692</v>
      </c>
      <c r="K348" s="1">
        <v>190.36241573580432</v>
      </c>
      <c r="L348" s="1">
        <v>0.44247438798521671</v>
      </c>
      <c r="M348" s="1">
        <v>0.55752561201478323</v>
      </c>
      <c r="N348" s="19"/>
      <c r="O348" s="1">
        <v>104.29397515597081</v>
      </c>
      <c r="P348" s="1">
        <v>89.683216007337776</v>
      </c>
      <c r="Q348" s="1">
        <v>193.97719116330859</v>
      </c>
      <c r="R348" s="1">
        <v>0.53766102360027546</v>
      </c>
      <c r="S348" s="1">
        <v>0.46233897639972449</v>
      </c>
      <c r="T348" s="19"/>
      <c r="U348" s="1">
        <v>0.45847919798864645</v>
      </c>
      <c r="V348" s="1">
        <v>0.54152080201135344</v>
      </c>
      <c r="W348" s="1">
        <v>0.28125</v>
      </c>
      <c r="X348" s="1">
        <v>0.71875</v>
      </c>
      <c r="Y348" s="17"/>
      <c r="Z348" s="12">
        <v>-1.7722919798864645</v>
      </c>
      <c r="AA348" s="12">
        <v>1.7722919798864656</v>
      </c>
      <c r="AB348" s="12">
        <v>-0.78419380913137138</v>
      </c>
      <c r="AC348" s="12">
        <v>-0.98809817075509299</v>
      </c>
      <c r="AD348" s="12">
        <v>0.81939965986214969</v>
      </c>
      <c r="AE348" s="12">
        <v>0.9528923200243159</v>
      </c>
      <c r="AF348" s="17"/>
      <c r="AG348">
        <v>346</v>
      </c>
      <c r="AH348">
        <v>28</v>
      </c>
      <c r="AI348">
        <v>46</v>
      </c>
      <c r="AJ348">
        <v>41</v>
      </c>
      <c r="AK348">
        <v>37</v>
      </c>
    </row>
    <row r="349" spans="1:37" x14ac:dyDescent="0.25">
      <c r="A349">
        <v>347</v>
      </c>
      <c r="B349" t="s">
        <v>214</v>
      </c>
      <c r="C349" t="s">
        <v>227</v>
      </c>
      <c r="D349" t="s">
        <v>225</v>
      </c>
      <c r="E349" t="s">
        <v>222</v>
      </c>
      <c r="F349">
        <v>5</v>
      </c>
      <c r="G349">
        <v>10</v>
      </c>
      <c r="H349" s="17"/>
      <c r="I349" s="1">
        <v>83.446299588956037</v>
      </c>
      <c r="J349" s="1">
        <v>105.14382416696182</v>
      </c>
      <c r="K349" s="1">
        <v>188.59012375591786</v>
      </c>
      <c r="L349" s="1">
        <v>0.44247438798521671</v>
      </c>
      <c r="M349" s="1">
        <v>0.55752561201478323</v>
      </c>
      <c r="N349" s="19"/>
      <c r="O349" s="1">
        <v>105.11337481583297</v>
      </c>
      <c r="P349" s="1">
        <v>90.636108327362095</v>
      </c>
      <c r="Q349" s="1">
        <v>195.74948314319505</v>
      </c>
      <c r="R349" s="1">
        <v>0.53697906695845643</v>
      </c>
      <c r="S349" s="1">
        <v>0.46302093304154368</v>
      </c>
      <c r="T349" s="19"/>
      <c r="U349" s="1">
        <v>0.41831345313087381</v>
      </c>
      <c r="V349" s="1">
        <v>0.58168654686912624</v>
      </c>
      <c r="W349" s="1">
        <v>0.28125</v>
      </c>
      <c r="X349" s="1">
        <v>0.71875</v>
      </c>
      <c r="Y349" s="17"/>
      <c r="Z349" s="12">
        <v>-1.3706345313087382</v>
      </c>
      <c r="AA349" s="12">
        <v>1.3706345313087376</v>
      </c>
      <c r="AB349" s="12">
        <v>-0.60647067539223831</v>
      </c>
      <c r="AC349" s="12">
        <v>-0.76416385591649982</v>
      </c>
      <c r="AD349" s="12">
        <v>0.63463247954553048</v>
      </c>
      <c r="AE349" s="12">
        <v>0.73600205176320699</v>
      </c>
      <c r="AF349" s="17"/>
      <c r="AG349">
        <v>347</v>
      </c>
      <c r="AH349">
        <v>28</v>
      </c>
      <c r="AI349">
        <v>46</v>
      </c>
      <c r="AJ349">
        <v>41</v>
      </c>
      <c r="AK349">
        <v>37</v>
      </c>
    </row>
    <row r="350" spans="1:37" x14ac:dyDescent="0.25">
      <c r="A350">
        <v>348</v>
      </c>
      <c r="B350" t="s">
        <v>190</v>
      </c>
      <c r="C350" t="s">
        <v>220</v>
      </c>
      <c r="D350" t="s">
        <v>192</v>
      </c>
      <c r="E350" t="s">
        <v>210</v>
      </c>
      <c r="F350">
        <v>3</v>
      </c>
      <c r="G350">
        <v>10</v>
      </c>
      <c r="H350" s="17"/>
      <c r="I350" s="1">
        <v>102.56170988507057</v>
      </c>
      <c r="J350" s="1">
        <v>105.00674373156117</v>
      </c>
      <c r="K350" s="1">
        <v>207.56845361663176</v>
      </c>
      <c r="L350" s="1">
        <v>0.49411029517277594</v>
      </c>
      <c r="M350" s="1">
        <v>0.50588970482722395</v>
      </c>
      <c r="N350" s="19"/>
      <c r="O350" s="1">
        <v>119.89187876247415</v>
      </c>
      <c r="P350" s="1">
        <v>95.166068316794167</v>
      </c>
      <c r="Q350" s="1">
        <v>215.05794707926833</v>
      </c>
      <c r="R350" s="1">
        <v>0.5574863909506359</v>
      </c>
      <c r="S350" s="1">
        <v>0.44251360904936404</v>
      </c>
      <c r="T350" s="19"/>
      <c r="U350" s="1">
        <v>0.41461875025452188</v>
      </c>
      <c r="V350" s="1">
        <v>0.58538124974547812</v>
      </c>
      <c r="W350" s="1">
        <v>6.7749999999999977E-2</v>
      </c>
      <c r="X350" s="1">
        <v>0.93224999999999991</v>
      </c>
      <c r="Y350" s="17"/>
      <c r="Z350" s="12">
        <v>-3.4686875025452188</v>
      </c>
      <c r="AA350" s="12">
        <v>3.468687502545218</v>
      </c>
      <c r="AB350" s="12">
        <v>-1.713914205744737</v>
      </c>
      <c r="AC350" s="12">
        <v>-1.7547732968004814</v>
      </c>
      <c r="AD350" s="12">
        <v>1.5349414254157097</v>
      </c>
      <c r="AE350" s="12">
        <v>1.9337460771295085</v>
      </c>
      <c r="AF350" s="17"/>
      <c r="AG350">
        <v>348</v>
      </c>
      <c r="AH350">
        <v>2</v>
      </c>
      <c r="AI350">
        <v>35</v>
      </c>
      <c r="AJ350">
        <v>5</v>
      </c>
      <c r="AK350">
        <v>22</v>
      </c>
    </row>
    <row r="351" spans="1:37" x14ac:dyDescent="0.25">
      <c r="A351">
        <v>349</v>
      </c>
      <c r="B351" t="s">
        <v>190</v>
      </c>
      <c r="C351" t="s">
        <v>220</v>
      </c>
      <c r="D351" t="s">
        <v>192</v>
      </c>
      <c r="E351" t="s">
        <v>210</v>
      </c>
      <c r="F351">
        <v>9</v>
      </c>
      <c r="G351">
        <v>10</v>
      </c>
      <c r="H351" s="17"/>
      <c r="I351" s="1">
        <v>100.84779567932583</v>
      </c>
      <c r="J351" s="1">
        <v>103.25197043476069</v>
      </c>
      <c r="K351" s="1">
        <v>204.09976611408652</v>
      </c>
      <c r="L351" s="1">
        <v>0.49411029517277594</v>
      </c>
      <c r="M351" s="1">
        <v>0.50588970482722406</v>
      </c>
      <c r="N351" s="19"/>
      <c r="O351" s="1">
        <v>121.42682018788986</v>
      </c>
      <c r="P351" s="1">
        <v>97.09981439392368</v>
      </c>
      <c r="Q351" s="1">
        <v>218.52663458181354</v>
      </c>
      <c r="R351" s="1">
        <v>0.55566142049576672</v>
      </c>
      <c r="S351" s="1">
        <v>0.44433857950423322</v>
      </c>
      <c r="T351" s="19"/>
      <c r="U351" s="1">
        <v>0.33975597875719876</v>
      </c>
      <c r="V351" s="1">
        <v>0.66024402124280124</v>
      </c>
      <c r="W351" s="1">
        <v>0.47425</v>
      </c>
      <c r="X351" s="1">
        <v>0.52575000000000005</v>
      </c>
      <c r="Y351" s="17"/>
      <c r="Z351" s="12">
        <v>1.3449402124280123</v>
      </c>
      <c r="AA351" s="12">
        <v>-1.3449402124280119</v>
      </c>
      <c r="AB351" s="12">
        <v>0.68039140707547119</v>
      </c>
      <c r="AC351" s="12">
        <v>0.66454880535254113</v>
      </c>
      <c r="AD351" s="12">
        <v>-0.74733138891962736</v>
      </c>
      <c r="AE351" s="12">
        <v>-0.59760882350838451</v>
      </c>
      <c r="AF351" s="17"/>
      <c r="AG351">
        <v>349</v>
      </c>
      <c r="AH351">
        <v>2</v>
      </c>
      <c r="AI351">
        <v>35</v>
      </c>
      <c r="AJ351">
        <v>5</v>
      </c>
      <c r="AK351">
        <v>22</v>
      </c>
    </row>
    <row r="352" spans="1:37" x14ac:dyDescent="0.25">
      <c r="A352">
        <v>350</v>
      </c>
      <c r="B352" t="s">
        <v>225</v>
      </c>
      <c r="C352" t="s">
        <v>208</v>
      </c>
      <c r="D352" t="s">
        <v>192</v>
      </c>
      <c r="E352" t="s">
        <v>222</v>
      </c>
      <c r="F352">
        <v>10</v>
      </c>
      <c r="G352">
        <v>7</v>
      </c>
      <c r="H352" s="17"/>
      <c r="I352" s="1">
        <v>105.7480072953785</v>
      </c>
      <c r="J352" s="1">
        <v>107.41219165974233</v>
      </c>
      <c r="K352" s="1">
        <v>213.16019895512085</v>
      </c>
      <c r="L352" s="1">
        <v>0.4960963998614154</v>
      </c>
      <c r="M352" s="1">
        <v>0.50390360013858448</v>
      </c>
      <c r="N352" s="19"/>
      <c r="O352" s="1">
        <v>120.67948879897023</v>
      </c>
      <c r="P352" s="1">
        <v>91.372110379125303</v>
      </c>
      <c r="Q352" s="1">
        <v>212.05159917809553</v>
      </c>
      <c r="R352" s="1">
        <v>0.56910435604692278</v>
      </c>
      <c r="S352" s="1">
        <v>0.43089564395307728</v>
      </c>
      <c r="T352" s="19"/>
      <c r="U352" s="1">
        <v>0.51276045515369928</v>
      </c>
      <c r="V352" s="1">
        <v>0.48723954484630078</v>
      </c>
      <c r="W352" s="1">
        <v>0.59525000000000006</v>
      </c>
      <c r="X352" s="1">
        <v>0.40475</v>
      </c>
      <c r="Y352" s="17"/>
      <c r="Z352" s="12">
        <v>0.82489544846300777</v>
      </c>
      <c r="AA352" s="12">
        <v>-0.82489544846300777</v>
      </c>
      <c r="AB352" s="12">
        <v>0.41566778621844186</v>
      </c>
      <c r="AC352" s="12">
        <v>0.40922766224456597</v>
      </c>
      <c r="AD352" s="12">
        <v>-0.46945159300357764</v>
      </c>
      <c r="AE352" s="12">
        <v>-0.35544385545943019</v>
      </c>
      <c r="AF352" s="17"/>
      <c r="AG352">
        <v>350</v>
      </c>
      <c r="AH352">
        <v>41</v>
      </c>
      <c r="AI352">
        <v>20</v>
      </c>
      <c r="AJ352">
        <v>5</v>
      </c>
      <c r="AK352">
        <v>37</v>
      </c>
    </row>
    <row r="353" spans="1:37" x14ac:dyDescent="0.25">
      <c r="A353">
        <v>351</v>
      </c>
      <c r="B353" t="s">
        <v>225</v>
      </c>
      <c r="C353" t="s">
        <v>208</v>
      </c>
      <c r="D353" t="s">
        <v>192</v>
      </c>
      <c r="E353" t="s">
        <v>222</v>
      </c>
      <c r="F353">
        <v>3</v>
      </c>
      <c r="G353">
        <v>10</v>
      </c>
      <c r="H353" s="17"/>
      <c r="I353" s="1">
        <v>106.16367508159694</v>
      </c>
      <c r="J353" s="1">
        <v>107.82141932198689</v>
      </c>
      <c r="K353" s="1">
        <v>213.98509440358384</v>
      </c>
      <c r="L353" s="1">
        <v>0.49612649599494202</v>
      </c>
      <c r="M353" s="1">
        <v>0.50387350400505793</v>
      </c>
      <c r="N353" s="19"/>
      <c r="O353" s="1">
        <v>120.21003720596664</v>
      </c>
      <c r="P353" s="1">
        <v>91.016666523665876</v>
      </c>
      <c r="Q353" s="1">
        <v>211.2267037296325</v>
      </c>
      <c r="R353" s="1">
        <v>0.56910435604692278</v>
      </c>
      <c r="S353" s="1">
        <v>0.43089564395307733</v>
      </c>
      <c r="T353" s="19"/>
      <c r="U353" s="1">
        <v>0.53171451155985616</v>
      </c>
      <c r="V353" s="1">
        <v>0.46828548844014384</v>
      </c>
      <c r="W353" s="1">
        <v>6.7749999999999977E-2</v>
      </c>
      <c r="X353" s="1">
        <v>0.93224999999999991</v>
      </c>
      <c r="Y353" s="17"/>
      <c r="Z353" s="12">
        <v>-4.6396451155985616</v>
      </c>
      <c r="AA353" s="12">
        <v>4.6396451155985607</v>
      </c>
      <c r="AB353" s="12">
        <v>-2.3018508738619623</v>
      </c>
      <c r="AC353" s="12">
        <v>-2.3377942417365993</v>
      </c>
      <c r="AD353" s="12">
        <v>1.9992028697995912</v>
      </c>
      <c r="AE353" s="12">
        <v>2.6404422457989689</v>
      </c>
      <c r="AF353" s="17"/>
      <c r="AG353">
        <v>351</v>
      </c>
      <c r="AH353">
        <v>41</v>
      </c>
      <c r="AI353">
        <v>20</v>
      </c>
      <c r="AJ353">
        <v>5</v>
      </c>
      <c r="AK353">
        <v>37</v>
      </c>
    </row>
    <row r="354" spans="1:37" x14ac:dyDescent="0.25">
      <c r="A354">
        <v>352</v>
      </c>
      <c r="B354" t="s">
        <v>210</v>
      </c>
      <c r="C354" t="s">
        <v>198</v>
      </c>
      <c r="D354" t="s">
        <v>192</v>
      </c>
      <c r="E354" t="s">
        <v>191</v>
      </c>
      <c r="F354">
        <v>6</v>
      </c>
      <c r="G354">
        <v>1</v>
      </c>
      <c r="H354" s="17"/>
      <c r="I354" s="1">
        <v>96.502205570415299</v>
      </c>
      <c r="J354" s="1">
        <v>108.07722366708403</v>
      </c>
      <c r="K354" s="1">
        <v>204.57942923749931</v>
      </c>
      <c r="L354" s="1">
        <v>0.47171021021074633</v>
      </c>
      <c r="M354" s="1">
        <v>0.52828978978925378</v>
      </c>
      <c r="N354" s="19"/>
      <c r="O354" s="1">
        <v>122.20924007576623</v>
      </c>
      <c r="P354" s="1">
        <v>99.900323214082661</v>
      </c>
      <c r="Q354" s="1">
        <v>222.10956328984889</v>
      </c>
      <c r="R354" s="1">
        <v>0.55022052299605584</v>
      </c>
      <c r="S354" s="1">
        <v>0.44977947700394411</v>
      </c>
      <c r="T354" s="19"/>
      <c r="U354" s="1">
        <v>0.30846774595241661</v>
      </c>
      <c r="V354" s="1">
        <v>0.69153225404758334</v>
      </c>
      <c r="W354" s="1">
        <v>0.71875</v>
      </c>
      <c r="X354" s="1">
        <v>0.28125</v>
      </c>
      <c r="Y354" s="17"/>
      <c r="Z354" s="12">
        <v>4.1028225404758336</v>
      </c>
      <c r="AA354" s="12">
        <v>-4.1028225404758336</v>
      </c>
      <c r="AB354" s="12">
        <v>2.1674792574505899</v>
      </c>
      <c r="AC354" s="12">
        <v>1.9353432830252433</v>
      </c>
      <c r="AD354" s="12">
        <v>-2.2574571639806198</v>
      </c>
      <c r="AE354" s="12">
        <v>-1.8453653764952138</v>
      </c>
      <c r="AF354" s="17"/>
      <c r="AG354">
        <v>352</v>
      </c>
      <c r="AH354">
        <v>22</v>
      </c>
      <c r="AI354">
        <v>10</v>
      </c>
      <c r="AJ354">
        <v>5</v>
      </c>
      <c r="AK354">
        <v>4</v>
      </c>
    </row>
    <row r="355" spans="1:37" x14ac:dyDescent="0.25">
      <c r="A355">
        <v>353</v>
      </c>
      <c r="B355" t="s">
        <v>210</v>
      </c>
      <c r="C355" t="s">
        <v>198</v>
      </c>
      <c r="D355" t="s">
        <v>192</v>
      </c>
      <c r="E355" t="s">
        <v>191</v>
      </c>
      <c r="F355">
        <v>9</v>
      </c>
      <c r="G355">
        <v>10</v>
      </c>
      <c r="H355" s="17"/>
      <c r="I355" s="1">
        <v>98.669684827865893</v>
      </c>
      <c r="J355" s="1">
        <v>110.01256695010927</v>
      </c>
      <c r="K355" s="1">
        <v>208.68225177797518</v>
      </c>
      <c r="L355" s="1">
        <v>0.47282259984832942</v>
      </c>
      <c r="M355" s="1">
        <v>0.52717740015167047</v>
      </c>
      <c r="N355" s="19"/>
      <c r="O355" s="1">
        <v>119.95178291178561</v>
      </c>
      <c r="P355" s="1">
        <v>98.054957837587452</v>
      </c>
      <c r="Q355" s="1">
        <v>218.00674074937308</v>
      </c>
      <c r="R355" s="1">
        <v>0.55022052299605584</v>
      </c>
      <c r="S355" s="1">
        <v>0.44977947700394411</v>
      </c>
      <c r="T355" s="19"/>
      <c r="U355" s="1">
        <v>0.39426756458428402</v>
      </c>
      <c r="V355" s="1">
        <v>0.60573243541571598</v>
      </c>
      <c r="W355" s="1">
        <v>0.47425</v>
      </c>
      <c r="X355" s="1">
        <v>0.52575000000000005</v>
      </c>
      <c r="Y355" s="17"/>
      <c r="Z355" s="12">
        <v>0.7998243541571598</v>
      </c>
      <c r="AA355" s="12">
        <v>-0.79982435415715925</v>
      </c>
      <c r="AB355" s="12">
        <v>0.42164932360256052</v>
      </c>
      <c r="AC355" s="12">
        <v>0.37817503055459939</v>
      </c>
      <c r="AD355" s="12">
        <v>-0.44007977444933477</v>
      </c>
      <c r="AE355" s="12">
        <v>-0.35974457970782447</v>
      </c>
      <c r="AF355" s="17"/>
      <c r="AG355">
        <v>353</v>
      </c>
      <c r="AH355">
        <v>22</v>
      </c>
      <c r="AI355">
        <v>10</v>
      </c>
      <c r="AJ355">
        <v>5</v>
      </c>
      <c r="AK355">
        <v>4</v>
      </c>
    </row>
    <row r="356" spans="1:37" x14ac:dyDescent="0.25">
      <c r="A356">
        <v>354</v>
      </c>
      <c r="B356" t="s">
        <v>190</v>
      </c>
      <c r="C356" t="s">
        <v>220</v>
      </c>
      <c r="D356" t="s">
        <v>231</v>
      </c>
      <c r="E356" t="s">
        <v>230</v>
      </c>
      <c r="F356">
        <v>9</v>
      </c>
      <c r="G356">
        <v>10</v>
      </c>
      <c r="H356" s="17"/>
      <c r="I356" s="1">
        <v>101.5281870864013</v>
      </c>
      <c r="J356" s="1">
        <v>103.91651924011323</v>
      </c>
      <c r="K356" s="1">
        <v>205.44470632651453</v>
      </c>
      <c r="L356" s="1">
        <v>0.49418740887410323</v>
      </c>
      <c r="M356" s="1">
        <v>0.50581259112589672</v>
      </c>
      <c r="N356" s="19"/>
      <c r="O356" s="1">
        <v>108.24966418255758</v>
      </c>
      <c r="P356" s="1">
        <v>90.035129896114796</v>
      </c>
      <c r="Q356" s="1">
        <v>198.28479407867238</v>
      </c>
      <c r="R356" s="1">
        <v>0.54593023476932856</v>
      </c>
      <c r="S356" s="1">
        <v>0.45406976523067144</v>
      </c>
      <c r="T356" s="19"/>
      <c r="U356" s="1">
        <v>0.58169274201084797</v>
      </c>
      <c r="V356" s="1">
        <v>0.41830725798915208</v>
      </c>
      <c r="W356" s="1">
        <v>0.47425</v>
      </c>
      <c r="X356" s="1">
        <v>0.52575000000000005</v>
      </c>
      <c r="Y356" s="17"/>
      <c r="Z356" s="12">
        <v>-1.0744274201084796</v>
      </c>
      <c r="AA356" s="12">
        <v>1.0744274201084796</v>
      </c>
      <c r="AB356" s="12">
        <v>-0.53096850276669705</v>
      </c>
      <c r="AC356" s="12">
        <v>-0.54345891734178242</v>
      </c>
      <c r="AD356" s="12">
        <v>0.48786500640605329</v>
      </c>
      <c r="AE356" s="12">
        <v>0.58656241370242623</v>
      </c>
      <c r="AF356" s="17"/>
      <c r="AG356">
        <v>354</v>
      </c>
      <c r="AH356">
        <v>2</v>
      </c>
      <c r="AI356">
        <v>35</v>
      </c>
      <c r="AJ356">
        <v>38</v>
      </c>
      <c r="AK356">
        <v>31</v>
      </c>
    </row>
    <row r="357" spans="1:37" x14ac:dyDescent="0.25">
      <c r="A357">
        <v>355</v>
      </c>
      <c r="B357" t="s">
        <v>190</v>
      </c>
      <c r="C357" t="s">
        <v>220</v>
      </c>
      <c r="D357" t="s">
        <v>231</v>
      </c>
      <c r="E357" t="s">
        <v>230</v>
      </c>
      <c r="F357">
        <v>10</v>
      </c>
      <c r="G357">
        <v>5</v>
      </c>
      <c r="H357" s="17"/>
      <c r="I357" s="1">
        <v>100.99721858363461</v>
      </c>
      <c r="J357" s="1">
        <v>103.37306032277145</v>
      </c>
      <c r="K357" s="1">
        <v>204.37027890640604</v>
      </c>
      <c r="L357" s="1">
        <v>0.49418740887410328</v>
      </c>
      <c r="M357" s="1">
        <v>0.50581259112589683</v>
      </c>
      <c r="N357" s="19"/>
      <c r="O357" s="1">
        <v>108.73752918896363</v>
      </c>
      <c r="P357" s="1">
        <v>90.62169230981722</v>
      </c>
      <c r="Q357" s="1">
        <v>199.35922149878087</v>
      </c>
      <c r="R357" s="1">
        <v>0.54543516157153826</v>
      </c>
      <c r="S357" s="1">
        <v>0.45456483842846163</v>
      </c>
      <c r="T357" s="19"/>
      <c r="U357" s="1">
        <v>0.55743726063205801</v>
      </c>
      <c r="V357" s="1">
        <v>0.44256273936794199</v>
      </c>
      <c r="W357" s="1">
        <v>0.71875</v>
      </c>
      <c r="X357" s="1">
        <v>0.28125</v>
      </c>
      <c r="Y357" s="17"/>
      <c r="Z357" s="12">
        <v>1.6131273936794199</v>
      </c>
      <c r="AA357" s="12">
        <v>-1.6131273936794199</v>
      </c>
      <c r="AB357" s="12">
        <v>0.81594014681315186</v>
      </c>
      <c r="AC357" s="12">
        <v>0.79718724686626785</v>
      </c>
      <c r="AD357" s="12">
        <v>-0.87985640060700887</v>
      </c>
      <c r="AE357" s="12">
        <v>-0.73327099307241095</v>
      </c>
      <c r="AF357" s="17"/>
      <c r="AG357">
        <v>355</v>
      </c>
      <c r="AH357">
        <v>2</v>
      </c>
      <c r="AI357">
        <v>35</v>
      </c>
      <c r="AJ357">
        <v>38</v>
      </c>
      <c r="AK357">
        <v>31</v>
      </c>
    </row>
    <row r="358" spans="1:37" x14ac:dyDescent="0.25">
      <c r="A358">
        <v>356</v>
      </c>
      <c r="B358" t="s">
        <v>210</v>
      </c>
      <c r="C358" t="s">
        <v>227</v>
      </c>
      <c r="D358" t="s">
        <v>229</v>
      </c>
      <c r="E358" t="s">
        <v>231</v>
      </c>
      <c r="F358">
        <v>10</v>
      </c>
      <c r="G358">
        <v>7</v>
      </c>
      <c r="H358" s="17"/>
      <c r="I358" s="1">
        <v>99.091334151468459</v>
      </c>
      <c r="J358" s="1">
        <v>104.37966031104533</v>
      </c>
      <c r="K358" s="1">
        <v>203.47099446251377</v>
      </c>
      <c r="L358" s="1">
        <v>0.48700471737127343</v>
      </c>
      <c r="M358" s="1">
        <v>0.51299528262872662</v>
      </c>
      <c r="N358" s="19"/>
      <c r="O358" s="1">
        <v>100.5027301718429</v>
      </c>
      <c r="P358" s="1">
        <v>107.85767278835662</v>
      </c>
      <c r="Q358" s="1">
        <v>208.36040296019951</v>
      </c>
      <c r="R358" s="1">
        <v>0.48235043100315317</v>
      </c>
      <c r="S358" s="1">
        <v>0.51764956899684689</v>
      </c>
      <c r="T358" s="19"/>
      <c r="U358" s="1">
        <v>0.44394523375700645</v>
      </c>
      <c r="V358" s="1">
        <v>0.55605476624299355</v>
      </c>
      <c r="W358" s="1">
        <v>0.59525000000000006</v>
      </c>
      <c r="X358" s="1">
        <v>0.40475</v>
      </c>
      <c r="Y358" s="17"/>
      <c r="Z358" s="12">
        <v>1.513047662429936</v>
      </c>
      <c r="AA358" s="12">
        <v>-1.5130476624299356</v>
      </c>
      <c r="AB358" s="12">
        <v>0.77618631321897902</v>
      </c>
      <c r="AC358" s="12">
        <v>0.73686134921095681</v>
      </c>
      <c r="AD358" s="12">
        <v>-0.72981919210139279</v>
      </c>
      <c r="AE358" s="12">
        <v>-0.78322847032854281</v>
      </c>
      <c r="AF358" s="17"/>
      <c r="AG358">
        <v>356</v>
      </c>
      <c r="AH358">
        <v>22</v>
      </c>
      <c r="AI358">
        <v>46</v>
      </c>
      <c r="AJ358">
        <v>25</v>
      </c>
      <c r="AK358">
        <v>38</v>
      </c>
    </row>
    <row r="359" spans="1:37" x14ac:dyDescent="0.25">
      <c r="A359">
        <v>357</v>
      </c>
      <c r="B359" t="s">
        <v>210</v>
      </c>
      <c r="C359" t="s">
        <v>227</v>
      </c>
      <c r="D359" t="s">
        <v>229</v>
      </c>
      <c r="E359" t="s">
        <v>231</v>
      </c>
      <c r="F359">
        <v>9</v>
      </c>
      <c r="G359">
        <v>10</v>
      </c>
      <c r="H359" s="17"/>
      <c r="I359" s="1">
        <v>99.867520464687445</v>
      </c>
      <c r="J359" s="1">
        <v>105.11652166025628</v>
      </c>
      <c r="K359" s="1">
        <v>204.98404212494373</v>
      </c>
      <c r="L359" s="1">
        <v>0.48719656139776624</v>
      </c>
      <c r="M359" s="1">
        <v>0.51280343860223376</v>
      </c>
      <c r="N359" s="19"/>
      <c r="O359" s="1">
        <v>99.772910979741511</v>
      </c>
      <c r="P359" s="1">
        <v>107.07444431802809</v>
      </c>
      <c r="Q359" s="1">
        <v>206.84735529776958</v>
      </c>
      <c r="R359" s="1">
        <v>0.48235043100315317</v>
      </c>
      <c r="S359" s="1">
        <v>0.51764956899684689</v>
      </c>
      <c r="T359" s="19"/>
      <c r="U359" s="1">
        <v>0.47856096759295763</v>
      </c>
      <c r="V359" s="1">
        <v>0.52143903240704226</v>
      </c>
      <c r="W359" s="1">
        <v>0.47425</v>
      </c>
      <c r="X359" s="1">
        <v>0.52575000000000005</v>
      </c>
      <c r="Y359" s="17"/>
      <c r="Z359" s="12">
        <v>-4.3109675929576263E-2</v>
      </c>
      <c r="AA359" s="12">
        <v>4.3109675929577929E-2</v>
      </c>
      <c r="AB359" s="12">
        <v>-2.1002885875861608E-2</v>
      </c>
      <c r="AC359" s="12">
        <v>-2.2106790053714655E-2</v>
      </c>
      <c r="AD359" s="12">
        <v>2.2315705164539755E-2</v>
      </c>
      <c r="AE359" s="12">
        <v>2.079397076503817E-2</v>
      </c>
      <c r="AF359" s="17"/>
      <c r="AG359">
        <v>357</v>
      </c>
      <c r="AH359">
        <v>22</v>
      </c>
      <c r="AI359">
        <v>46</v>
      </c>
      <c r="AJ359">
        <v>25</v>
      </c>
      <c r="AK359">
        <v>38</v>
      </c>
    </row>
    <row r="360" spans="1:37" x14ac:dyDescent="0.25">
      <c r="A360">
        <v>358</v>
      </c>
      <c r="B360" t="s">
        <v>232</v>
      </c>
      <c r="C360" t="s">
        <v>198</v>
      </c>
      <c r="D360" t="s">
        <v>234</v>
      </c>
      <c r="E360" t="s">
        <v>207</v>
      </c>
      <c r="F360">
        <v>2</v>
      </c>
      <c r="G360">
        <v>6</v>
      </c>
      <c r="H360" s="17"/>
      <c r="I360" s="1">
        <v>104.10081619973182</v>
      </c>
      <c r="J360" s="1">
        <v>110.39074198066388</v>
      </c>
      <c r="K360" s="1">
        <v>214.49155818039571</v>
      </c>
      <c r="L360" s="1">
        <v>0.48533759129195658</v>
      </c>
      <c r="M360" s="1">
        <v>0.51466240870804336</v>
      </c>
      <c r="N360" s="19"/>
      <c r="O360" s="1">
        <v>102.41602914572604</v>
      </c>
      <c r="P360" s="1">
        <v>101.43383359186025</v>
      </c>
      <c r="Q360" s="1">
        <v>203.84986273758631</v>
      </c>
      <c r="R360" s="1">
        <v>0.50240911507291552</v>
      </c>
      <c r="S360" s="1">
        <v>0.49759088492708436</v>
      </c>
      <c r="T360" s="19"/>
      <c r="U360" s="1">
        <v>0.62012249504727168</v>
      </c>
      <c r="V360" s="1">
        <v>0.37987750495272826</v>
      </c>
      <c r="W360" s="1">
        <v>0.35199999999999998</v>
      </c>
      <c r="X360" s="1">
        <v>0.64800000000000002</v>
      </c>
      <c r="Y360" s="17"/>
      <c r="Z360" s="12">
        <v>-2.6812249504727168</v>
      </c>
      <c r="AA360" s="12">
        <v>2.6812249504727177</v>
      </c>
      <c r="AB360" s="12">
        <v>-1.301299259174324</v>
      </c>
      <c r="AC360" s="12">
        <v>-1.3799256912983926</v>
      </c>
      <c r="AD360" s="12">
        <v>1.3341530957942977</v>
      </c>
      <c r="AE360" s="12">
        <v>1.3470718546784202</v>
      </c>
      <c r="AF360" s="17"/>
      <c r="AG360">
        <v>358</v>
      </c>
      <c r="AH360">
        <v>42</v>
      </c>
      <c r="AI360">
        <v>10</v>
      </c>
      <c r="AJ360">
        <v>44</v>
      </c>
      <c r="AK360">
        <v>19</v>
      </c>
    </row>
    <row r="361" spans="1:37" x14ac:dyDescent="0.25">
      <c r="A361">
        <v>359</v>
      </c>
      <c r="B361" t="s">
        <v>232</v>
      </c>
      <c r="C361" t="s">
        <v>198</v>
      </c>
      <c r="D361" t="s">
        <v>234</v>
      </c>
      <c r="E361" t="s">
        <v>207</v>
      </c>
      <c r="F361">
        <v>6</v>
      </c>
      <c r="G361">
        <v>5</v>
      </c>
      <c r="H361" s="17"/>
      <c r="I361" s="1">
        <v>102.7995169405575</v>
      </c>
      <c r="J361" s="1">
        <v>109.01081628936548</v>
      </c>
      <c r="K361" s="1">
        <v>211.81033322992297</v>
      </c>
      <c r="L361" s="1">
        <v>0.48533759129195664</v>
      </c>
      <c r="M361" s="1">
        <v>0.51466240870804336</v>
      </c>
      <c r="N361" s="19"/>
      <c r="O361" s="1">
        <v>103.75018224152033</v>
      </c>
      <c r="P361" s="1">
        <v>102.78090544653867</v>
      </c>
      <c r="Q361" s="1">
        <v>206.53108768805902</v>
      </c>
      <c r="R361" s="1">
        <v>0.50234656391401389</v>
      </c>
      <c r="S361" s="1">
        <v>0.49765343608598611</v>
      </c>
      <c r="T361" s="19"/>
      <c r="U361" s="1">
        <v>0.56048194724445111</v>
      </c>
      <c r="V361" s="1">
        <v>0.43951805275554889</v>
      </c>
      <c r="W361" s="1">
        <v>0.52575000000000005</v>
      </c>
      <c r="X361" s="1">
        <v>0.47425</v>
      </c>
      <c r="Y361" s="17"/>
      <c r="Z361" s="12">
        <v>-0.34731947244451056</v>
      </c>
      <c r="AA361" s="12">
        <v>0.34731947244451111</v>
      </c>
      <c r="AB361" s="12">
        <v>-0.16856719616501187</v>
      </c>
      <c r="AC361" s="12">
        <v>-0.17875227627949869</v>
      </c>
      <c r="AD361" s="12">
        <v>0.17284472888158292</v>
      </c>
      <c r="AE361" s="12">
        <v>0.17447474356292819</v>
      </c>
      <c r="AF361" s="17"/>
      <c r="AG361">
        <v>359</v>
      </c>
      <c r="AH361">
        <v>42</v>
      </c>
      <c r="AI361">
        <v>10</v>
      </c>
      <c r="AJ361">
        <v>44</v>
      </c>
      <c r="AK361">
        <v>19</v>
      </c>
    </row>
    <row r="362" spans="1:37" x14ac:dyDescent="0.25">
      <c r="A362">
        <v>360</v>
      </c>
      <c r="B362" t="s">
        <v>229</v>
      </c>
      <c r="C362" t="s">
        <v>231</v>
      </c>
      <c r="D362" t="s">
        <v>203</v>
      </c>
      <c r="E362" t="s">
        <v>190</v>
      </c>
      <c r="F362">
        <v>10</v>
      </c>
      <c r="G362">
        <v>7</v>
      </c>
      <c r="H362" s="17"/>
      <c r="I362" s="1">
        <v>99.795226684906055</v>
      </c>
      <c r="J362" s="1">
        <v>107.09523828879313</v>
      </c>
      <c r="K362" s="1">
        <v>206.89046497369918</v>
      </c>
      <c r="L362" s="1">
        <v>0.48235778626913745</v>
      </c>
      <c r="M362" s="1">
        <v>0.51764221373086261</v>
      </c>
      <c r="N362" s="19"/>
      <c r="O362" s="1">
        <v>84.31428097522155</v>
      </c>
      <c r="P362" s="1">
        <v>101.81315873044775</v>
      </c>
      <c r="Q362" s="1">
        <v>186.1274397056693</v>
      </c>
      <c r="R362" s="1">
        <v>0.45299221387534833</v>
      </c>
      <c r="S362" s="1">
        <v>0.54700778612465162</v>
      </c>
      <c r="T362" s="19"/>
      <c r="U362" s="1">
        <v>0.72235485174539271</v>
      </c>
      <c r="V362" s="1">
        <v>0.27764514825460734</v>
      </c>
      <c r="W362" s="1">
        <v>0.59525000000000006</v>
      </c>
      <c r="X362" s="1">
        <v>0.40475</v>
      </c>
      <c r="Y362" s="17"/>
      <c r="Z362" s="12">
        <v>-1.2710485174539266</v>
      </c>
      <c r="AA362" s="12">
        <v>1.2710485174539266</v>
      </c>
      <c r="AB362" s="12">
        <v>-0.61310014911974509</v>
      </c>
      <c r="AC362" s="12">
        <v>-0.65794836833418147</v>
      </c>
      <c r="AD362" s="12">
        <v>0.69527343558949295</v>
      </c>
      <c r="AE362" s="12">
        <v>0.5757750818644336</v>
      </c>
      <c r="AF362" s="17"/>
      <c r="AG362">
        <v>360</v>
      </c>
      <c r="AH362">
        <v>25</v>
      </c>
      <c r="AI362">
        <v>38</v>
      </c>
      <c r="AJ362">
        <v>15</v>
      </c>
      <c r="AK362">
        <v>2</v>
      </c>
    </row>
    <row r="363" spans="1:37" x14ac:dyDescent="0.25">
      <c r="A363">
        <v>361</v>
      </c>
      <c r="B363" t="s">
        <v>229</v>
      </c>
      <c r="C363" t="s">
        <v>231</v>
      </c>
      <c r="D363" t="s">
        <v>203</v>
      </c>
      <c r="E363" t="s">
        <v>190</v>
      </c>
      <c r="F363">
        <v>10</v>
      </c>
      <c r="G363">
        <v>3</v>
      </c>
      <c r="H363" s="17"/>
      <c r="I363" s="1">
        <v>99.18212653578631</v>
      </c>
      <c r="J363" s="1">
        <v>106.43728992045895</v>
      </c>
      <c r="K363" s="1">
        <v>205.61941645624526</v>
      </c>
      <c r="L363" s="1">
        <v>0.48235778626913745</v>
      </c>
      <c r="M363" s="1">
        <v>0.51764221373086261</v>
      </c>
      <c r="N363" s="19"/>
      <c r="O363" s="1">
        <v>85.009554410811049</v>
      </c>
      <c r="P363" s="1">
        <v>102.38893381231219</v>
      </c>
      <c r="Q363" s="1">
        <v>187.39848822312325</v>
      </c>
      <c r="R363" s="1">
        <v>0.45362988366051105</v>
      </c>
      <c r="S363" s="1">
        <v>0.54637011633948884</v>
      </c>
      <c r="T363" s="19"/>
      <c r="U363" s="1">
        <v>0.69827663348062718</v>
      </c>
      <c r="V363" s="1">
        <v>0.30172336651937282</v>
      </c>
      <c r="W363" s="1">
        <v>0.93224999999999991</v>
      </c>
      <c r="X363" s="1">
        <v>6.7749999999999977E-2</v>
      </c>
      <c r="Y363" s="17"/>
      <c r="Z363" s="12">
        <v>2.3397336651937275</v>
      </c>
      <c r="AA363" s="12">
        <v>-2.3397336651937284</v>
      </c>
      <c r="AB363" s="12">
        <v>1.2111449139915058</v>
      </c>
      <c r="AC363" s="12">
        <v>1.1285887512022215</v>
      </c>
      <c r="AD363" s="12">
        <v>-1.0613731103384121</v>
      </c>
      <c r="AE363" s="12">
        <v>-1.2783605548553161</v>
      </c>
      <c r="AF363" s="17"/>
      <c r="AG363">
        <v>361</v>
      </c>
      <c r="AH363">
        <v>25</v>
      </c>
      <c r="AI363">
        <v>38</v>
      </c>
      <c r="AJ363">
        <v>15</v>
      </c>
      <c r="AK363">
        <v>2</v>
      </c>
    </row>
    <row r="364" spans="1:37" x14ac:dyDescent="0.25">
      <c r="A364">
        <v>362</v>
      </c>
      <c r="B364" t="s">
        <v>210</v>
      </c>
      <c r="C364" t="s">
        <v>230</v>
      </c>
      <c r="D364" t="s">
        <v>217</v>
      </c>
      <c r="E364" t="s">
        <v>212</v>
      </c>
      <c r="F364">
        <v>10</v>
      </c>
      <c r="G364">
        <v>8</v>
      </c>
      <c r="H364" s="17"/>
      <c r="I364" s="1">
        <v>99.846517578811586</v>
      </c>
      <c r="J364" s="1">
        <v>89.888421316744811</v>
      </c>
      <c r="K364" s="1">
        <v>189.73493889555641</v>
      </c>
      <c r="L364" s="1">
        <v>0.5262421257782901</v>
      </c>
      <c r="M364" s="1">
        <v>0.47375787422170978</v>
      </c>
      <c r="N364" s="19"/>
      <c r="O364" s="1">
        <v>106.02708283094373</v>
      </c>
      <c r="P364" s="1">
        <v>88.485885661512228</v>
      </c>
      <c r="Q364" s="1">
        <v>194.51296849245597</v>
      </c>
      <c r="R364" s="1">
        <v>0.54509004542314565</v>
      </c>
      <c r="S364" s="1">
        <v>0.45490995457685424</v>
      </c>
      <c r="T364" s="19"/>
      <c r="U364" s="1">
        <v>0.44521177550343111</v>
      </c>
      <c r="V364" s="1">
        <v>0.55478822449656884</v>
      </c>
      <c r="W364" s="1">
        <v>0.55600000000000005</v>
      </c>
      <c r="X364" s="1">
        <v>0.44400000000000001</v>
      </c>
      <c r="Y364" s="17"/>
      <c r="Z364" s="12">
        <v>1.1078822449656895</v>
      </c>
      <c r="AA364" s="12">
        <v>-1.1078822449656882</v>
      </c>
      <c r="AB364" s="12">
        <v>0.52486793726292069</v>
      </c>
      <c r="AC364" s="12">
        <v>0.58301430770276896</v>
      </c>
      <c r="AD364" s="12">
        <v>-0.60389558323184356</v>
      </c>
      <c r="AE364" s="12">
        <v>-0.50398666173384454</v>
      </c>
      <c r="AF364" s="17"/>
      <c r="AG364">
        <v>362</v>
      </c>
      <c r="AH364">
        <v>22</v>
      </c>
      <c r="AI364">
        <v>31</v>
      </c>
      <c r="AJ364">
        <v>32</v>
      </c>
      <c r="AK364">
        <v>26</v>
      </c>
    </row>
    <row r="365" spans="1:37" x14ac:dyDescent="0.25">
      <c r="A365">
        <v>363</v>
      </c>
      <c r="B365" t="s">
        <v>210</v>
      </c>
      <c r="C365" t="s">
        <v>230</v>
      </c>
      <c r="D365" t="s">
        <v>217</v>
      </c>
      <c r="E365" t="s">
        <v>212</v>
      </c>
      <c r="F365">
        <v>10</v>
      </c>
      <c r="G365">
        <v>5</v>
      </c>
      <c r="H365" s="17"/>
      <c r="I365" s="1">
        <v>100.37138551607451</v>
      </c>
      <c r="J365" s="1">
        <v>90.471435624447579</v>
      </c>
      <c r="K365" s="1">
        <v>190.84282114052209</v>
      </c>
      <c r="L365" s="1">
        <v>0.5259374437887222</v>
      </c>
      <c r="M365" s="1">
        <v>0.47406255621127774</v>
      </c>
      <c r="N365" s="19"/>
      <c r="O365" s="1">
        <v>105.42318724771188</v>
      </c>
      <c r="P365" s="1">
        <v>87.98189899977838</v>
      </c>
      <c r="Q365" s="1">
        <v>193.40508624749026</v>
      </c>
      <c r="R365" s="1">
        <v>0.54509004542314576</v>
      </c>
      <c r="S365" s="1">
        <v>0.45490995457685429</v>
      </c>
      <c r="T365" s="19"/>
      <c r="U365" s="1">
        <v>0.47053501214856647</v>
      </c>
      <c r="V365" s="1">
        <v>0.52946498785143348</v>
      </c>
      <c r="W365" s="1">
        <v>0.71875</v>
      </c>
      <c r="X365" s="1">
        <v>0.28125</v>
      </c>
      <c r="Y365" s="17"/>
      <c r="Z365" s="12">
        <v>2.4821498785143352</v>
      </c>
      <c r="AA365" s="12">
        <v>-2.4821498785143348</v>
      </c>
      <c r="AB365" s="12">
        <v>1.1766943163080184</v>
      </c>
      <c r="AC365" s="12">
        <v>1.3054555622063171</v>
      </c>
      <c r="AD365" s="12">
        <v>-1.3529951900264345</v>
      </c>
      <c r="AE365" s="12">
        <v>-1.1291546884879005</v>
      </c>
      <c r="AF365" s="17"/>
      <c r="AG365">
        <v>363</v>
      </c>
      <c r="AH365">
        <v>22</v>
      </c>
      <c r="AI365">
        <v>31</v>
      </c>
      <c r="AJ365">
        <v>32</v>
      </c>
      <c r="AK365">
        <v>26</v>
      </c>
    </row>
    <row r="366" spans="1:37" x14ac:dyDescent="0.25">
      <c r="A366">
        <v>364</v>
      </c>
      <c r="B366" t="s">
        <v>210</v>
      </c>
      <c r="C366" t="s">
        <v>229</v>
      </c>
      <c r="D366" t="s">
        <v>227</v>
      </c>
      <c r="E366" t="s">
        <v>231</v>
      </c>
      <c r="F366">
        <v>8</v>
      </c>
      <c r="G366">
        <v>10</v>
      </c>
      <c r="H366" s="17"/>
      <c r="I366" s="1">
        <v>101.54807983238253</v>
      </c>
      <c r="J366" s="1">
        <v>100.39327144977781</v>
      </c>
      <c r="K366" s="1">
        <v>201.94135128216033</v>
      </c>
      <c r="L366" s="1">
        <v>0.50285926675064974</v>
      </c>
      <c r="M366" s="1">
        <v>0.49714073324935032</v>
      </c>
      <c r="N366" s="19"/>
      <c r="O366" s="1">
        <v>105.09441487020257</v>
      </c>
      <c r="P366" s="1">
        <v>107.56587867166117</v>
      </c>
      <c r="Q366" s="1">
        <v>212.66029354186372</v>
      </c>
      <c r="R366" s="1">
        <v>0.49418917429225673</v>
      </c>
      <c r="S366" s="1">
        <v>0.50581082570774338</v>
      </c>
      <c r="T366" s="19"/>
      <c r="U366" s="1">
        <v>0.37903985736964679</v>
      </c>
      <c r="V366" s="1">
        <v>0.62096014263035315</v>
      </c>
      <c r="W366" s="1">
        <v>0.44400000000000001</v>
      </c>
      <c r="X366" s="1">
        <v>0.55600000000000005</v>
      </c>
      <c r="Y366" s="17"/>
      <c r="Z366" s="12">
        <v>0.64960142630353213</v>
      </c>
      <c r="AA366" s="12">
        <v>-0.64960142630353102</v>
      </c>
      <c r="AB366" s="12">
        <v>0.32294332939236176</v>
      </c>
      <c r="AC366" s="12">
        <v>0.32665809691117037</v>
      </c>
      <c r="AD366" s="12">
        <v>-0.32102599248401426</v>
      </c>
      <c r="AE366" s="12">
        <v>-0.32857543381951682</v>
      </c>
      <c r="AF366" s="17"/>
      <c r="AG366">
        <v>364</v>
      </c>
      <c r="AH366">
        <v>22</v>
      </c>
      <c r="AI366">
        <v>25</v>
      </c>
      <c r="AJ366">
        <v>46</v>
      </c>
      <c r="AK366">
        <v>38</v>
      </c>
    </row>
    <row r="367" spans="1:37" x14ac:dyDescent="0.25">
      <c r="A367">
        <v>365</v>
      </c>
      <c r="B367" t="s">
        <v>210</v>
      </c>
      <c r="C367" t="s">
        <v>229</v>
      </c>
      <c r="D367" t="s">
        <v>227</v>
      </c>
      <c r="E367" t="s">
        <v>231</v>
      </c>
      <c r="F367">
        <v>0</v>
      </c>
      <c r="G367">
        <v>10</v>
      </c>
      <c r="H367" s="17"/>
      <c r="I367" s="1">
        <v>101.87102316177489</v>
      </c>
      <c r="J367" s="1">
        <v>100.71992954668899</v>
      </c>
      <c r="K367" s="1">
        <v>202.59095270846387</v>
      </c>
      <c r="L367" s="1">
        <v>0.50284093045542455</v>
      </c>
      <c r="M367" s="1">
        <v>0.49715906954457545</v>
      </c>
      <c r="N367" s="19"/>
      <c r="O367" s="1">
        <v>104.77338887771856</v>
      </c>
      <c r="P367" s="1">
        <v>107.23730323784164</v>
      </c>
      <c r="Q367" s="1">
        <v>212.0106921155602</v>
      </c>
      <c r="R367" s="1">
        <v>0.49418917429225673</v>
      </c>
      <c r="S367" s="1">
        <v>0.50581082570774327</v>
      </c>
      <c r="T367" s="19"/>
      <c r="U367" s="1">
        <v>0.39322047831505136</v>
      </c>
      <c r="V367" s="1">
        <v>0.60677952168494864</v>
      </c>
      <c r="W367" s="1">
        <v>-0.5</v>
      </c>
      <c r="X367" s="1">
        <v>1.5</v>
      </c>
      <c r="Y367" s="17"/>
      <c r="Z367" s="12">
        <v>-8.9322047831505138</v>
      </c>
      <c r="AA367" s="12">
        <v>8.9322047831505138</v>
      </c>
      <c r="AB367" s="12">
        <v>-4.4914781641777983</v>
      </c>
      <c r="AC367" s="12">
        <v>-4.4407266189727155</v>
      </c>
      <c r="AD367" s="12">
        <v>4.5180058767560149</v>
      </c>
      <c r="AE367" s="12">
        <v>4.4141989063944989</v>
      </c>
      <c r="AF367" s="17"/>
      <c r="AG367">
        <v>365</v>
      </c>
      <c r="AH367">
        <v>22</v>
      </c>
      <c r="AI367">
        <v>25</v>
      </c>
      <c r="AJ367">
        <v>46</v>
      </c>
      <c r="AK367">
        <v>38</v>
      </c>
    </row>
    <row r="368" spans="1:37" x14ac:dyDescent="0.25">
      <c r="A368">
        <v>366</v>
      </c>
      <c r="B368" t="s">
        <v>190</v>
      </c>
      <c r="C368" t="s">
        <v>220</v>
      </c>
      <c r="D368" t="s">
        <v>231</v>
      </c>
      <c r="E368" t="s">
        <v>203</v>
      </c>
      <c r="F368">
        <v>10</v>
      </c>
      <c r="G368">
        <v>6</v>
      </c>
      <c r="H368" s="17"/>
      <c r="I368" s="1">
        <v>101.11057325745688</v>
      </c>
      <c r="J368" s="1">
        <v>104.17024756963772</v>
      </c>
      <c r="K368" s="1">
        <v>205.2808208270946</v>
      </c>
      <c r="L368" s="1">
        <v>0.49254758846965552</v>
      </c>
      <c r="M368" s="1">
        <v>0.50745241153034448</v>
      </c>
      <c r="N368" s="19"/>
      <c r="O368" s="1">
        <v>111.65150214423615</v>
      </c>
      <c r="P368" s="1">
        <v>83.94818130047264</v>
      </c>
      <c r="Q368" s="1">
        <v>195.59968344470877</v>
      </c>
      <c r="R368" s="1">
        <v>0.57081637443343447</v>
      </c>
      <c r="S368" s="1">
        <v>0.42918362556656553</v>
      </c>
      <c r="T368" s="19"/>
      <c r="U368" s="1">
        <v>0.6096480016963739</v>
      </c>
      <c r="V368" s="1">
        <v>0.39035199830362621</v>
      </c>
      <c r="W368" s="1">
        <v>0.64800000000000002</v>
      </c>
      <c r="X368" s="1">
        <v>0.35199999999999998</v>
      </c>
      <c r="Y368" s="17"/>
      <c r="Z368" s="12">
        <v>0.38351998303626122</v>
      </c>
      <c r="AA368" s="12">
        <v>-0.38351998303626234</v>
      </c>
      <c r="AB368" s="12">
        <v>0.19461814026182755</v>
      </c>
      <c r="AC368" s="12">
        <v>0.18890184277443367</v>
      </c>
      <c r="AD368" s="12">
        <v>-0.21891948623953156</v>
      </c>
      <c r="AE368" s="12">
        <v>-0.16460049679673078</v>
      </c>
      <c r="AF368" s="17"/>
      <c r="AG368">
        <v>366</v>
      </c>
      <c r="AH368">
        <v>2</v>
      </c>
      <c r="AI368">
        <v>35</v>
      </c>
      <c r="AJ368">
        <v>38</v>
      </c>
      <c r="AK368">
        <v>15</v>
      </c>
    </row>
    <row r="369" spans="1:37" x14ac:dyDescent="0.25">
      <c r="A369">
        <v>367</v>
      </c>
      <c r="B369" t="s">
        <v>190</v>
      </c>
      <c r="C369" t="s">
        <v>220</v>
      </c>
      <c r="D369" t="s">
        <v>231</v>
      </c>
      <c r="E369" t="s">
        <v>203</v>
      </c>
      <c r="F369">
        <v>10</v>
      </c>
      <c r="G369">
        <v>4</v>
      </c>
      <c r="H369" s="17"/>
      <c r="I369" s="1">
        <v>101.3051913977187</v>
      </c>
      <c r="J369" s="1">
        <v>104.35914941241215</v>
      </c>
      <c r="K369" s="1">
        <v>205.66434081013085</v>
      </c>
      <c r="L369" s="1">
        <v>0.49257538277500218</v>
      </c>
      <c r="M369" s="1">
        <v>0.50742461722499788</v>
      </c>
      <c r="N369" s="19"/>
      <c r="O369" s="1">
        <v>111.43258265799662</v>
      </c>
      <c r="P369" s="1">
        <v>83.783580803675903</v>
      </c>
      <c r="Q369" s="1">
        <v>195.21616346167252</v>
      </c>
      <c r="R369" s="1">
        <v>0.57081637443343447</v>
      </c>
      <c r="S369" s="1">
        <v>0.42918362556656547</v>
      </c>
      <c r="T369" s="19"/>
      <c r="U369" s="1">
        <v>0.61802089236126445</v>
      </c>
      <c r="V369" s="1">
        <v>0.38197910763873555</v>
      </c>
      <c r="W369" s="1">
        <v>0.81200000000000006</v>
      </c>
      <c r="X369" s="1">
        <v>0.18799999999999994</v>
      </c>
      <c r="Y369" s="17"/>
      <c r="Z369" s="12">
        <v>1.939791076387356</v>
      </c>
      <c r="AA369" s="12">
        <v>-1.939791076387356</v>
      </c>
      <c r="AB369" s="12">
        <v>0.98429774443232076</v>
      </c>
      <c r="AC369" s="12">
        <v>0.95549333195503527</v>
      </c>
      <c r="AD369" s="12">
        <v>-1.1072645093817599</v>
      </c>
      <c r="AE369" s="12">
        <v>-0.83252656700559602</v>
      </c>
      <c r="AF369" s="17"/>
      <c r="AG369">
        <v>367</v>
      </c>
      <c r="AH369">
        <v>2</v>
      </c>
      <c r="AI369">
        <v>35</v>
      </c>
      <c r="AJ369">
        <v>38</v>
      </c>
      <c r="AK369">
        <v>15</v>
      </c>
    </row>
    <row r="370" spans="1:37" x14ac:dyDescent="0.25">
      <c r="A370">
        <v>368</v>
      </c>
      <c r="B370" t="s">
        <v>198</v>
      </c>
      <c r="C370" t="s">
        <v>214</v>
      </c>
      <c r="D370" t="s">
        <v>234</v>
      </c>
      <c r="E370" t="s">
        <v>226</v>
      </c>
      <c r="F370">
        <v>7</v>
      </c>
      <c r="G370">
        <v>10</v>
      </c>
      <c r="H370" s="17"/>
      <c r="I370" s="1">
        <v>108.83206401308598</v>
      </c>
      <c r="J370" s="1">
        <v>82.839828913563792</v>
      </c>
      <c r="K370" s="1">
        <v>191.67189292664978</v>
      </c>
      <c r="L370" s="1">
        <v>0.56780398185316894</v>
      </c>
      <c r="M370" s="1">
        <v>0.43219601814683112</v>
      </c>
      <c r="N370" s="19"/>
      <c r="O370" s="1">
        <v>103.92302697040192</v>
      </c>
      <c r="P370" s="1">
        <v>99.046953672111897</v>
      </c>
      <c r="Q370" s="1">
        <v>202.9699806425138</v>
      </c>
      <c r="R370" s="1">
        <v>0.51201180904401367</v>
      </c>
      <c r="S370" s="1">
        <v>0.48798819095598645</v>
      </c>
      <c r="T370" s="19"/>
      <c r="U370" s="1">
        <v>0.37278298252685926</v>
      </c>
      <c r="V370" s="1">
        <v>0.62721701747314074</v>
      </c>
      <c r="W370" s="1">
        <v>0.40475</v>
      </c>
      <c r="X370" s="1">
        <v>0.59525000000000006</v>
      </c>
      <c r="Y370" s="17"/>
      <c r="Z370" s="12">
        <v>0.31967017473140735</v>
      </c>
      <c r="AA370" s="12">
        <v>-0.3196701747314068</v>
      </c>
      <c r="AB370" s="12">
        <v>0.13816017663921598</v>
      </c>
      <c r="AC370" s="12">
        <v>0.18150999809219132</v>
      </c>
      <c r="AD370" s="12">
        <v>-0.16367490446164354</v>
      </c>
      <c r="AE370" s="12">
        <v>-0.15599527026976329</v>
      </c>
      <c r="AF370" s="17"/>
      <c r="AG370">
        <v>368</v>
      </c>
      <c r="AH370">
        <v>10</v>
      </c>
      <c r="AI370">
        <v>28</v>
      </c>
      <c r="AJ370">
        <v>44</v>
      </c>
      <c r="AK370">
        <v>45</v>
      </c>
    </row>
    <row r="371" spans="1:37" x14ac:dyDescent="0.25">
      <c r="A371">
        <v>369</v>
      </c>
      <c r="B371" t="s">
        <v>198</v>
      </c>
      <c r="C371" t="s">
        <v>214</v>
      </c>
      <c r="D371" t="s">
        <v>234</v>
      </c>
      <c r="E371" t="s">
        <v>226</v>
      </c>
      <c r="F371">
        <v>10</v>
      </c>
      <c r="G371">
        <v>8</v>
      </c>
      <c r="H371" s="17"/>
      <c r="I371" s="1">
        <v>108.9702241897252</v>
      </c>
      <c r="J371" s="1">
        <v>83.021338911655988</v>
      </c>
      <c r="K371" s="1">
        <v>191.99156310138119</v>
      </c>
      <c r="L371" s="1">
        <v>0.56757819161138579</v>
      </c>
      <c r="M371" s="1">
        <v>0.43242180838861421</v>
      </c>
      <c r="N371" s="19"/>
      <c r="O371" s="1">
        <v>103.75935206594028</v>
      </c>
      <c r="P371" s="1">
        <v>98.890958401842127</v>
      </c>
      <c r="Q371" s="1">
        <v>202.65031046778239</v>
      </c>
      <c r="R371" s="1">
        <v>0.51201180904401367</v>
      </c>
      <c r="S371" s="1">
        <v>0.48798819095598645</v>
      </c>
      <c r="T371" s="19"/>
      <c r="U371" s="1">
        <v>0.37969253587201229</v>
      </c>
      <c r="V371" s="1">
        <v>0.62030746412798765</v>
      </c>
      <c r="W371" s="1">
        <v>0.55600000000000005</v>
      </c>
      <c r="X371" s="1">
        <v>0.44400000000000001</v>
      </c>
      <c r="Y371" s="17"/>
      <c r="Z371" s="12">
        <v>1.7630746412798777</v>
      </c>
      <c r="AA371" s="12">
        <v>-1.7630746412798763</v>
      </c>
      <c r="AB371" s="12">
        <v>0.76239192470635198</v>
      </c>
      <c r="AC371" s="12">
        <v>1.0006827165735257</v>
      </c>
      <c r="AD371" s="12">
        <v>-0.90271503656133489</v>
      </c>
      <c r="AE371" s="12">
        <v>-0.86035960471854156</v>
      </c>
      <c r="AF371" s="17"/>
      <c r="AG371">
        <v>369</v>
      </c>
      <c r="AH371">
        <v>10</v>
      </c>
      <c r="AI371">
        <v>28</v>
      </c>
      <c r="AJ371">
        <v>44</v>
      </c>
      <c r="AK371">
        <v>45</v>
      </c>
    </row>
    <row r="372" spans="1:37" x14ac:dyDescent="0.25">
      <c r="A372">
        <v>370</v>
      </c>
      <c r="B372" t="s">
        <v>227</v>
      </c>
      <c r="C372" t="s">
        <v>210</v>
      </c>
      <c r="D372" t="s">
        <v>225</v>
      </c>
      <c r="E372" t="s">
        <v>222</v>
      </c>
      <c r="F372">
        <v>10</v>
      </c>
      <c r="G372">
        <v>3</v>
      </c>
      <c r="H372" s="17"/>
      <c r="I372" s="1">
        <v>109.29139475447458</v>
      </c>
      <c r="J372" s="1">
        <v>97.379544997597094</v>
      </c>
      <c r="K372" s="1">
        <v>206.67093975207166</v>
      </c>
      <c r="L372" s="1">
        <v>0.52881839549180765</v>
      </c>
      <c r="M372" s="1">
        <v>0.47118160450819241</v>
      </c>
      <c r="N372" s="19"/>
      <c r="O372" s="1">
        <v>103.86182420773497</v>
      </c>
      <c r="P372" s="1">
        <v>93.657108769464841</v>
      </c>
      <c r="Q372" s="1">
        <v>197.51893297719982</v>
      </c>
      <c r="R372" s="1">
        <v>0.52583224626736935</v>
      </c>
      <c r="S372" s="1">
        <v>0.47416775373263054</v>
      </c>
      <c r="T372" s="19"/>
      <c r="U372" s="1">
        <v>0.60383387489576723</v>
      </c>
      <c r="V372" s="1">
        <v>0.39616612510423271</v>
      </c>
      <c r="W372" s="1">
        <v>0.93224999999999991</v>
      </c>
      <c r="X372" s="1">
        <v>6.7749999999999977E-2</v>
      </c>
      <c r="Y372" s="17"/>
      <c r="Z372" s="12">
        <v>3.2841612510423266</v>
      </c>
      <c r="AA372" s="12">
        <v>-3.2841612510423275</v>
      </c>
      <c r="AB372" s="12">
        <v>1.5474363677297558</v>
      </c>
      <c r="AC372" s="12">
        <v>1.7367248833125706</v>
      </c>
      <c r="AD372" s="12">
        <v>-1.726917887739841</v>
      </c>
      <c r="AE372" s="12">
        <v>-1.5572433633024862</v>
      </c>
      <c r="AF372" s="17"/>
      <c r="AG372">
        <v>370</v>
      </c>
      <c r="AH372">
        <v>46</v>
      </c>
      <c r="AI372">
        <v>22</v>
      </c>
      <c r="AJ372">
        <v>41</v>
      </c>
      <c r="AK372">
        <v>37</v>
      </c>
    </row>
    <row r="373" spans="1:37" x14ac:dyDescent="0.25">
      <c r="A373">
        <v>371</v>
      </c>
      <c r="B373" t="s">
        <v>227</v>
      </c>
      <c r="C373" t="s">
        <v>210</v>
      </c>
      <c r="D373" t="s">
        <v>225</v>
      </c>
      <c r="E373" t="s">
        <v>222</v>
      </c>
      <c r="F373">
        <v>10</v>
      </c>
      <c r="G373">
        <v>3</v>
      </c>
      <c r="H373" s="17"/>
      <c r="I373" s="1">
        <v>110.83883112220434</v>
      </c>
      <c r="J373" s="1">
        <v>99.11626988090967</v>
      </c>
      <c r="K373" s="1">
        <v>209.95510100311401</v>
      </c>
      <c r="L373" s="1">
        <v>0.52791682884885183</v>
      </c>
      <c r="M373" s="1">
        <v>0.47208317115114817</v>
      </c>
      <c r="N373" s="19"/>
      <c r="O373" s="1">
        <v>102.13490631999512</v>
      </c>
      <c r="P373" s="1">
        <v>92.099865406162351</v>
      </c>
      <c r="Q373" s="1">
        <v>194.23477172615748</v>
      </c>
      <c r="R373" s="1">
        <v>0.52583224626736946</v>
      </c>
      <c r="S373" s="1">
        <v>0.47416775373263054</v>
      </c>
      <c r="T373" s="19"/>
      <c r="U373" s="1">
        <v>0.67347578216896431</v>
      </c>
      <c r="V373" s="1">
        <v>0.32652421783103569</v>
      </c>
      <c r="W373" s="1">
        <v>0.93224999999999991</v>
      </c>
      <c r="X373" s="1">
        <v>6.7749999999999977E-2</v>
      </c>
      <c r="Y373" s="17"/>
      <c r="Z373" s="12">
        <v>2.5877421783103562</v>
      </c>
      <c r="AA373" s="12">
        <v>-2.5877421783103571</v>
      </c>
      <c r="AB373" s="12">
        <v>1.2216295336583329</v>
      </c>
      <c r="AC373" s="12">
        <v>1.3661126446520233</v>
      </c>
      <c r="AD373" s="12">
        <v>-1.3607182823817507</v>
      </c>
      <c r="AE373" s="12">
        <v>-1.2270238959286064</v>
      </c>
      <c r="AF373" s="17"/>
      <c r="AG373">
        <v>371</v>
      </c>
      <c r="AH373">
        <v>46</v>
      </c>
      <c r="AI373">
        <v>22</v>
      </c>
      <c r="AJ373">
        <v>41</v>
      </c>
      <c r="AK373">
        <v>37</v>
      </c>
    </row>
    <row r="374" spans="1:37" x14ac:dyDescent="0.25">
      <c r="A374">
        <v>372</v>
      </c>
      <c r="B374" t="s">
        <v>190</v>
      </c>
      <c r="C374" t="s">
        <v>222</v>
      </c>
      <c r="D374" t="s">
        <v>231</v>
      </c>
      <c r="E374" t="s">
        <v>230</v>
      </c>
      <c r="F374">
        <v>6</v>
      </c>
      <c r="G374">
        <v>10</v>
      </c>
      <c r="H374" s="17"/>
      <c r="I374" s="1">
        <v>102.28948914215103</v>
      </c>
      <c r="J374" s="1">
        <v>90.872841510233741</v>
      </c>
      <c r="K374" s="1">
        <v>193.16233065238475</v>
      </c>
      <c r="L374" s="1">
        <v>0.52955195144249612</v>
      </c>
      <c r="M374" s="1">
        <v>0.47044804855750399</v>
      </c>
      <c r="N374" s="19"/>
      <c r="O374" s="1">
        <v>110.32531814861485</v>
      </c>
      <c r="P374" s="1">
        <v>91.776891186653899</v>
      </c>
      <c r="Q374" s="1">
        <v>202.10220933526875</v>
      </c>
      <c r="R374" s="1">
        <v>0.54588872883420791</v>
      </c>
      <c r="S374" s="1">
        <v>0.45411127116579203</v>
      </c>
      <c r="T374" s="19"/>
      <c r="U374" s="1">
        <v>0.39850537149899973</v>
      </c>
      <c r="V374" s="1">
        <v>0.60149462850100033</v>
      </c>
      <c r="W374" s="1">
        <v>0.35199999999999998</v>
      </c>
      <c r="X374" s="1">
        <v>0.64800000000000002</v>
      </c>
      <c r="Y374" s="17"/>
      <c r="Z374" s="12">
        <v>-0.46505371498999748</v>
      </c>
      <c r="AA374" s="12">
        <v>0.46505371498999692</v>
      </c>
      <c r="AB374" s="12">
        <v>-0.24627010229853558</v>
      </c>
      <c r="AC374" s="12">
        <v>-0.21878361269146196</v>
      </c>
      <c r="AD374" s="12">
        <v>0.21118613367448147</v>
      </c>
      <c r="AE374" s="12">
        <v>0.25386758131551551</v>
      </c>
      <c r="AF374" s="17"/>
      <c r="AG374">
        <v>372</v>
      </c>
      <c r="AH374">
        <v>2</v>
      </c>
      <c r="AI374">
        <v>37</v>
      </c>
      <c r="AJ374">
        <v>38</v>
      </c>
      <c r="AK374">
        <v>31</v>
      </c>
    </row>
    <row r="375" spans="1:37" x14ac:dyDescent="0.25">
      <c r="A375">
        <v>373</v>
      </c>
      <c r="B375" t="s">
        <v>190</v>
      </c>
      <c r="C375" t="s">
        <v>222</v>
      </c>
      <c r="D375" t="s">
        <v>231</v>
      </c>
      <c r="E375" t="s">
        <v>230</v>
      </c>
      <c r="F375">
        <v>8</v>
      </c>
      <c r="G375">
        <v>10</v>
      </c>
      <c r="H375" s="17"/>
      <c r="I375" s="1">
        <v>102.04321903985249</v>
      </c>
      <c r="J375" s="1">
        <v>90.654057897542273</v>
      </c>
      <c r="K375" s="1">
        <v>192.69727693739475</v>
      </c>
      <c r="L375" s="1">
        <v>0.52955195144249612</v>
      </c>
      <c r="M375" s="1">
        <v>0.47044804855750394</v>
      </c>
      <c r="N375" s="19"/>
      <c r="O375" s="1">
        <v>110.53650428228934</v>
      </c>
      <c r="P375" s="1">
        <v>92.030758767969417</v>
      </c>
      <c r="Q375" s="1">
        <v>202.56726305025876</v>
      </c>
      <c r="R375" s="1">
        <v>0.54567802624091455</v>
      </c>
      <c r="S375" s="1">
        <v>0.45432197375908545</v>
      </c>
      <c r="T375" s="19"/>
      <c r="U375" s="1">
        <v>0.38828434061574918</v>
      </c>
      <c r="V375" s="1">
        <v>0.61171565938425088</v>
      </c>
      <c r="W375" s="1">
        <v>0.44400000000000001</v>
      </c>
      <c r="X375" s="1">
        <v>0.55600000000000005</v>
      </c>
      <c r="Y375" s="17"/>
      <c r="Z375" s="12">
        <v>0.55715659384250826</v>
      </c>
      <c r="AA375" s="12">
        <v>-0.55715659384250826</v>
      </c>
      <c r="AB375" s="12">
        <v>0.26211323231415379</v>
      </c>
      <c r="AC375" s="12">
        <v>0.29504336152835442</v>
      </c>
      <c r="AD375" s="12">
        <v>-0.30402811043509081</v>
      </c>
      <c r="AE375" s="12">
        <v>-0.25312848340741745</v>
      </c>
      <c r="AF375" s="17"/>
      <c r="AG375">
        <v>373</v>
      </c>
      <c r="AH375">
        <v>2</v>
      </c>
      <c r="AI375">
        <v>37</v>
      </c>
      <c r="AJ375">
        <v>38</v>
      </c>
      <c r="AK375">
        <v>31</v>
      </c>
    </row>
    <row r="376" spans="1:37" x14ac:dyDescent="0.25">
      <c r="A376">
        <v>374</v>
      </c>
      <c r="B376" t="s">
        <v>229</v>
      </c>
      <c r="C376" t="s">
        <v>210</v>
      </c>
      <c r="D376" t="s">
        <v>231</v>
      </c>
      <c r="E376" t="s">
        <v>222</v>
      </c>
      <c r="F376">
        <v>8</v>
      </c>
      <c r="G376">
        <v>10</v>
      </c>
      <c r="H376" s="17"/>
      <c r="I376" s="1">
        <v>96.27920292771627</v>
      </c>
      <c r="J376" s="1">
        <v>100.48238252556169</v>
      </c>
      <c r="K376" s="1">
        <v>196.76158545327797</v>
      </c>
      <c r="L376" s="1">
        <v>0.48931910517959437</v>
      </c>
      <c r="M376" s="1">
        <v>0.51068089482040557</v>
      </c>
      <c r="N376" s="19"/>
      <c r="O376" s="1">
        <v>110.23247617185426</v>
      </c>
      <c r="P376" s="1">
        <v>90.94910125907063</v>
      </c>
      <c r="Q376" s="1">
        <v>201.1815774309249</v>
      </c>
      <c r="R376" s="1">
        <v>0.54792530001760353</v>
      </c>
      <c r="S376" s="1">
        <v>0.45207469998239641</v>
      </c>
      <c r="T376" s="19"/>
      <c r="U376" s="1">
        <v>0.44928793225295094</v>
      </c>
      <c r="V376" s="1">
        <v>0.55071206774704906</v>
      </c>
      <c r="W376" s="1">
        <v>0.44400000000000001</v>
      </c>
      <c r="X376" s="1">
        <v>0.55600000000000005</v>
      </c>
      <c r="Y376" s="17"/>
      <c r="Z376" s="12">
        <v>-5.2879322529509332E-2</v>
      </c>
      <c r="AA376" s="12">
        <v>5.2879322529509887E-2</v>
      </c>
      <c r="AB376" s="12">
        <v>-2.5874862782642671E-2</v>
      </c>
      <c r="AC376" s="12">
        <v>-2.7004459746866657E-2</v>
      </c>
      <c r="AD376" s="12">
        <v>2.3905403867800559E-2</v>
      </c>
      <c r="AE376" s="12">
        <v>2.8973918661709331E-2</v>
      </c>
      <c r="AF376" s="17"/>
      <c r="AG376">
        <v>374</v>
      </c>
      <c r="AH376">
        <v>25</v>
      </c>
      <c r="AI376">
        <v>22</v>
      </c>
      <c r="AJ376">
        <v>38</v>
      </c>
      <c r="AK376">
        <v>37</v>
      </c>
    </row>
    <row r="377" spans="1:37" x14ac:dyDescent="0.25">
      <c r="A377">
        <v>375</v>
      </c>
      <c r="B377" t="s">
        <v>229</v>
      </c>
      <c r="C377" t="s">
        <v>210</v>
      </c>
      <c r="D377" t="s">
        <v>231</v>
      </c>
      <c r="E377" t="s">
        <v>222</v>
      </c>
      <c r="F377">
        <v>3</v>
      </c>
      <c r="G377">
        <v>10</v>
      </c>
      <c r="H377" s="17"/>
      <c r="I377" s="1">
        <v>96.253328064933626</v>
      </c>
      <c r="J377" s="1">
        <v>100.45537806581483</v>
      </c>
      <c r="K377" s="1">
        <v>196.70870613074845</v>
      </c>
      <c r="L377" s="1">
        <v>0.48931910517959437</v>
      </c>
      <c r="M377" s="1">
        <v>0.51068089482040557</v>
      </c>
      <c r="N377" s="19"/>
      <c r="O377" s="1">
        <v>110.25638157572206</v>
      </c>
      <c r="P377" s="1">
        <v>90.978075177732336</v>
      </c>
      <c r="Q377" s="1">
        <v>201.2344567534544</v>
      </c>
      <c r="R377" s="1">
        <v>0.54790011290563634</v>
      </c>
      <c r="S377" s="1">
        <v>0.45209988709436366</v>
      </c>
      <c r="T377" s="19"/>
      <c r="U377" s="1">
        <v>0.4480831659838283</v>
      </c>
      <c r="V377" s="1">
        <v>0.55191683401617175</v>
      </c>
      <c r="W377" s="1">
        <v>6.7749999999999977E-2</v>
      </c>
      <c r="X377" s="1">
        <v>0.93224999999999991</v>
      </c>
      <c r="Y377" s="17"/>
      <c r="Z377" s="12">
        <v>-3.8033316598382831</v>
      </c>
      <c r="AA377" s="12">
        <v>3.8033316598382818</v>
      </c>
      <c r="AB377" s="12">
        <v>-1.86104284449329</v>
      </c>
      <c r="AC377" s="12">
        <v>-1.9422888153449929</v>
      </c>
      <c r="AD377" s="12">
        <v>1.719485813995306</v>
      </c>
      <c r="AE377" s="12">
        <v>2.0838458458429758</v>
      </c>
      <c r="AF377" s="17"/>
      <c r="AG377">
        <v>375</v>
      </c>
      <c r="AH377">
        <v>25</v>
      </c>
      <c r="AI377">
        <v>22</v>
      </c>
      <c r="AJ377">
        <v>38</v>
      </c>
      <c r="AK377">
        <v>37</v>
      </c>
    </row>
    <row r="378" spans="1:37" x14ac:dyDescent="0.25">
      <c r="A378">
        <v>376</v>
      </c>
      <c r="B378" t="s">
        <v>216</v>
      </c>
      <c r="C378" t="s">
        <v>196</v>
      </c>
      <c r="D378" t="s">
        <v>203</v>
      </c>
      <c r="E378" t="s">
        <v>230</v>
      </c>
      <c r="F378">
        <v>10</v>
      </c>
      <c r="G378">
        <v>0</v>
      </c>
      <c r="H378" s="17"/>
      <c r="I378" s="1">
        <v>113.07002987575412</v>
      </c>
      <c r="J378" s="1">
        <v>90.647298591618593</v>
      </c>
      <c r="K378" s="1">
        <v>203.71732846737271</v>
      </c>
      <c r="L378" s="1">
        <v>0.55503393219621655</v>
      </c>
      <c r="M378" s="1">
        <v>0.44496606780378345</v>
      </c>
      <c r="N378" s="19"/>
      <c r="O378" s="1">
        <v>82.951054236670302</v>
      </c>
      <c r="P378" s="1">
        <v>91.777630284561994</v>
      </c>
      <c r="Q378" s="1">
        <v>174.72868452123231</v>
      </c>
      <c r="R378" s="1">
        <v>0.47474205202174707</v>
      </c>
      <c r="S378" s="1">
        <v>0.52525794797825287</v>
      </c>
      <c r="T378" s="19"/>
      <c r="U378" s="1">
        <v>0.79166259641474501</v>
      </c>
      <c r="V378" s="1">
        <v>0.20833740358525496</v>
      </c>
      <c r="W378" s="1">
        <v>1.5</v>
      </c>
      <c r="X378" s="1">
        <v>-0.5</v>
      </c>
      <c r="Y378" s="17"/>
      <c r="Z378" s="12">
        <v>7.0833740358525503</v>
      </c>
      <c r="AA378" s="12">
        <v>-7.0833740358525503</v>
      </c>
      <c r="AB378" s="12">
        <v>3.1518610915167251</v>
      </c>
      <c r="AC378" s="12">
        <v>3.9315129443358252</v>
      </c>
      <c r="AD378" s="12">
        <v>-3.3627755250182041</v>
      </c>
      <c r="AE378" s="12">
        <v>-3.7205985108343458</v>
      </c>
      <c r="AF378" s="17"/>
      <c r="AG378">
        <v>376</v>
      </c>
      <c r="AH378">
        <v>30</v>
      </c>
      <c r="AI378">
        <v>9</v>
      </c>
      <c r="AJ378">
        <v>15</v>
      </c>
      <c r="AK378">
        <v>31</v>
      </c>
    </row>
    <row r="379" spans="1:37" x14ac:dyDescent="0.25">
      <c r="A379">
        <v>377</v>
      </c>
      <c r="B379" t="s">
        <v>216</v>
      </c>
      <c r="C379" t="s">
        <v>196</v>
      </c>
      <c r="D379" t="s">
        <v>203</v>
      </c>
      <c r="E379" t="s">
        <v>230</v>
      </c>
      <c r="F379">
        <v>10</v>
      </c>
      <c r="G379">
        <v>1</v>
      </c>
      <c r="H379" s="17"/>
      <c r="I379" s="1">
        <v>116.22189096727084</v>
      </c>
      <c r="J379" s="1">
        <v>94.578811535954415</v>
      </c>
      <c r="K379" s="1">
        <v>210.80070250322524</v>
      </c>
      <c r="L379" s="1">
        <v>0.55133540632053946</v>
      </c>
      <c r="M379" s="1">
        <v>0.44866459367946065</v>
      </c>
      <c r="N379" s="19"/>
      <c r="O379" s="1">
        <v>79.588278711652094</v>
      </c>
      <c r="P379" s="1">
        <v>88.057031773727644</v>
      </c>
      <c r="Q379" s="1">
        <v>167.64531048537975</v>
      </c>
      <c r="R379" s="1">
        <v>0.47474205202174707</v>
      </c>
      <c r="S379" s="1">
        <v>0.52525794797825287</v>
      </c>
      <c r="T379" s="19"/>
      <c r="U379" s="1">
        <v>0.87946559850957562</v>
      </c>
      <c r="V379" s="1">
        <v>0.12053440149042444</v>
      </c>
      <c r="W379" s="1">
        <v>1.2717499999999999</v>
      </c>
      <c r="X379" s="1">
        <v>-0.27175000000000005</v>
      </c>
      <c r="Y379" s="17"/>
      <c r="Z379" s="12">
        <v>3.9228440149042432</v>
      </c>
      <c r="AA379" s="12">
        <v>-3.9228440149042449</v>
      </c>
      <c r="AB379" s="12">
        <v>1.7600412160149159</v>
      </c>
      <c r="AC379" s="12">
        <v>2.1628027988893268</v>
      </c>
      <c r="AD379" s="12">
        <v>-1.8623390173968701</v>
      </c>
      <c r="AE379" s="12">
        <v>-2.0605049975073744</v>
      </c>
      <c r="AF379" s="17"/>
      <c r="AG379">
        <v>377</v>
      </c>
      <c r="AH379">
        <v>30</v>
      </c>
      <c r="AI379">
        <v>9</v>
      </c>
      <c r="AJ379">
        <v>15</v>
      </c>
      <c r="AK379">
        <v>31</v>
      </c>
    </row>
    <row r="380" spans="1:37" x14ac:dyDescent="0.25">
      <c r="A380">
        <v>378</v>
      </c>
      <c r="B380" t="s">
        <v>216</v>
      </c>
      <c r="C380" t="s">
        <v>230</v>
      </c>
      <c r="D380" t="s">
        <v>196</v>
      </c>
      <c r="E380" t="s">
        <v>231</v>
      </c>
      <c r="F380">
        <v>10</v>
      </c>
      <c r="G380">
        <v>2</v>
      </c>
      <c r="H380" s="17"/>
      <c r="I380" s="1">
        <v>117.98193218328575</v>
      </c>
      <c r="J380" s="1">
        <v>85.996526776220264</v>
      </c>
      <c r="K380" s="1">
        <v>203.97845895950601</v>
      </c>
      <c r="L380" s="1">
        <v>0.57840388041517476</v>
      </c>
      <c r="M380" s="1">
        <v>0.42159611958482524</v>
      </c>
      <c r="N380" s="19"/>
      <c r="O380" s="1">
        <v>96.741614334843746</v>
      </c>
      <c r="P380" s="1">
        <v>111.97586738971737</v>
      </c>
      <c r="Q380" s="1">
        <v>208.71748172456111</v>
      </c>
      <c r="R380" s="1">
        <v>0.46350508608814606</v>
      </c>
      <c r="S380" s="1">
        <v>0.536494913911854</v>
      </c>
      <c r="T380" s="19"/>
      <c r="U380" s="1">
        <v>0.44565550966736356</v>
      </c>
      <c r="V380" s="1">
        <v>0.55434449033263644</v>
      </c>
      <c r="W380" s="1">
        <v>1.0840000000000001</v>
      </c>
      <c r="X380" s="1">
        <v>-8.4000000000000075E-2</v>
      </c>
      <c r="Y380" s="17"/>
      <c r="Z380" s="12">
        <v>6.3834449033263656</v>
      </c>
      <c r="AA380" s="12">
        <v>-6.3834449033263656</v>
      </c>
      <c r="AB380" s="12">
        <v>2.6912356008259257</v>
      </c>
      <c r="AC380" s="12">
        <v>3.6922093025004399</v>
      </c>
      <c r="AD380" s="12">
        <v>-2.9587591794552242</v>
      </c>
      <c r="AE380" s="12">
        <v>-3.4246857238711419</v>
      </c>
      <c r="AF380" s="17"/>
      <c r="AG380">
        <v>378</v>
      </c>
      <c r="AH380">
        <v>30</v>
      </c>
      <c r="AI380">
        <v>31</v>
      </c>
      <c r="AJ380">
        <v>9</v>
      </c>
      <c r="AK380">
        <v>38</v>
      </c>
    </row>
    <row r="381" spans="1:37" x14ac:dyDescent="0.25">
      <c r="A381">
        <v>379</v>
      </c>
      <c r="B381" t="s">
        <v>216</v>
      </c>
      <c r="C381" t="s">
        <v>230</v>
      </c>
      <c r="D381" t="s">
        <v>196</v>
      </c>
      <c r="E381" t="s">
        <v>231</v>
      </c>
      <c r="F381">
        <v>10</v>
      </c>
      <c r="G381">
        <v>2</v>
      </c>
      <c r="H381" s="17"/>
      <c r="I381" s="1">
        <v>120.67316778411167</v>
      </c>
      <c r="J381" s="1">
        <v>89.688736078720709</v>
      </c>
      <c r="K381" s="1">
        <v>210.36190386283238</v>
      </c>
      <c r="L381" s="1">
        <v>0.57364553927405626</v>
      </c>
      <c r="M381" s="1">
        <v>0.42635446072594368</v>
      </c>
      <c r="N381" s="19"/>
      <c r="O381" s="1">
        <v>93.782855155388518</v>
      </c>
      <c r="P381" s="1">
        <v>108.55118166584623</v>
      </c>
      <c r="Q381" s="1">
        <v>202.33403682123475</v>
      </c>
      <c r="R381" s="1">
        <v>0.463505086088146</v>
      </c>
      <c r="S381" s="1">
        <v>0.536494913911854</v>
      </c>
      <c r="T381" s="19"/>
      <c r="U381" s="1">
        <v>0.59138574631926</v>
      </c>
      <c r="V381" s="1">
        <v>0.40861425368074006</v>
      </c>
      <c r="W381" s="1">
        <v>1.0840000000000001</v>
      </c>
      <c r="X381" s="1">
        <v>-8.4000000000000075E-2</v>
      </c>
      <c r="Y381" s="17"/>
      <c r="Z381" s="12">
        <v>4.9261425368074008</v>
      </c>
      <c r="AA381" s="12">
        <v>-4.9261425368074017</v>
      </c>
      <c r="AB381" s="12">
        <v>2.100282844739652</v>
      </c>
      <c r="AC381" s="12">
        <v>2.8258596920677488</v>
      </c>
      <c r="AD381" s="12">
        <v>-2.2832921206053927</v>
      </c>
      <c r="AE381" s="12">
        <v>-2.642850416202009</v>
      </c>
      <c r="AF381" s="17"/>
      <c r="AG381">
        <v>379</v>
      </c>
      <c r="AH381">
        <v>30</v>
      </c>
      <c r="AI381">
        <v>31</v>
      </c>
      <c r="AJ381">
        <v>9</v>
      </c>
      <c r="AK381">
        <v>38</v>
      </c>
    </row>
    <row r="382" spans="1:37" x14ac:dyDescent="0.25">
      <c r="A382">
        <v>380</v>
      </c>
      <c r="B382" t="s">
        <v>220</v>
      </c>
      <c r="C382" t="s">
        <v>190</v>
      </c>
      <c r="D382" t="s">
        <v>229</v>
      </c>
      <c r="E382" t="s">
        <v>231</v>
      </c>
      <c r="F382">
        <v>9</v>
      </c>
      <c r="G382">
        <v>10</v>
      </c>
      <c r="H382" s="17"/>
      <c r="I382" s="1">
        <v>105.31464274436719</v>
      </c>
      <c r="J382" s="1">
        <v>102.30533227216664</v>
      </c>
      <c r="K382" s="1">
        <v>207.61997501653383</v>
      </c>
      <c r="L382" s="1">
        <v>0.50724716027916128</v>
      </c>
      <c r="M382" s="1">
        <v>0.49275283972083872</v>
      </c>
      <c r="N382" s="19"/>
      <c r="O382" s="1">
        <v>94.392285220440343</v>
      </c>
      <c r="P382" s="1">
        <v>105.90833124964422</v>
      </c>
      <c r="Q382" s="1">
        <v>200.30061647008455</v>
      </c>
      <c r="R382" s="1">
        <v>0.47125309389418724</v>
      </c>
      <c r="S382" s="1">
        <v>0.52874690610581287</v>
      </c>
      <c r="T382" s="19"/>
      <c r="U382" s="1">
        <v>0.58347835274171533</v>
      </c>
      <c r="V382" s="1">
        <v>0.41652164725828467</v>
      </c>
      <c r="W382" s="1">
        <v>0.47425</v>
      </c>
      <c r="X382" s="1">
        <v>0.52575000000000005</v>
      </c>
      <c r="Y382" s="17"/>
      <c r="Z382" s="12">
        <v>-1.0922835274171532</v>
      </c>
      <c r="AA382" s="12">
        <v>1.0922835274171538</v>
      </c>
      <c r="AB382" s="12">
        <v>-0.55405771750205635</v>
      </c>
      <c r="AC382" s="12">
        <v>-0.53822580991509683</v>
      </c>
      <c r="AD382" s="12">
        <v>0.57754153571216382</v>
      </c>
      <c r="AE382" s="12">
        <v>0.51474199170498991</v>
      </c>
      <c r="AF382" s="17"/>
      <c r="AG382">
        <v>380</v>
      </c>
      <c r="AH382">
        <v>35</v>
      </c>
      <c r="AI382">
        <v>2</v>
      </c>
      <c r="AJ382">
        <v>25</v>
      </c>
      <c r="AK382">
        <v>38</v>
      </c>
    </row>
    <row r="383" spans="1:37" x14ac:dyDescent="0.25">
      <c r="A383">
        <v>381</v>
      </c>
      <c r="B383" t="s">
        <v>220</v>
      </c>
      <c r="C383" t="s">
        <v>190</v>
      </c>
      <c r="D383" t="s">
        <v>229</v>
      </c>
      <c r="E383" t="s">
        <v>231</v>
      </c>
      <c r="F383">
        <v>10</v>
      </c>
      <c r="G383">
        <v>3</v>
      </c>
      <c r="H383" s="17"/>
      <c r="I383" s="1">
        <v>104.76058502686513</v>
      </c>
      <c r="J383" s="1">
        <v>101.76710646225155</v>
      </c>
      <c r="K383" s="1">
        <v>206.52769148911668</v>
      </c>
      <c r="L383" s="1">
        <v>0.50724716027916128</v>
      </c>
      <c r="M383" s="1">
        <v>0.49275283972083878</v>
      </c>
      <c r="N383" s="19"/>
      <c r="O383" s="1">
        <v>94.9698267561525</v>
      </c>
      <c r="P383" s="1">
        <v>106.42307324134921</v>
      </c>
      <c r="Q383" s="1">
        <v>201.39289999750173</v>
      </c>
      <c r="R383" s="1">
        <v>0.47156491990199556</v>
      </c>
      <c r="S383" s="1">
        <v>0.52843508009800444</v>
      </c>
      <c r="T383" s="19"/>
      <c r="U383" s="1">
        <v>0.55884253971806974</v>
      </c>
      <c r="V383" s="1">
        <v>0.44115746028193026</v>
      </c>
      <c r="W383" s="1">
        <v>0.93224999999999991</v>
      </c>
      <c r="X383" s="1">
        <v>6.7749999999999977E-2</v>
      </c>
      <c r="Y383" s="17"/>
      <c r="Z383" s="12">
        <v>3.7340746028193017</v>
      </c>
      <c r="AA383" s="12">
        <v>-3.7340746028193026</v>
      </c>
      <c r="AB383" s="12">
        <v>1.8399758642686739</v>
      </c>
      <c r="AC383" s="12">
        <v>1.8940987385506278</v>
      </c>
      <c r="AD383" s="12">
        <v>-1.7608585909865604</v>
      </c>
      <c r="AE383" s="12">
        <v>-1.9732160118327422</v>
      </c>
      <c r="AF383" s="17"/>
      <c r="AG383">
        <v>381</v>
      </c>
      <c r="AH383">
        <v>35</v>
      </c>
      <c r="AI383">
        <v>2</v>
      </c>
      <c r="AJ383">
        <v>25</v>
      </c>
      <c r="AK383">
        <v>38</v>
      </c>
    </row>
    <row r="384" spans="1:37" x14ac:dyDescent="0.25">
      <c r="A384">
        <v>382</v>
      </c>
      <c r="B384" t="s">
        <v>230</v>
      </c>
      <c r="C384" t="s">
        <v>190</v>
      </c>
      <c r="D384" t="s">
        <v>222</v>
      </c>
      <c r="E384" t="s">
        <v>220</v>
      </c>
      <c r="F384">
        <v>6</v>
      </c>
      <c r="G384">
        <v>10</v>
      </c>
      <c r="H384" s="17"/>
      <c r="I384" s="1">
        <v>92.514595770788461</v>
      </c>
      <c r="J384" s="1">
        <v>103.66120520080217</v>
      </c>
      <c r="K384" s="1">
        <v>196.17580097159063</v>
      </c>
      <c r="L384" s="1">
        <v>0.47159025380600356</v>
      </c>
      <c r="M384" s="1">
        <v>0.5284097461939965</v>
      </c>
      <c r="N384" s="19"/>
      <c r="O384" s="1">
        <v>93.061921023575309</v>
      </c>
      <c r="P384" s="1">
        <v>106.60056089113381</v>
      </c>
      <c r="Q384" s="1">
        <v>199.66248191470913</v>
      </c>
      <c r="R384" s="1">
        <v>0.46609618457677521</v>
      </c>
      <c r="S384" s="1">
        <v>0.53390381542322474</v>
      </c>
      <c r="T384" s="19"/>
      <c r="U384" s="1">
        <v>0.45994412510943411</v>
      </c>
      <c r="V384" s="1">
        <v>0.54005587489056583</v>
      </c>
      <c r="W384" s="1">
        <v>0.35199999999999998</v>
      </c>
      <c r="X384" s="1">
        <v>0.64800000000000002</v>
      </c>
      <c r="Y384" s="17"/>
      <c r="Z384" s="12">
        <v>-1.0794412510943414</v>
      </c>
      <c r="AA384" s="12">
        <v>1.0794412510943419</v>
      </c>
      <c r="AB384" s="12">
        <v>-0.50905397357225046</v>
      </c>
      <c r="AC384" s="12">
        <v>-0.57038727752209095</v>
      </c>
      <c r="AD384" s="12">
        <v>0.57631780248448827</v>
      </c>
      <c r="AE384" s="12">
        <v>0.50312344860985359</v>
      </c>
      <c r="AF384" s="17"/>
      <c r="AG384">
        <v>382</v>
      </c>
      <c r="AH384">
        <v>31</v>
      </c>
      <c r="AI384">
        <v>2</v>
      </c>
      <c r="AJ384">
        <v>37</v>
      </c>
      <c r="AK384">
        <v>35</v>
      </c>
    </row>
    <row r="385" spans="1:37" x14ac:dyDescent="0.25">
      <c r="A385">
        <v>383</v>
      </c>
      <c r="B385" t="s">
        <v>230</v>
      </c>
      <c r="C385" t="s">
        <v>190</v>
      </c>
      <c r="D385" t="s">
        <v>222</v>
      </c>
      <c r="E385" t="s">
        <v>220</v>
      </c>
      <c r="F385">
        <v>10</v>
      </c>
      <c r="G385">
        <v>7</v>
      </c>
      <c r="H385" s="17"/>
      <c r="I385" s="1">
        <v>92.00554179721621</v>
      </c>
      <c r="J385" s="1">
        <v>103.09081792328008</v>
      </c>
      <c r="K385" s="1">
        <v>195.09635972049631</v>
      </c>
      <c r="L385" s="1">
        <v>0.4715902538060035</v>
      </c>
      <c r="M385" s="1">
        <v>0.52840974619399639</v>
      </c>
      <c r="N385" s="19"/>
      <c r="O385" s="1">
        <v>93.638238826059791</v>
      </c>
      <c r="P385" s="1">
        <v>107.10368433974367</v>
      </c>
      <c r="Q385" s="1">
        <v>200.74192316580346</v>
      </c>
      <c r="R385" s="1">
        <v>0.46646080374909521</v>
      </c>
      <c r="S385" s="1">
        <v>0.53353919625090485</v>
      </c>
      <c r="T385" s="19"/>
      <c r="U385" s="1">
        <v>0.43536670609525752</v>
      </c>
      <c r="V385" s="1">
        <v>0.56463329390474248</v>
      </c>
      <c r="W385" s="1">
        <v>0.59525000000000006</v>
      </c>
      <c r="X385" s="1">
        <v>0.40475</v>
      </c>
      <c r="Y385" s="17"/>
      <c r="Z385" s="12">
        <v>1.5988329390474254</v>
      </c>
      <c r="AA385" s="12">
        <v>-1.598832939047425</v>
      </c>
      <c r="AB385" s="12">
        <v>0.84483890752865154</v>
      </c>
      <c r="AC385" s="12">
        <v>0.75399403151877409</v>
      </c>
      <c r="AD385" s="12">
        <v>-0.74579289780859004</v>
      </c>
      <c r="AE385" s="12">
        <v>-0.85304004123883503</v>
      </c>
      <c r="AF385" s="17"/>
      <c r="AG385">
        <v>383</v>
      </c>
      <c r="AH385">
        <v>31</v>
      </c>
      <c r="AI385">
        <v>2</v>
      </c>
      <c r="AJ385">
        <v>37</v>
      </c>
      <c r="AK385">
        <v>35</v>
      </c>
    </row>
    <row r="386" spans="1:37" x14ac:dyDescent="0.25">
      <c r="A386">
        <v>384</v>
      </c>
      <c r="B386" t="s">
        <v>227</v>
      </c>
      <c r="C386" t="s">
        <v>231</v>
      </c>
      <c r="D386" t="s">
        <v>229</v>
      </c>
      <c r="E386" t="s">
        <v>190</v>
      </c>
      <c r="F386">
        <v>10</v>
      </c>
      <c r="G386">
        <v>4</v>
      </c>
      <c r="H386" s="17"/>
      <c r="I386" s="1">
        <v>112.06046065586267</v>
      </c>
      <c r="J386" s="1">
        <v>104.44985722951647</v>
      </c>
      <c r="K386" s="1">
        <v>216.51031788537915</v>
      </c>
      <c r="L386" s="1">
        <v>0.51757561371826921</v>
      </c>
      <c r="M386" s="1">
        <v>0.48242438628173073</v>
      </c>
      <c r="N386" s="19"/>
      <c r="O386" s="1">
        <v>93.208968165165942</v>
      </c>
      <c r="P386" s="1">
        <v>103.84481195479886</v>
      </c>
      <c r="Q386" s="1">
        <v>197.05378011996481</v>
      </c>
      <c r="R386" s="1">
        <v>0.47301283998927118</v>
      </c>
      <c r="S386" s="1">
        <v>0.52698716001072876</v>
      </c>
      <c r="T386" s="19"/>
      <c r="U386" s="1">
        <v>0.71012818261753807</v>
      </c>
      <c r="V386" s="1">
        <v>0.28987181738246187</v>
      </c>
      <c r="W386" s="1">
        <v>0.81200000000000006</v>
      </c>
      <c r="X386" s="1">
        <v>0.18799999999999994</v>
      </c>
      <c r="Y386" s="17"/>
      <c r="Z386" s="12">
        <v>1.0187181738246198</v>
      </c>
      <c r="AA386" s="12">
        <v>-1.0187181738246194</v>
      </c>
      <c r="AB386" s="12">
        <v>0.49145448980138778</v>
      </c>
      <c r="AC386" s="12">
        <v>0.52726368402323209</v>
      </c>
      <c r="AD386" s="12">
        <v>-0.48186677654946725</v>
      </c>
      <c r="AE386" s="12">
        <v>-0.53685139727515208</v>
      </c>
      <c r="AF386" s="17"/>
      <c r="AG386">
        <v>384</v>
      </c>
      <c r="AH386">
        <v>46</v>
      </c>
      <c r="AI386">
        <v>38</v>
      </c>
      <c r="AJ386">
        <v>25</v>
      </c>
      <c r="AK386">
        <v>2</v>
      </c>
    </row>
    <row r="387" spans="1:37" x14ac:dyDescent="0.25">
      <c r="A387">
        <v>385</v>
      </c>
      <c r="B387" t="s">
        <v>227</v>
      </c>
      <c r="C387" t="s">
        <v>231</v>
      </c>
      <c r="D387" t="s">
        <v>229</v>
      </c>
      <c r="E387" t="s">
        <v>190</v>
      </c>
      <c r="F387">
        <v>10</v>
      </c>
      <c r="G387">
        <v>4</v>
      </c>
      <c r="H387" s="17"/>
      <c r="I387" s="1">
        <v>112.55191514566405</v>
      </c>
      <c r="J387" s="1">
        <v>104.97712091353969</v>
      </c>
      <c r="K387" s="1">
        <v>217.52903605920375</v>
      </c>
      <c r="L387" s="1">
        <v>0.51741099572119365</v>
      </c>
      <c r="M387" s="1">
        <v>0.4825890042788063</v>
      </c>
      <c r="N387" s="19"/>
      <c r="O387" s="1">
        <v>92.727101388616475</v>
      </c>
      <c r="P387" s="1">
        <v>103.3079605575237</v>
      </c>
      <c r="Q387" s="1">
        <v>196.03506194614016</v>
      </c>
      <c r="R387" s="1">
        <v>0.47301283998927124</v>
      </c>
      <c r="S387" s="1">
        <v>0.52698716001072876</v>
      </c>
      <c r="T387" s="19"/>
      <c r="U387" s="1">
        <v>0.72905515030591295</v>
      </c>
      <c r="V387" s="1">
        <v>0.27094484969408705</v>
      </c>
      <c r="W387" s="1">
        <v>0.81200000000000006</v>
      </c>
      <c r="X387" s="1">
        <v>0.18799999999999994</v>
      </c>
      <c r="Y387" s="17"/>
      <c r="Z387" s="12">
        <v>0.82944849694087108</v>
      </c>
      <c r="AA387" s="12">
        <v>-0.82944849694087108</v>
      </c>
      <c r="AB387" s="12">
        <v>0.40028272423924754</v>
      </c>
      <c r="AC387" s="12">
        <v>0.42916577270162354</v>
      </c>
      <c r="AD387" s="12">
        <v>-0.3923397891628338</v>
      </c>
      <c r="AE387" s="12">
        <v>-0.43710870777803729</v>
      </c>
      <c r="AF387" s="17"/>
      <c r="AG387">
        <v>385</v>
      </c>
      <c r="AH387">
        <v>46</v>
      </c>
      <c r="AI387">
        <v>38</v>
      </c>
      <c r="AJ387">
        <v>25</v>
      </c>
      <c r="AK387">
        <v>2</v>
      </c>
    </row>
    <row r="388" spans="1:37" x14ac:dyDescent="0.25">
      <c r="A388">
        <v>386</v>
      </c>
      <c r="B388" t="s">
        <v>221</v>
      </c>
      <c r="C388" t="s">
        <v>232</v>
      </c>
      <c r="D388" t="s">
        <v>207</v>
      </c>
      <c r="E388" t="s">
        <v>202</v>
      </c>
      <c r="F388">
        <v>3</v>
      </c>
      <c r="G388">
        <v>6</v>
      </c>
      <c r="H388" s="17"/>
      <c r="I388" s="1">
        <v>101.7607159866544</v>
      </c>
      <c r="J388" s="1">
        <v>102.63094974439248</v>
      </c>
      <c r="K388" s="1">
        <v>204.39166573104688</v>
      </c>
      <c r="L388" s="1">
        <v>0.4978711613445061</v>
      </c>
      <c r="M388" s="1">
        <v>0.50212883865549385</v>
      </c>
      <c r="N388" s="19"/>
      <c r="O388" s="1">
        <v>102.95538019010159</v>
      </c>
      <c r="P388" s="1">
        <v>100.54839460060133</v>
      </c>
      <c r="Q388" s="1">
        <v>203.50377479070292</v>
      </c>
      <c r="R388" s="1">
        <v>0.50591385980917503</v>
      </c>
      <c r="S388" s="1">
        <v>0.49408614019082503</v>
      </c>
      <c r="T388" s="19"/>
      <c r="U388" s="1">
        <v>0.51022079824311573</v>
      </c>
      <c r="V388" s="1">
        <v>0.48977920175688433</v>
      </c>
      <c r="W388" s="1">
        <v>0.40475</v>
      </c>
      <c r="X388" s="1">
        <v>0.59525000000000006</v>
      </c>
      <c r="Y388" s="17"/>
      <c r="Z388" s="12">
        <v>-1.0547079824311574</v>
      </c>
      <c r="AA388" s="12">
        <v>1.0547079824311574</v>
      </c>
      <c r="AB388" s="12">
        <v>-0.52510868809232125</v>
      </c>
      <c r="AC388" s="12">
        <v>-0.52959929433883601</v>
      </c>
      <c r="AD388" s="12">
        <v>0.52111659606786298</v>
      </c>
      <c r="AE388" s="12">
        <v>0.5335913863632944</v>
      </c>
      <c r="AF388" s="17"/>
      <c r="AG388">
        <v>386</v>
      </c>
      <c r="AH388">
        <v>36</v>
      </c>
      <c r="AI388">
        <v>42</v>
      </c>
      <c r="AJ388">
        <v>19</v>
      </c>
      <c r="AK388">
        <v>14</v>
      </c>
    </row>
    <row r="389" spans="1:37" x14ac:dyDescent="0.25">
      <c r="A389">
        <v>387</v>
      </c>
      <c r="B389" t="s">
        <v>221</v>
      </c>
      <c r="C389" t="s">
        <v>232</v>
      </c>
      <c r="D389" t="s">
        <v>207</v>
      </c>
      <c r="E389" t="s">
        <v>202</v>
      </c>
      <c r="F389">
        <v>6</v>
      </c>
      <c r="G389">
        <v>5</v>
      </c>
      <c r="H389" s="17"/>
      <c r="I389" s="1">
        <v>101.23560729856209</v>
      </c>
      <c r="J389" s="1">
        <v>102.10135045005364</v>
      </c>
      <c r="K389" s="1">
        <v>203.33695774861573</v>
      </c>
      <c r="L389" s="1">
        <v>0.4978711613445061</v>
      </c>
      <c r="M389" s="1">
        <v>0.50212883865549385</v>
      </c>
      <c r="N389" s="19"/>
      <c r="O389" s="1">
        <v>103.47649678616946</v>
      </c>
      <c r="P389" s="1">
        <v>101.08198598696463</v>
      </c>
      <c r="Q389" s="1">
        <v>204.55848277313407</v>
      </c>
      <c r="R389" s="1">
        <v>0.5058528758297951</v>
      </c>
      <c r="S389" s="1">
        <v>0.49414712417020501</v>
      </c>
      <c r="T389" s="19"/>
      <c r="U389" s="1">
        <v>0.48594038080556018</v>
      </c>
      <c r="V389" s="1">
        <v>0.51405961919443977</v>
      </c>
      <c r="W389" s="1">
        <v>0.52575000000000005</v>
      </c>
      <c r="X389" s="1">
        <v>0.47425</v>
      </c>
      <c r="Y389" s="17"/>
      <c r="Z389" s="12">
        <v>0.39809619194439871</v>
      </c>
      <c r="AA389" s="12">
        <v>-0.3980961919443976</v>
      </c>
      <c r="AB389" s="12">
        <v>0.1998955785342155</v>
      </c>
      <c r="AC389" s="12">
        <v>0.19820061341018322</v>
      </c>
      <c r="AD389" s="12">
        <v>-0.20137810355196364</v>
      </c>
      <c r="AE389" s="12">
        <v>-0.19671808839243402</v>
      </c>
      <c r="AF389" s="17"/>
      <c r="AG389">
        <v>387</v>
      </c>
      <c r="AH389">
        <v>36</v>
      </c>
      <c r="AI389">
        <v>42</v>
      </c>
      <c r="AJ389">
        <v>19</v>
      </c>
      <c r="AK389">
        <v>14</v>
      </c>
    </row>
    <row r="390" spans="1:37" x14ac:dyDescent="0.25">
      <c r="A390">
        <v>388</v>
      </c>
      <c r="B390" t="s">
        <v>210</v>
      </c>
      <c r="C390" t="s">
        <v>190</v>
      </c>
      <c r="D390" t="s">
        <v>222</v>
      </c>
      <c r="E390" t="s">
        <v>220</v>
      </c>
      <c r="F390">
        <v>10</v>
      </c>
      <c r="G390">
        <v>9</v>
      </c>
      <c r="H390" s="17"/>
      <c r="I390" s="1">
        <v>98.513089250469832</v>
      </c>
      <c r="J390" s="1">
        <v>102.87085184974566</v>
      </c>
      <c r="K390" s="1">
        <v>201.38394110021551</v>
      </c>
      <c r="L390" s="1">
        <v>0.48918046152173755</v>
      </c>
      <c r="M390" s="1">
        <v>0.51081953847826234</v>
      </c>
      <c r="N390" s="19"/>
      <c r="O390" s="1">
        <v>92.892445928251206</v>
      </c>
      <c r="P390" s="1">
        <v>106.25064429850482</v>
      </c>
      <c r="Q390" s="1">
        <v>199.14309022675604</v>
      </c>
      <c r="R390" s="1">
        <v>0.46646080374909521</v>
      </c>
      <c r="S390" s="1">
        <v>0.53353919625090473</v>
      </c>
      <c r="T390" s="19"/>
      <c r="U390" s="1">
        <v>0.52577587875350951</v>
      </c>
      <c r="V390" s="1">
        <v>0.47422412124649044</v>
      </c>
      <c r="W390" s="1">
        <v>0.52575000000000005</v>
      </c>
      <c r="X390" s="1">
        <v>0.47425</v>
      </c>
      <c r="Y390" s="17"/>
      <c r="Z390" s="12">
        <v>-2.5878753509456232E-4</v>
      </c>
      <c r="AA390" s="12">
        <v>2.5878753509567254E-4</v>
      </c>
      <c r="AB390" s="12">
        <v>-1.2659380585363085E-4</v>
      </c>
      <c r="AC390" s="12">
        <v>-1.3219372924093143E-4</v>
      </c>
      <c r="AD390" s="12">
        <v>1.3807329347469794E-4</v>
      </c>
      <c r="AE390" s="12">
        <v>1.2071424162097461E-4</v>
      </c>
      <c r="AF390" s="17"/>
      <c r="AG390">
        <v>388</v>
      </c>
      <c r="AH390">
        <v>22</v>
      </c>
      <c r="AI390">
        <v>2</v>
      </c>
      <c r="AJ390">
        <v>37</v>
      </c>
      <c r="AK390">
        <v>35</v>
      </c>
    </row>
    <row r="391" spans="1:37" x14ac:dyDescent="0.25">
      <c r="A391">
        <v>389</v>
      </c>
      <c r="B391" t="s">
        <v>210</v>
      </c>
      <c r="C391" t="s">
        <v>190</v>
      </c>
      <c r="D391" t="s">
        <v>222</v>
      </c>
      <c r="E391" t="s">
        <v>220</v>
      </c>
      <c r="F391">
        <v>6</v>
      </c>
      <c r="G391">
        <v>10</v>
      </c>
      <c r="H391" s="17"/>
      <c r="I391" s="1">
        <v>98.512962656663973</v>
      </c>
      <c r="J391" s="1">
        <v>102.87071965601642</v>
      </c>
      <c r="K391" s="1">
        <v>201.38368231268038</v>
      </c>
      <c r="L391" s="1">
        <v>0.48918046152173761</v>
      </c>
      <c r="M391" s="1">
        <v>0.51081953847826245</v>
      </c>
      <c r="N391" s="19"/>
      <c r="O391" s="1">
        <v>92.892584001544677</v>
      </c>
      <c r="P391" s="1">
        <v>106.25076501274644</v>
      </c>
      <c r="Q391" s="1">
        <v>199.14334901429112</v>
      </c>
      <c r="R391" s="1">
        <v>0.46646089091771992</v>
      </c>
      <c r="S391" s="1">
        <v>0.53353910908228008</v>
      </c>
      <c r="T391" s="19"/>
      <c r="U391" s="1">
        <v>0.52576993578267106</v>
      </c>
      <c r="V391" s="1">
        <v>0.47423006421732894</v>
      </c>
      <c r="W391" s="1">
        <v>0.35199999999999998</v>
      </c>
      <c r="X391" s="1">
        <v>0.64800000000000002</v>
      </c>
      <c r="Y391" s="17"/>
      <c r="Z391" s="12">
        <v>-1.7376993578267108</v>
      </c>
      <c r="AA391" s="12">
        <v>1.7376993578267108</v>
      </c>
      <c r="AB391" s="12">
        <v>-0.8500485738476975</v>
      </c>
      <c r="AC391" s="12">
        <v>-0.88765078397901342</v>
      </c>
      <c r="AD391" s="12">
        <v>0.92713056722771348</v>
      </c>
      <c r="AE391" s="12">
        <v>0.81056879059899734</v>
      </c>
      <c r="AF391" s="17"/>
      <c r="AG391">
        <v>389</v>
      </c>
      <c r="AH391">
        <v>22</v>
      </c>
      <c r="AI391">
        <v>2</v>
      </c>
      <c r="AJ391">
        <v>37</v>
      </c>
      <c r="AK391">
        <v>35</v>
      </c>
    </row>
    <row r="392" spans="1:37" x14ac:dyDescent="0.25">
      <c r="A392">
        <v>390</v>
      </c>
      <c r="B392" t="s">
        <v>227</v>
      </c>
      <c r="C392" t="s">
        <v>204</v>
      </c>
      <c r="D392" t="s">
        <v>190</v>
      </c>
      <c r="E392" t="s">
        <v>220</v>
      </c>
      <c r="F392">
        <v>7</v>
      </c>
      <c r="G392">
        <v>10</v>
      </c>
      <c r="H392" s="17"/>
      <c r="I392" s="1">
        <v>112.9521978699033</v>
      </c>
      <c r="J392" s="1">
        <v>92.03049797598149</v>
      </c>
      <c r="K392" s="1">
        <v>204.98269584588479</v>
      </c>
      <c r="L392" s="1">
        <v>0.55103284403492203</v>
      </c>
      <c r="M392" s="1">
        <v>0.44896715596507791</v>
      </c>
      <c r="N392" s="19"/>
      <c r="O392" s="1">
        <v>101.98306887203741</v>
      </c>
      <c r="P392" s="1">
        <v>107.06133380334543</v>
      </c>
      <c r="Q392" s="1">
        <v>209.04440267538286</v>
      </c>
      <c r="R392" s="1">
        <v>0.48785362136867666</v>
      </c>
      <c r="S392" s="1">
        <v>0.51214637863132328</v>
      </c>
      <c r="T392" s="19"/>
      <c r="U392" s="1">
        <v>0.45337373613069348</v>
      </c>
      <c r="V392" s="1">
        <v>0.54662626386930646</v>
      </c>
      <c r="W392" s="1">
        <v>0.40475</v>
      </c>
      <c r="X392" s="1">
        <v>0.59525000000000006</v>
      </c>
      <c r="Y392" s="17"/>
      <c r="Z392" s="12">
        <v>-0.48623736130693485</v>
      </c>
      <c r="AA392" s="12">
        <v>0.48623736130693596</v>
      </c>
      <c r="AB392" s="12">
        <v>-0.26793275607699624</v>
      </c>
      <c r="AC392" s="12">
        <v>-0.21830460522993855</v>
      </c>
      <c r="AD392" s="12">
        <v>0.24902470374859761</v>
      </c>
      <c r="AE392" s="12">
        <v>0.2372126575583384</v>
      </c>
      <c r="AF392" s="17"/>
      <c r="AG392">
        <v>390</v>
      </c>
      <c r="AH392">
        <v>46</v>
      </c>
      <c r="AI392">
        <v>16</v>
      </c>
      <c r="AJ392">
        <v>2</v>
      </c>
      <c r="AK392">
        <v>35</v>
      </c>
    </row>
    <row r="393" spans="1:37" x14ac:dyDescent="0.25">
      <c r="A393">
        <v>391</v>
      </c>
      <c r="B393" t="s">
        <v>227</v>
      </c>
      <c r="C393" t="s">
        <v>204</v>
      </c>
      <c r="D393" t="s">
        <v>190</v>
      </c>
      <c r="E393" t="s">
        <v>220</v>
      </c>
      <c r="F393">
        <v>4</v>
      </c>
      <c r="G393">
        <v>10</v>
      </c>
      <c r="H393" s="17"/>
      <c r="I393" s="1">
        <v>112.6842651138263</v>
      </c>
      <c r="J393" s="1">
        <v>91.812193370751558</v>
      </c>
      <c r="K393" s="1">
        <v>204.49645848457786</v>
      </c>
      <c r="L393" s="1">
        <v>0.55103284403492203</v>
      </c>
      <c r="M393" s="1">
        <v>0.44896715596507797</v>
      </c>
      <c r="N393" s="19"/>
      <c r="O393" s="1">
        <v>102.23209357578601</v>
      </c>
      <c r="P393" s="1">
        <v>107.29854646090378</v>
      </c>
      <c r="Q393" s="1">
        <v>209.53064003668979</v>
      </c>
      <c r="R393" s="1">
        <v>0.48790999520587869</v>
      </c>
      <c r="S393" s="1">
        <v>0.51209000479412126</v>
      </c>
      <c r="T393" s="19"/>
      <c r="U393" s="1">
        <v>0.44230004207582124</v>
      </c>
      <c r="V393" s="1">
        <v>0.55769995792417881</v>
      </c>
      <c r="W393" s="1">
        <v>0.18799999999999994</v>
      </c>
      <c r="X393" s="1">
        <v>0.81200000000000006</v>
      </c>
      <c r="Y393" s="17"/>
      <c r="Z393" s="12">
        <v>-2.5430004207582129</v>
      </c>
      <c r="AA393" s="12">
        <v>2.5430004207582124</v>
      </c>
      <c r="AB393" s="12">
        <v>-1.4012767542324014</v>
      </c>
      <c r="AC393" s="12">
        <v>-1.1417236665258115</v>
      </c>
      <c r="AD393" s="12">
        <v>1.3022450976575253</v>
      </c>
      <c r="AE393" s="12">
        <v>1.2407553231006871</v>
      </c>
      <c r="AF393" s="17"/>
      <c r="AG393">
        <v>391</v>
      </c>
      <c r="AH393">
        <v>46</v>
      </c>
      <c r="AI393">
        <v>16</v>
      </c>
      <c r="AJ393">
        <v>2</v>
      </c>
      <c r="AK393">
        <v>35</v>
      </c>
    </row>
    <row r="394" spans="1:37" x14ac:dyDescent="0.25">
      <c r="A394">
        <v>392</v>
      </c>
      <c r="B394" t="s">
        <v>207</v>
      </c>
      <c r="C394" t="s">
        <v>232</v>
      </c>
      <c r="D394" t="s">
        <v>202</v>
      </c>
      <c r="E394" t="s">
        <v>233</v>
      </c>
      <c r="F394">
        <v>4</v>
      </c>
      <c r="G394">
        <v>6</v>
      </c>
      <c r="H394" s="17"/>
      <c r="I394" s="1">
        <v>103.2751186826175</v>
      </c>
      <c r="J394" s="1">
        <v>102.29955106346382</v>
      </c>
      <c r="K394" s="1">
        <v>205.57466974608133</v>
      </c>
      <c r="L394" s="1">
        <v>0.50237278167674715</v>
      </c>
      <c r="M394" s="1">
        <v>0.49762721832325291</v>
      </c>
      <c r="N394" s="19"/>
      <c r="O394" s="1">
        <v>100.8852678985722</v>
      </c>
      <c r="P394" s="1">
        <v>93.726423769841205</v>
      </c>
      <c r="Q394" s="1">
        <v>194.61169166841341</v>
      </c>
      <c r="R394" s="1">
        <v>0.51839263629887278</v>
      </c>
      <c r="S394" s="1">
        <v>0.48160736370112722</v>
      </c>
      <c r="T394" s="19"/>
      <c r="U394" s="1">
        <v>0.62360165912821308</v>
      </c>
      <c r="V394" s="1">
        <v>0.37639834087178692</v>
      </c>
      <c r="W394" s="1">
        <v>0.44400000000000001</v>
      </c>
      <c r="X394" s="1">
        <v>0.55600000000000005</v>
      </c>
      <c r="Y394" s="17"/>
      <c r="Z394" s="12">
        <v>-1.7960165912821306</v>
      </c>
      <c r="AA394" s="12">
        <v>1.7960165912821313</v>
      </c>
      <c r="AB394" s="12">
        <v>-0.90226985089999345</v>
      </c>
      <c r="AC394" s="12">
        <v>-0.89374674038213731</v>
      </c>
      <c r="AD394" s="12">
        <v>0.8649748156908722</v>
      </c>
      <c r="AE394" s="12">
        <v>0.93104177559125911</v>
      </c>
      <c r="AF394" s="17"/>
      <c r="AG394">
        <v>392</v>
      </c>
      <c r="AH394">
        <v>19</v>
      </c>
      <c r="AI394">
        <v>42</v>
      </c>
      <c r="AJ394">
        <v>14</v>
      </c>
      <c r="AK394">
        <v>43</v>
      </c>
    </row>
    <row r="395" spans="1:37" x14ac:dyDescent="0.25">
      <c r="A395">
        <v>393</v>
      </c>
      <c r="B395" t="s">
        <v>207</v>
      </c>
      <c r="C395" t="s">
        <v>232</v>
      </c>
      <c r="D395" t="s">
        <v>202</v>
      </c>
      <c r="E395" t="s">
        <v>233</v>
      </c>
      <c r="F395">
        <v>6</v>
      </c>
      <c r="G395">
        <v>0</v>
      </c>
      <c r="H395" s="17"/>
      <c r="I395" s="1">
        <v>102.3728488317175</v>
      </c>
      <c r="J395" s="1">
        <v>101.40580432308168</v>
      </c>
      <c r="K395" s="1">
        <v>203.7786531547992</v>
      </c>
      <c r="L395" s="1">
        <v>0.50237278167674704</v>
      </c>
      <c r="M395" s="1">
        <v>0.49762721832325285</v>
      </c>
      <c r="N395" s="19"/>
      <c r="O395" s="1">
        <v>101.75024271426307</v>
      </c>
      <c r="P395" s="1">
        <v>94.657465545432458</v>
      </c>
      <c r="Q395" s="1">
        <v>196.40770825969554</v>
      </c>
      <c r="R395" s="1">
        <v>0.51805625968470737</v>
      </c>
      <c r="S395" s="1">
        <v>0.48194374031529263</v>
      </c>
      <c r="T395" s="19"/>
      <c r="U395" s="1">
        <v>0.58405559281924957</v>
      </c>
      <c r="V395" s="1">
        <v>0.41594440718075043</v>
      </c>
      <c r="W395" s="1">
        <v>0.81200000000000006</v>
      </c>
      <c r="X395" s="1">
        <v>0.18799999999999994</v>
      </c>
      <c r="Y395" s="17"/>
      <c r="Z395" s="12">
        <v>2.2794440718075046</v>
      </c>
      <c r="AA395" s="12">
        <v>-2.2794440718075046</v>
      </c>
      <c r="AB395" s="12">
        <v>1.1343134127769978</v>
      </c>
      <c r="AC395" s="12">
        <v>1.145130659030507</v>
      </c>
      <c r="AD395" s="12">
        <v>-1.1808802700010754</v>
      </c>
      <c r="AE395" s="12">
        <v>-1.0985638018064292</v>
      </c>
      <c r="AF395" s="17"/>
      <c r="AG395">
        <v>393</v>
      </c>
      <c r="AH395">
        <v>19</v>
      </c>
      <c r="AI395">
        <v>42</v>
      </c>
      <c r="AJ395">
        <v>14</v>
      </c>
      <c r="AK395">
        <v>43</v>
      </c>
    </row>
    <row r="396" spans="1:37" x14ac:dyDescent="0.25">
      <c r="A396">
        <v>394</v>
      </c>
      <c r="B396" t="s">
        <v>222</v>
      </c>
      <c r="C396" t="s">
        <v>203</v>
      </c>
      <c r="D396" t="s">
        <v>230</v>
      </c>
      <c r="E396" t="s">
        <v>231</v>
      </c>
      <c r="F396">
        <v>1</v>
      </c>
      <c r="G396">
        <v>10</v>
      </c>
      <c r="H396" s="17"/>
      <c r="I396" s="1">
        <v>93.819714568772383</v>
      </c>
      <c r="J396" s="1">
        <v>77.725939694255231</v>
      </c>
      <c r="K396" s="1">
        <v>171.54565426302761</v>
      </c>
      <c r="L396" s="1">
        <v>0.54690813924624659</v>
      </c>
      <c r="M396" s="1">
        <v>0.45309186075375341</v>
      </c>
      <c r="N396" s="19"/>
      <c r="O396" s="1">
        <v>92.850380704744865</v>
      </c>
      <c r="P396" s="1">
        <v>105.40628668624132</v>
      </c>
      <c r="Q396" s="1">
        <v>198.25666739098619</v>
      </c>
      <c r="R396" s="1">
        <v>0.46833421506895734</v>
      </c>
      <c r="S396" s="1">
        <v>0.53166578493104266</v>
      </c>
      <c r="T396" s="19"/>
      <c r="U396" s="1">
        <v>0.22616609178407301</v>
      </c>
      <c r="V396" s="1">
        <v>0.7738339082159269</v>
      </c>
      <c r="W396" s="1">
        <v>-0.27175000000000005</v>
      </c>
      <c r="X396" s="1">
        <v>1.2717499999999999</v>
      </c>
      <c r="Y396" s="17"/>
      <c r="Z396" s="12">
        <v>-4.9791609178407299</v>
      </c>
      <c r="AA396" s="12">
        <v>4.9791609178407299</v>
      </c>
      <c r="AB396" s="12">
        <v>-2.7231436325839069</v>
      </c>
      <c r="AC396" s="12">
        <v>-2.256017285256823</v>
      </c>
      <c r="AD396" s="12">
        <v>2.6472494976817624</v>
      </c>
      <c r="AE396" s="12">
        <v>2.3319114201589675</v>
      </c>
      <c r="AF396" s="17"/>
      <c r="AG396">
        <v>394</v>
      </c>
      <c r="AH396">
        <v>37</v>
      </c>
      <c r="AI396">
        <v>15</v>
      </c>
      <c r="AJ396">
        <v>31</v>
      </c>
      <c r="AK396">
        <v>38</v>
      </c>
    </row>
    <row r="397" spans="1:37" x14ac:dyDescent="0.25">
      <c r="A397">
        <v>395</v>
      </c>
      <c r="B397" t="s">
        <v>222</v>
      </c>
      <c r="C397" t="s">
        <v>203</v>
      </c>
      <c r="D397" t="s">
        <v>230</v>
      </c>
      <c r="E397" t="s">
        <v>231</v>
      </c>
      <c r="F397">
        <v>4</v>
      </c>
      <c r="G397">
        <v>10</v>
      </c>
      <c r="H397" s="17"/>
      <c r="I397" s="1">
        <v>91.096570936188471</v>
      </c>
      <c r="J397" s="1">
        <v>75.469922408998414</v>
      </c>
      <c r="K397" s="1">
        <v>166.56649334518687</v>
      </c>
      <c r="L397" s="1">
        <v>0.54690813924624659</v>
      </c>
      <c r="M397" s="1">
        <v>0.45309186075375346</v>
      </c>
      <c r="N397" s="19"/>
      <c r="O397" s="1">
        <v>95.49763020242662</v>
      </c>
      <c r="P397" s="1">
        <v>107.73819810640029</v>
      </c>
      <c r="Q397" s="1">
        <v>203.23582830882691</v>
      </c>
      <c r="R397" s="1">
        <v>0.46988580211021275</v>
      </c>
      <c r="S397" s="1">
        <v>0.5301141978897872</v>
      </c>
      <c r="T397" s="19"/>
      <c r="U397" s="1">
        <v>0.1559488166993758</v>
      </c>
      <c r="V397" s="1">
        <v>0.84405118330062412</v>
      </c>
      <c r="W397" s="1">
        <v>0.18799999999999994</v>
      </c>
      <c r="X397" s="1">
        <v>0.81200000000000006</v>
      </c>
      <c r="Y397" s="17"/>
      <c r="Z397" s="12">
        <v>0.32051183300624148</v>
      </c>
      <c r="AA397" s="12">
        <v>-0.32051183300624064</v>
      </c>
      <c r="AB397" s="12">
        <v>0.14522130281039422</v>
      </c>
      <c r="AC397" s="12">
        <v>0.1752905301958472</v>
      </c>
      <c r="AD397" s="12">
        <v>-0.15060395973795193</v>
      </c>
      <c r="AE397" s="12">
        <v>-0.16990787326828868</v>
      </c>
      <c r="AF397" s="17"/>
      <c r="AG397">
        <v>395</v>
      </c>
      <c r="AH397">
        <v>37</v>
      </c>
      <c r="AI397">
        <v>15</v>
      </c>
      <c r="AJ397">
        <v>31</v>
      </c>
      <c r="AK397">
        <v>38</v>
      </c>
    </row>
    <row r="398" spans="1:37" x14ac:dyDescent="0.25">
      <c r="A398">
        <v>396</v>
      </c>
      <c r="B398" t="s">
        <v>231</v>
      </c>
      <c r="C398" t="s">
        <v>204</v>
      </c>
      <c r="D398" t="s">
        <v>190</v>
      </c>
      <c r="E398" t="s">
        <v>227</v>
      </c>
      <c r="F398">
        <v>8</v>
      </c>
      <c r="G398">
        <v>10</v>
      </c>
      <c r="H398" s="17"/>
      <c r="I398" s="1">
        <v>107.568290233132</v>
      </c>
      <c r="J398" s="1">
        <v>90.670469704225752</v>
      </c>
      <c r="K398" s="1">
        <v>198.23875993735777</v>
      </c>
      <c r="L398" s="1">
        <v>0.54261987043867166</v>
      </c>
      <c r="M398" s="1">
        <v>0.45738012956132829</v>
      </c>
      <c r="N398" s="19"/>
      <c r="O398" s="1">
        <v>103.53433867344353</v>
      </c>
      <c r="P398" s="1">
        <v>111.2829883595939</v>
      </c>
      <c r="Q398" s="1">
        <v>214.81732703303743</v>
      </c>
      <c r="R398" s="1">
        <v>0.48196456078945932</v>
      </c>
      <c r="S398" s="1">
        <v>0.51803543921054074</v>
      </c>
      <c r="T398" s="19"/>
      <c r="U398" s="1">
        <v>0.31789309968157281</v>
      </c>
      <c r="V398" s="1">
        <v>0.68210690031842713</v>
      </c>
      <c r="W398" s="1">
        <v>0.44400000000000001</v>
      </c>
      <c r="X398" s="1">
        <v>0.55600000000000005</v>
      </c>
      <c r="Y398" s="17"/>
      <c r="Z398" s="12">
        <v>1.261069003184272</v>
      </c>
      <c r="AA398" s="12">
        <v>-1.2610690031842708</v>
      </c>
      <c r="AB398" s="12">
        <v>0.57678790406219749</v>
      </c>
      <c r="AC398" s="12">
        <v>0.68428109912207458</v>
      </c>
      <c r="AD398" s="12">
        <v>-0.6077905682449084</v>
      </c>
      <c r="AE398" s="12">
        <v>-0.65327843493936255</v>
      </c>
      <c r="AF398" s="17"/>
      <c r="AG398">
        <v>396</v>
      </c>
      <c r="AH398">
        <v>38</v>
      </c>
      <c r="AI398">
        <v>16</v>
      </c>
      <c r="AJ398">
        <v>2</v>
      </c>
      <c r="AK398">
        <v>46</v>
      </c>
    </row>
    <row r="399" spans="1:37" x14ac:dyDescent="0.25">
      <c r="A399">
        <v>397</v>
      </c>
      <c r="B399" t="s">
        <v>231</v>
      </c>
      <c r="C399" t="s">
        <v>204</v>
      </c>
      <c r="D399" t="s">
        <v>190</v>
      </c>
      <c r="E399" t="s">
        <v>227</v>
      </c>
      <c r="F399">
        <v>7</v>
      </c>
      <c r="G399">
        <v>10</v>
      </c>
      <c r="H399" s="17"/>
      <c r="I399" s="1">
        <v>108.1450781371942</v>
      </c>
      <c r="J399" s="1">
        <v>91.354750803347827</v>
      </c>
      <c r="K399" s="1">
        <v>199.49982894054205</v>
      </c>
      <c r="L399" s="1">
        <v>0.542081056968852</v>
      </c>
      <c r="M399" s="1">
        <v>0.45791894303114794</v>
      </c>
      <c r="N399" s="19"/>
      <c r="O399" s="1">
        <v>102.92654810519862</v>
      </c>
      <c r="P399" s="1">
        <v>110.62970992465453</v>
      </c>
      <c r="Q399" s="1">
        <v>213.55625802985315</v>
      </c>
      <c r="R399" s="1">
        <v>0.48196456078945932</v>
      </c>
      <c r="S399" s="1">
        <v>0.51803543921054074</v>
      </c>
      <c r="T399" s="19"/>
      <c r="U399" s="1">
        <v>0.34359316337356882</v>
      </c>
      <c r="V399" s="1">
        <v>0.65640683662643118</v>
      </c>
      <c r="W399" s="1">
        <v>0.40475</v>
      </c>
      <c r="X399" s="1">
        <v>0.59525000000000006</v>
      </c>
      <c r="Y399" s="17"/>
      <c r="Z399" s="12">
        <v>0.61156836626431177</v>
      </c>
      <c r="AA399" s="12">
        <v>-0.61156836626431121</v>
      </c>
      <c r="AB399" s="12">
        <v>0.28004873987103962</v>
      </c>
      <c r="AC399" s="12">
        <v>0.3315196263932722</v>
      </c>
      <c r="AD399" s="12">
        <v>-0.29475427903930596</v>
      </c>
      <c r="AE399" s="12">
        <v>-0.31681408722500531</v>
      </c>
      <c r="AF399" s="17"/>
      <c r="AG399">
        <v>397</v>
      </c>
      <c r="AH399">
        <v>38</v>
      </c>
      <c r="AI399">
        <v>16</v>
      </c>
      <c r="AJ399">
        <v>2</v>
      </c>
      <c r="AK399">
        <v>46</v>
      </c>
    </row>
    <row r="400" spans="1:37" x14ac:dyDescent="0.25">
      <c r="A400">
        <v>398</v>
      </c>
      <c r="B400" t="s">
        <v>208</v>
      </c>
      <c r="C400" t="s">
        <v>222</v>
      </c>
      <c r="D400" t="s">
        <v>220</v>
      </c>
      <c r="E400" t="s">
        <v>190</v>
      </c>
      <c r="F400">
        <v>8</v>
      </c>
      <c r="G400">
        <v>10</v>
      </c>
      <c r="H400" s="17"/>
      <c r="I400" s="1">
        <v>105.48362508025029</v>
      </c>
      <c r="J400" s="1">
        <v>91.241792238998869</v>
      </c>
      <c r="K400" s="1">
        <v>196.72541731924917</v>
      </c>
      <c r="L400" s="1">
        <v>0.53619723631883198</v>
      </c>
      <c r="M400" s="1">
        <v>0.46380276368116796</v>
      </c>
      <c r="N400" s="19"/>
      <c r="O400" s="1">
        <v>108.53930178400446</v>
      </c>
      <c r="P400" s="1">
        <v>102.63179382615931</v>
      </c>
      <c r="Q400" s="1">
        <v>211.17109561016377</v>
      </c>
      <c r="R400" s="1">
        <v>0.51398749185056747</v>
      </c>
      <c r="S400" s="1">
        <v>0.48601250814943248</v>
      </c>
      <c r="T400" s="19"/>
      <c r="U400" s="1">
        <v>0.33956169268142639</v>
      </c>
      <c r="V400" s="1">
        <v>0.66043830731857356</v>
      </c>
      <c r="W400" s="1">
        <v>0.44400000000000001</v>
      </c>
      <c r="X400" s="1">
        <v>0.55600000000000005</v>
      </c>
      <c r="Y400" s="17"/>
      <c r="Z400" s="12">
        <v>1.0443830731857362</v>
      </c>
      <c r="AA400" s="12">
        <v>-1.0443830731857351</v>
      </c>
      <c r="AB400" s="12">
        <v>0.48438775568537601</v>
      </c>
      <c r="AC400" s="12">
        <v>0.55999531750036036</v>
      </c>
      <c r="AD400" s="12">
        <v>-0.53679983631792361</v>
      </c>
      <c r="AE400" s="12">
        <v>-0.50758323686781137</v>
      </c>
      <c r="AF400" s="17"/>
      <c r="AG400">
        <v>398</v>
      </c>
      <c r="AH400">
        <v>20</v>
      </c>
      <c r="AI400">
        <v>37</v>
      </c>
      <c r="AJ400">
        <v>35</v>
      </c>
      <c r="AK400">
        <v>2</v>
      </c>
    </row>
    <row r="401" spans="1:37" x14ac:dyDescent="0.25">
      <c r="A401">
        <v>399</v>
      </c>
      <c r="B401" t="s">
        <v>208</v>
      </c>
      <c r="C401" t="s">
        <v>222</v>
      </c>
      <c r="D401" t="s">
        <v>220</v>
      </c>
      <c r="E401" t="s">
        <v>190</v>
      </c>
      <c r="F401">
        <v>5</v>
      </c>
      <c r="G401">
        <v>10</v>
      </c>
      <c r="H401" s="17"/>
      <c r="I401" s="1">
        <v>105.96801283593567</v>
      </c>
      <c r="J401" s="1">
        <v>91.801787556499235</v>
      </c>
      <c r="K401" s="1">
        <v>197.76980039243489</v>
      </c>
      <c r="L401" s="1">
        <v>0.53581493547378412</v>
      </c>
      <c r="M401" s="1">
        <v>0.46418506452621594</v>
      </c>
      <c r="N401" s="19"/>
      <c r="O401" s="1">
        <v>108.00250194768654</v>
      </c>
      <c r="P401" s="1">
        <v>102.12421058929149</v>
      </c>
      <c r="Q401" s="1">
        <v>210.12671253697803</v>
      </c>
      <c r="R401" s="1">
        <v>0.51398749185056747</v>
      </c>
      <c r="S401" s="1">
        <v>0.48601250814943248</v>
      </c>
      <c r="T401" s="19"/>
      <c r="U401" s="1">
        <v>0.36145448395633945</v>
      </c>
      <c r="V401" s="1">
        <v>0.63854551604366061</v>
      </c>
      <c r="W401" s="1">
        <v>0.28125</v>
      </c>
      <c r="X401" s="1">
        <v>0.71875</v>
      </c>
      <c r="Y401" s="17"/>
      <c r="Z401" s="12">
        <v>-0.80204483956339445</v>
      </c>
      <c r="AA401" s="12">
        <v>0.8020448395633939</v>
      </c>
      <c r="AB401" s="12">
        <v>-0.42974760395774175</v>
      </c>
      <c r="AC401" s="12">
        <v>-0.37229723560565275</v>
      </c>
      <c r="AD401" s="12">
        <v>0.38980382412451431</v>
      </c>
      <c r="AE401" s="12">
        <v>0.4122410154388797</v>
      </c>
      <c r="AF401" s="17"/>
      <c r="AG401">
        <v>399</v>
      </c>
      <c r="AH401">
        <v>20</v>
      </c>
      <c r="AI401">
        <v>37</v>
      </c>
      <c r="AJ401">
        <v>35</v>
      </c>
      <c r="AK401">
        <v>2</v>
      </c>
    </row>
    <row r="402" spans="1:37" x14ac:dyDescent="0.25">
      <c r="A402">
        <v>400</v>
      </c>
      <c r="B402" t="s">
        <v>208</v>
      </c>
      <c r="C402" t="s">
        <v>231</v>
      </c>
      <c r="D402" t="s">
        <v>220</v>
      </c>
      <c r="E402" t="s">
        <v>229</v>
      </c>
      <c r="F402">
        <v>10</v>
      </c>
      <c r="G402">
        <v>8</v>
      </c>
      <c r="H402" s="17"/>
      <c r="I402" s="1">
        <v>105.53826523197793</v>
      </c>
      <c r="J402" s="1">
        <v>108.42512687706524</v>
      </c>
      <c r="K402" s="1">
        <v>213.96339210904318</v>
      </c>
      <c r="L402" s="1">
        <v>0.49325384212544154</v>
      </c>
      <c r="M402" s="1">
        <v>0.50674615787455835</v>
      </c>
      <c r="N402" s="19"/>
      <c r="O402" s="1">
        <v>108.39230577181105</v>
      </c>
      <c r="P402" s="1">
        <v>92.334761599453643</v>
      </c>
      <c r="Q402" s="1">
        <v>200.7270673712647</v>
      </c>
      <c r="R402" s="1">
        <v>0.53999845258202617</v>
      </c>
      <c r="S402" s="1">
        <v>0.46000154741797383</v>
      </c>
      <c r="T402" s="19"/>
      <c r="U402" s="1">
        <v>0.64783934888755601</v>
      </c>
      <c r="V402" s="1">
        <v>0.35216065111244393</v>
      </c>
      <c r="W402" s="1">
        <v>0.55600000000000005</v>
      </c>
      <c r="X402" s="1">
        <v>0.44400000000000001</v>
      </c>
      <c r="Y402" s="17"/>
      <c r="Z402" s="12">
        <v>-0.9183934888755596</v>
      </c>
      <c r="AA402" s="12">
        <v>0.91839348887556072</v>
      </c>
      <c r="AB402" s="12">
        <v>-0.45300111697085871</v>
      </c>
      <c r="AC402" s="12">
        <v>-0.46539237190470079</v>
      </c>
      <c r="AD402" s="12">
        <v>0.42246242602134965</v>
      </c>
      <c r="AE402" s="12">
        <v>0.49593106285421107</v>
      </c>
      <c r="AF402" s="17"/>
      <c r="AG402">
        <v>400</v>
      </c>
      <c r="AH402">
        <v>20</v>
      </c>
      <c r="AI402">
        <v>38</v>
      </c>
      <c r="AJ402">
        <v>35</v>
      </c>
      <c r="AK402">
        <v>25</v>
      </c>
    </row>
    <row r="403" spans="1:37" x14ac:dyDescent="0.25">
      <c r="A403">
        <v>401</v>
      </c>
      <c r="B403" t="s">
        <v>208</v>
      </c>
      <c r="C403" t="s">
        <v>231</v>
      </c>
      <c r="D403" t="s">
        <v>220</v>
      </c>
      <c r="E403" t="s">
        <v>229</v>
      </c>
      <c r="F403">
        <v>4</v>
      </c>
      <c r="G403">
        <v>10</v>
      </c>
      <c r="H403" s="17"/>
      <c r="I403" s="1">
        <v>105.08526411500708</v>
      </c>
      <c r="J403" s="1">
        <v>107.95973450516054</v>
      </c>
      <c r="K403" s="1">
        <v>213.04499862016763</v>
      </c>
      <c r="L403" s="1">
        <v>0.49325384212544154</v>
      </c>
      <c r="M403" s="1">
        <v>0.50674615787455835</v>
      </c>
      <c r="N403" s="19"/>
      <c r="O403" s="1">
        <v>108.81476819783241</v>
      </c>
      <c r="P403" s="1">
        <v>92.830692662307854</v>
      </c>
      <c r="Q403" s="1">
        <v>201.64546086014025</v>
      </c>
      <c r="R403" s="1">
        <v>0.53963410698000036</v>
      </c>
      <c r="S403" s="1">
        <v>0.46036589301999964</v>
      </c>
      <c r="T403" s="19"/>
      <c r="U403" s="1">
        <v>0.62830874183124052</v>
      </c>
      <c r="V403" s="1">
        <v>0.37169125816875948</v>
      </c>
      <c r="W403" s="1">
        <v>0.18799999999999994</v>
      </c>
      <c r="X403" s="1">
        <v>0.81200000000000006</v>
      </c>
      <c r="Y403" s="17"/>
      <c r="Z403" s="12">
        <v>-4.4030874183124062</v>
      </c>
      <c r="AA403" s="12">
        <v>4.4030874183124062</v>
      </c>
      <c r="AB403" s="12">
        <v>-2.1718397862967858</v>
      </c>
      <c r="AC403" s="12">
        <v>-2.23124763201562</v>
      </c>
      <c r="AD403" s="12">
        <v>2.0270312713765155</v>
      </c>
      <c r="AE403" s="12">
        <v>2.3760561469358907</v>
      </c>
      <c r="AF403" s="17"/>
      <c r="AG403">
        <v>401</v>
      </c>
      <c r="AH403">
        <v>20</v>
      </c>
      <c r="AI403">
        <v>38</v>
      </c>
      <c r="AJ403">
        <v>35</v>
      </c>
      <c r="AK403">
        <v>25</v>
      </c>
    </row>
    <row r="404" spans="1:37" x14ac:dyDescent="0.25">
      <c r="A404">
        <v>402</v>
      </c>
      <c r="B404" t="s">
        <v>227</v>
      </c>
      <c r="C404" t="s">
        <v>231</v>
      </c>
      <c r="D404" t="s">
        <v>190</v>
      </c>
      <c r="E404" t="s">
        <v>203</v>
      </c>
      <c r="F404">
        <v>10</v>
      </c>
      <c r="G404">
        <v>3</v>
      </c>
      <c r="H404" s="17"/>
      <c r="I404" s="1">
        <v>110.31289583742952</v>
      </c>
      <c r="J404" s="1">
        <v>105.72848687314492</v>
      </c>
      <c r="K404" s="1">
        <v>216.04138271057445</v>
      </c>
      <c r="L404" s="1">
        <v>0.51061002504882647</v>
      </c>
      <c r="M404" s="1">
        <v>0.48938997495117348</v>
      </c>
      <c r="N404" s="19"/>
      <c r="O404" s="1">
        <v>102.53645160473037</v>
      </c>
      <c r="P404" s="1">
        <v>75.645212939194266</v>
      </c>
      <c r="Q404" s="1">
        <v>178.18166454392463</v>
      </c>
      <c r="R404" s="1">
        <v>0.57546017356602652</v>
      </c>
      <c r="S404" s="1">
        <v>0.42453982643397359</v>
      </c>
      <c r="T404" s="19"/>
      <c r="U404" s="1">
        <v>0.85113164935132779</v>
      </c>
      <c r="V404" s="1">
        <v>0.14886835064867221</v>
      </c>
      <c r="W404" s="1">
        <v>0.93224999999999991</v>
      </c>
      <c r="X404" s="1">
        <v>6.7749999999999977E-2</v>
      </c>
      <c r="Y404" s="17"/>
      <c r="Z404" s="12">
        <v>0.81118350648672122</v>
      </c>
      <c r="AA404" s="12">
        <v>-0.81118350648672233</v>
      </c>
      <c r="AB404" s="12">
        <v>0.3969850759203416</v>
      </c>
      <c r="AC404" s="12">
        <v>0.41419843056637967</v>
      </c>
      <c r="AD404" s="12">
        <v>-0.46680380143674721</v>
      </c>
      <c r="AE404" s="12">
        <v>-0.34437970504997517</v>
      </c>
      <c r="AF404" s="17"/>
      <c r="AG404">
        <v>402</v>
      </c>
      <c r="AH404">
        <v>46</v>
      </c>
      <c r="AI404">
        <v>38</v>
      </c>
      <c r="AJ404">
        <v>2</v>
      </c>
      <c r="AK404">
        <v>15</v>
      </c>
    </row>
    <row r="405" spans="1:37" x14ac:dyDescent="0.25">
      <c r="A405">
        <v>403</v>
      </c>
      <c r="B405" t="s">
        <v>227</v>
      </c>
      <c r="C405" t="s">
        <v>231</v>
      </c>
      <c r="D405" t="s">
        <v>190</v>
      </c>
      <c r="E405" t="s">
        <v>203</v>
      </c>
      <c r="F405">
        <v>10</v>
      </c>
      <c r="G405">
        <v>2</v>
      </c>
      <c r="H405" s="17"/>
      <c r="I405" s="1">
        <v>110.70988091334986</v>
      </c>
      <c r="J405" s="1">
        <v>106.14268530371129</v>
      </c>
      <c r="K405" s="1">
        <v>216.85256621706117</v>
      </c>
      <c r="L405" s="1">
        <v>0.51053064690289851</v>
      </c>
      <c r="M405" s="1">
        <v>0.48946935309710149</v>
      </c>
      <c r="N405" s="19"/>
      <c r="O405" s="1">
        <v>102.06964780329362</v>
      </c>
      <c r="P405" s="1">
        <v>75.300833234144292</v>
      </c>
      <c r="Q405" s="1">
        <v>177.37048103743791</v>
      </c>
      <c r="R405" s="1">
        <v>0.57546017356602641</v>
      </c>
      <c r="S405" s="1">
        <v>0.42453982643397359</v>
      </c>
      <c r="T405" s="19"/>
      <c r="U405" s="1">
        <v>0.86035206949715315</v>
      </c>
      <c r="V405" s="1">
        <v>0.13964793050284682</v>
      </c>
      <c r="W405" s="1">
        <v>1.0840000000000001</v>
      </c>
      <c r="X405" s="1">
        <v>-8.4000000000000075E-2</v>
      </c>
      <c r="Y405" s="17"/>
      <c r="Z405" s="12">
        <v>2.2364793050284693</v>
      </c>
      <c r="AA405" s="12">
        <v>-2.2364793050284688</v>
      </c>
      <c r="AB405" s="12">
        <v>1.0946880786473399</v>
      </c>
      <c r="AC405" s="12">
        <v>1.1417912263811294</v>
      </c>
      <c r="AD405" s="12">
        <v>-1.2870047690485087</v>
      </c>
      <c r="AE405" s="12">
        <v>-0.94947453597996001</v>
      </c>
      <c r="AF405" s="17"/>
      <c r="AG405">
        <v>403</v>
      </c>
      <c r="AH405">
        <v>46</v>
      </c>
      <c r="AI405">
        <v>38</v>
      </c>
      <c r="AJ405">
        <v>2</v>
      </c>
      <c r="AK405">
        <v>15</v>
      </c>
    </row>
    <row r="406" spans="1:37" x14ac:dyDescent="0.25">
      <c r="A406">
        <v>404</v>
      </c>
      <c r="B406" t="s">
        <v>230</v>
      </c>
      <c r="C406" t="s">
        <v>231</v>
      </c>
      <c r="D406" t="s">
        <v>208</v>
      </c>
      <c r="E406" t="s">
        <v>214</v>
      </c>
      <c r="F406">
        <v>10</v>
      </c>
      <c r="G406">
        <v>1</v>
      </c>
      <c r="H406" s="17"/>
      <c r="I406" s="1">
        <v>95.347026242688671</v>
      </c>
      <c r="J406" s="1">
        <v>107.28447653009242</v>
      </c>
      <c r="K406" s="1">
        <v>202.63150277278109</v>
      </c>
      <c r="L406" s="1">
        <v>0.47054394276296291</v>
      </c>
      <c r="M406" s="1">
        <v>0.52945605723703704</v>
      </c>
      <c r="N406" s="19"/>
      <c r="O406" s="1">
        <v>102.91342432871029</v>
      </c>
      <c r="P406" s="1">
        <v>84.02202162822951</v>
      </c>
      <c r="Q406" s="1">
        <v>186.93544595693982</v>
      </c>
      <c r="R406" s="1">
        <v>0.55052921505542707</v>
      </c>
      <c r="S406" s="1">
        <v>0.44947078494457282</v>
      </c>
      <c r="T406" s="19"/>
      <c r="U406" s="1">
        <v>0.67322992603047482</v>
      </c>
      <c r="V406" s="1">
        <v>0.32677007396952518</v>
      </c>
      <c r="W406" s="1">
        <v>1.2717499999999999</v>
      </c>
      <c r="X406" s="1">
        <v>-0.27175000000000005</v>
      </c>
      <c r="Y406" s="17"/>
      <c r="Z406" s="12">
        <v>5.9852007396952516</v>
      </c>
      <c r="AA406" s="12">
        <v>-5.9852007396952525</v>
      </c>
      <c r="AB406" s="12">
        <v>3.1689007854112456</v>
      </c>
      <c r="AC406" s="12">
        <v>2.8162999542840059</v>
      </c>
      <c r="AD406" s="12">
        <v>-3.2950278651735889</v>
      </c>
      <c r="AE406" s="12">
        <v>-2.6901728745216631</v>
      </c>
      <c r="AF406" s="17"/>
      <c r="AG406">
        <v>404</v>
      </c>
      <c r="AH406">
        <v>31</v>
      </c>
      <c r="AI406">
        <v>38</v>
      </c>
      <c r="AJ406">
        <v>20</v>
      </c>
      <c r="AK406">
        <v>28</v>
      </c>
    </row>
    <row r="407" spans="1:37" x14ac:dyDescent="0.25">
      <c r="A407">
        <v>405</v>
      </c>
      <c r="B407" t="s">
        <v>230</v>
      </c>
      <c r="C407" t="s">
        <v>231</v>
      </c>
      <c r="D407" t="s">
        <v>208</v>
      </c>
      <c r="E407" t="s">
        <v>214</v>
      </c>
      <c r="F407">
        <v>10</v>
      </c>
      <c r="G407">
        <v>4</v>
      </c>
      <c r="H407" s="17"/>
      <c r="I407" s="1">
        <v>98.51592702809991</v>
      </c>
      <c r="J407" s="1">
        <v>110.10077648437642</v>
      </c>
      <c r="K407" s="1">
        <v>208.61670351247633</v>
      </c>
      <c r="L407" s="1">
        <v>0.47223412780179491</v>
      </c>
      <c r="M407" s="1">
        <v>0.52776587219820503</v>
      </c>
      <c r="N407" s="19"/>
      <c r="O407" s="1">
        <v>99.618396463536698</v>
      </c>
      <c r="P407" s="1">
        <v>81.331848753707845</v>
      </c>
      <c r="Q407" s="1">
        <v>180.95024521724454</v>
      </c>
      <c r="R407" s="1">
        <v>0.55052921505542718</v>
      </c>
      <c r="S407" s="1">
        <v>0.44947078494457288</v>
      </c>
      <c r="T407" s="19"/>
      <c r="U407" s="1">
        <v>0.78144165561967349</v>
      </c>
      <c r="V407" s="1">
        <v>0.21855834438032656</v>
      </c>
      <c r="W407" s="1">
        <v>0.81200000000000006</v>
      </c>
      <c r="X407" s="1">
        <v>0.18799999999999994</v>
      </c>
      <c r="Y407" s="17"/>
      <c r="Z407" s="12">
        <v>0.30558344380326563</v>
      </c>
      <c r="AA407" s="12">
        <v>-0.30558344380326619</v>
      </c>
      <c r="AB407" s="12">
        <v>0.16127651274816165</v>
      </c>
      <c r="AC407" s="12">
        <v>0.14430693105510398</v>
      </c>
      <c r="AD407" s="12">
        <v>-0.16823261345094637</v>
      </c>
      <c r="AE407" s="12">
        <v>-0.13735083035231982</v>
      </c>
      <c r="AF407" s="17"/>
      <c r="AG407">
        <v>405</v>
      </c>
      <c r="AH407">
        <v>31</v>
      </c>
      <c r="AI407">
        <v>38</v>
      </c>
      <c r="AJ407">
        <v>20</v>
      </c>
      <c r="AK407">
        <v>28</v>
      </c>
    </row>
    <row r="408" spans="1:37" x14ac:dyDescent="0.25">
      <c r="A408">
        <v>406</v>
      </c>
      <c r="B408" t="s">
        <v>190</v>
      </c>
      <c r="C408" t="s">
        <v>192</v>
      </c>
      <c r="D408" t="s">
        <v>222</v>
      </c>
      <c r="E408" t="s">
        <v>215</v>
      </c>
      <c r="F408">
        <v>9</v>
      </c>
      <c r="G408">
        <v>10</v>
      </c>
      <c r="H408" s="17"/>
      <c r="I408" s="1">
        <v>100.78264303424511</v>
      </c>
      <c r="J408" s="1">
        <v>119.51170313733628</v>
      </c>
      <c r="K408" s="1">
        <v>220.2943461715814</v>
      </c>
      <c r="L408" s="1">
        <v>0.45749082891009918</v>
      </c>
      <c r="M408" s="1">
        <v>0.54250917108990082</v>
      </c>
      <c r="N408" s="19"/>
      <c r="O408" s="1">
        <v>91.429490320893578</v>
      </c>
      <c r="P408" s="1">
        <v>101.78077976073585</v>
      </c>
      <c r="Q408" s="1">
        <v>193.21027008162943</v>
      </c>
      <c r="R408" s="1">
        <v>0.47321237262525184</v>
      </c>
      <c r="S408" s="1">
        <v>0.52678762737474816</v>
      </c>
      <c r="T408" s="19"/>
      <c r="U408" s="1">
        <v>0.77682654549053842</v>
      </c>
      <c r="V408" s="1">
        <v>0.22317345450946158</v>
      </c>
      <c r="W408" s="1">
        <v>0.47425</v>
      </c>
      <c r="X408" s="1">
        <v>0.52575000000000005</v>
      </c>
      <c r="Y408" s="17"/>
      <c r="Z408" s="12">
        <v>-3.0257654549053843</v>
      </c>
      <c r="AA408" s="12">
        <v>3.0257654549053847</v>
      </c>
      <c r="AB408" s="12">
        <v>-1.3842599460522076</v>
      </c>
      <c r="AC408" s="12">
        <v>-1.6415055088531767</v>
      </c>
      <c r="AD408" s="12">
        <v>1.5939358049820831</v>
      </c>
      <c r="AE408" s="12">
        <v>1.4318296499233016</v>
      </c>
      <c r="AF408" s="17"/>
      <c r="AG408">
        <v>406</v>
      </c>
      <c r="AH408">
        <v>2</v>
      </c>
      <c r="AI408">
        <v>5</v>
      </c>
      <c r="AJ408">
        <v>37</v>
      </c>
      <c r="AK408">
        <v>29</v>
      </c>
    </row>
    <row r="409" spans="1:37" x14ac:dyDescent="0.25">
      <c r="A409">
        <v>407</v>
      </c>
      <c r="B409" t="s">
        <v>190</v>
      </c>
      <c r="C409" t="s">
        <v>192</v>
      </c>
      <c r="D409" t="s">
        <v>222</v>
      </c>
      <c r="E409" t="s">
        <v>215</v>
      </c>
      <c r="F409">
        <v>10</v>
      </c>
      <c r="G409">
        <v>3</v>
      </c>
      <c r="H409" s="17"/>
      <c r="I409" s="1">
        <v>99.398383088192901</v>
      </c>
      <c r="J409" s="1">
        <v>117.87019762848311</v>
      </c>
      <c r="K409" s="1">
        <v>217.26858071667601</v>
      </c>
      <c r="L409" s="1">
        <v>0.45749082891009918</v>
      </c>
      <c r="M409" s="1">
        <v>0.54250917108990082</v>
      </c>
      <c r="N409" s="19"/>
      <c r="O409" s="1">
        <v>93.023426125875659</v>
      </c>
      <c r="P409" s="1">
        <v>103.21260941065916</v>
      </c>
      <c r="Q409" s="1">
        <v>196.23603553653481</v>
      </c>
      <c r="R409" s="1">
        <v>0.47403845003053352</v>
      </c>
      <c r="S409" s="1">
        <v>0.52596154996946642</v>
      </c>
      <c r="T409" s="19"/>
      <c r="U409" s="1">
        <v>0.72483726872567011</v>
      </c>
      <c r="V409" s="1">
        <v>0.27516273127432983</v>
      </c>
      <c r="W409" s="1">
        <v>0.93224999999999991</v>
      </c>
      <c r="X409" s="1">
        <v>6.7749999999999977E-2</v>
      </c>
      <c r="Y409" s="17"/>
      <c r="Z409" s="12">
        <v>2.0741273127432978</v>
      </c>
      <c r="AA409" s="12">
        <v>-2.0741273127432986</v>
      </c>
      <c r="AB409" s="12">
        <v>1.1252330891712901</v>
      </c>
      <c r="AC409" s="12">
        <v>0.94889422357200781</v>
      </c>
      <c r="AD409" s="12">
        <v>-0.98321609649882891</v>
      </c>
      <c r="AE409" s="12">
        <v>-1.0909112162444696</v>
      </c>
      <c r="AF409" s="17"/>
      <c r="AG409">
        <v>407</v>
      </c>
      <c r="AH409">
        <v>2</v>
      </c>
      <c r="AI409">
        <v>5</v>
      </c>
      <c r="AJ409">
        <v>37</v>
      </c>
      <c r="AK409">
        <v>29</v>
      </c>
    </row>
    <row r="410" spans="1:37" x14ac:dyDescent="0.25">
      <c r="A410">
        <v>408</v>
      </c>
      <c r="B410" t="s">
        <v>190</v>
      </c>
      <c r="C410" t="s">
        <v>220</v>
      </c>
      <c r="D410" t="s">
        <v>231</v>
      </c>
      <c r="E410" t="s">
        <v>203</v>
      </c>
      <c r="F410">
        <v>10</v>
      </c>
      <c r="G410">
        <v>2</v>
      </c>
      <c r="H410" s="17"/>
      <c r="I410" s="1">
        <v>100.52361617736419</v>
      </c>
      <c r="J410" s="1">
        <v>110.84179946920892</v>
      </c>
      <c r="K410" s="1">
        <v>211.36541564657313</v>
      </c>
      <c r="L410" s="1">
        <v>0.47559159983604432</v>
      </c>
      <c r="M410" s="1">
        <v>0.52440840016395562</v>
      </c>
      <c r="N410" s="19"/>
      <c r="O410" s="1">
        <v>110.24508341543152</v>
      </c>
      <c r="P410" s="1">
        <v>74.351358698164333</v>
      </c>
      <c r="Q410" s="1">
        <v>184.59644211359586</v>
      </c>
      <c r="R410" s="1">
        <v>0.59722214660881467</v>
      </c>
      <c r="S410" s="1">
        <v>0.40277785339118527</v>
      </c>
      <c r="T410" s="19"/>
      <c r="U410" s="1">
        <v>0.77430071243544762</v>
      </c>
      <c r="V410" s="1">
        <v>0.22569928756455238</v>
      </c>
      <c r="W410" s="1">
        <v>1.0840000000000001</v>
      </c>
      <c r="X410" s="1">
        <v>-8.4000000000000075E-2</v>
      </c>
      <c r="Y410" s="17"/>
      <c r="Z410" s="12">
        <v>3.0969928756455243</v>
      </c>
      <c r="AA410" s="12">
        <v>-3.0969928756455243</v>
      </c>
      <c r="AB410" s="12">
        <v>1.6240890792364382</v>
      </c>
      <c r="AC410" s="12">
        <v>1.4729037964090865</v>
      </c>
      <c r="AD410" s="12">
        <v>-1.8495927332252258</v>
      </c>
      <c r="AE410" s="12">
        <v>-1.2474001424202983</v>
      </c>
      <c r="AF410" s="17"/>
      <c r="AG410">
        <v>408</v>
      </c>
      <c r="AH410">
        <v>2</v>
      </c>
      <c r="AI410">
        <v>35</v>
      </c>
      <c r="AJ410">
        <v>38</v>
      </c>
      <c r="AK410">
        <v>15</v>
      </c>
    </row>
    <row r="411" spans="1:37" x14ac:dyDescent="0.25">
      <c r="A411">
        <v>409</v>
      </c>
      <c r="B411" t="s">
        <v>190</v>
      </c>
      <c r="C411" t="s">
        <v>220</v>
      </c>
      <c r="D411" t="s">
        <v>231</v>
      </c>
      <c r="E411" t="s">
        <v>203</v>
      </c>
      <c r="F411">
        <v>10</v>
      </c>
      <c r="G411">
        <v>8</v>
      </c>
      <c r="H411" s="17"/>
      <c r="I411" s="1">
        <v>102.14770525660063</v>
      </c>
      <c r="J411" s="1">
        <v>112.31470326561801</v>
      </c>
      <c r="K411" s="1">
        <v>214.46240852221865</v>
      </c>
      <c r="L411" s="1">
        <v>0.47629654987306536</v>
      </c>
      <c r="M411" s="1">
        <v>0.52370345012693453</v>
      </c>
      <c r="N411" s="19"/>
      <c r="O411" s="1">
        <v>108.3954906822063</v>
      </c>
      <c r="P411" s="1">
        <v>73.103958555744029</v>
      </c>
      <c r="Q411" s="1">
        <v>181.49944923795033</v>
      </c>
      <c r="R411" s="1">
        <v>0.59722214660881479</v>
      </c>
      <c r="S411" s="1">
        <v>0.40277785339118527</v>
      </c>
      <c r="T411" s="19"/>
      <c r="U411" s="1">
        <v>0.82024383665363965</v>
      </c>
      <c r="V411" s="1">
        <v>0.17975616334636041</v>
      </c>
      <c r="W411" s="1">
        <v>0.55600000000000005</v>
      </c>
      <c r="X411" s="1">
        <v>0.44400000000000001</v>
      </c>
      <c r="Y411" s="17"/>
      <c r="Z411" s="12">
        <v>-2.6424383665363962</v>
      </c>
      <c r="AA411" s="12">
        <v>2.6424383665363962</v>
      </c>
      <c r="AB411" s="12">
        <v>-1.2585842772335041</v>
      </c>
      <c r="AC411" s="12">
        <v>-1.3838540893028919</v>
      </c>
      <c r="AD411" s="12">
        <v>1.0643156529920395</v>
      </c>
      <c r="AE411" s="12">
        <v>1.5781227135443567</v>
      </c>
      <c r="AF411" s="17"/>
      <c r="AG411">
        <v>409</v>
      </c>
      <c r="AH411">
        <v>2</v>
      </c>
      <c r="AI411">
        <v>35</v>
      </c>
      <c r="AJ411">
        <v>38</v>
      </c>
      <c r="AK411">
        <v>15</v>
      </c>
    </row>
    <row r="412" spans="1:37" x14ac:dyDescent="0.25">
      <c r="A412">
        <v>410</v>
      </c>
      <c r="B412" t="s">
        <v>226</v>
      </c>
      <c r="C412" t="s">
        <v>207</v>
      </c>
      <c r="D412" t="s">
        <v>202</v>
      </c>
      <c r="E412" t="s">
        <v>232</v>
      </c>
      <c r="F412">
        <v>3</v>
      </c>
      <c r="G412">
        <v>6</v>
      </c>
      <c r="H412" s="17"/>
      <c r="I412" s="1">
        <v>98.030598797123588</v>
      </c>
      <c r="J412" s="1">
        <v>103.50716224449451</v>
      </c>
      <c r="K412" s="1">
        <v>201.5377610416181</v>
      </c>
      <c r="L412" s="1">
        <v>0.48641305872639917</v>
      </c>
      <c r="M412" s="1">
        <v>0.51358694127360083</v>
      </c>
      <c r="N412" s="19"/>
      <c r="O412" s="1">
        <v>100.569362444262</v>
      </c>
      <c r="P412" s="1">
        <v>102.5509349821122</v>
      </c>
      <c r="Q412" s="1">
        <v>203.12029742637418</v>
      </c>
      <c r="R412" s="1">
        <v>0.49512217005646997</v>
      </c>
      <c r="S412" s="1">
        <v>0.50487782994353014</v>
      </c>
      <c r="T412" s="19"/>
      <c r="U412" s="1">
        <v>0.4817884363949132</v>
      </c>
      <c r="V412" s="1">
        <v>0.5182115636050868</v>
      </c>
      <c r="W412" s="1">
        <v>0.40475</v>
      </c>
      <c r="X412" s="1">
        <v>0.59525000000000006</v>
      </c>
      <c r="Y412" s="17"/>
      <c r="Z412" s="12">
        <v>-0.77038436394913201</v>
      </c>
      <c r="AA412" s="12">
        <v>0.77038436394913257</v>
      </c>
      <c r="AB412" s="12">
        <v>-0.3747250148634888</v>
      </c>
      <c r="AC412" s="12">
        <v>-0.39565934908564321</v>
      </c>
      <c r="AD412" s="12">
        <v>0.38894998589306468</v>
      </c>
      <c r="AE412" s="12">
        <v>0.38143437805606778</v>
      </c>
      <c r="AF412" s="17"/>
      <c r="AG412">
        <v>410</v>
      </c>
      <c r="AH412">
        <v>45</v>
      </c>
      <c r="AI412">
        <v>19</v>
      </c>
      <c r="AJ412">
        <v>14</v>
      </c>
      <c r="AK412">
        <v>42</v>
      </c>
    </row>
    <row r="413" spans="1:37" x14ac:dyDescent="0.25">
      <c r="A413">
        <v>411</v>
      </c>
      <c r="B413" t="s">
        <v>226</v>
      </c>
      <c r="C413" t="s">
        <v>207</v>
      </c>
      <c r="D413" t="s">
        <v>202</v>
      </c>
      <c r="E413" t="s">
        <v>232</v>
      </c>
      <c r="F413">
        <v>6</v>
      </c>
      <c r="G413">
        <v>2</v>
      </c>
      <c r="H413" s="17"/>
      <c r="I413" s="1">
        <v>97.655873782260102</v>
      </c>
      <c r="J413" s="1">
        <v>103.11150289540886</v>
      </c>
      <c r="K413" s="1">
        <v>200.76737667766895</v>
      </c>
      <c r="L413" s="1">
        <v>0.48641305872639923</v>
      </c>
      <c r="M413" s="1">
        <v>0.51358694127360083</v>
      </c>
      <c r="N413" s="19"/>
      <c r="O413" s="1">
        <v>100.95831243015506</v>
      </c>
      <c r="P413" s="1">
        <v>102.93236936016827</v>
      </c>
      <c r="Q413" s="1">
        <v>203.89068179032333</v>
      </c>
      <c r="R413" s="1">
        <v>0.4951590310241758</v>
      </c>
      <c r="S413" s="1">
        <v>0.5048409689758242</v>
      </c>
      <c r="T413" s="19"/>
      <c r="U413" s="1">
        <v>0.46410348553693814</v>
      </c>
      <c r="V413" s="1">
        <v>0.53589651446306186</v>
      </c>
      <c r="W413" s="1">
        <v>0.64800000000000002</v>
      </c>
      <c r="X413" s="1">
        <v>0.35199999999999998</v>
      </c>
      <c r="Y413" s="17"/>
      <c r="Z413" s="12">
        <v>1.8389651446306188</v>
      </c>
      <c r="AA413" s="12">
        <v>-1.8389651446306188</v>
      </c>
      <c r="AB413" s="12">
        <v>0.94446848373960424</v>
      </c>
      <c r="AC413" s="12">
        <v>0.89449666089101432</v>
      </c>
      <c r="AD413" s="12">
        <v>-0.91058019910253052</v>
      </c>
      <c r="AE413" s="12">
        <v>-0.92838494552808826</v>
      </c>
      <c r="AF413" s="17"/>
      <c r="AG413">
        <v>411</v>
      </c>
      <c r="AH413">
        <v>45</v>
      </c>
      <c r="AI413">
        <v>19</v>
      </c>
      <c r="AJ413">
        <v>14</v>
      </c>
      <c r="AK413">
        <v>42</v>
      </c>
    </row>
    <row r="414" spans="1:37" x14ac:dyDescent="0.25">
      <c r="A414">
        <v>412</v>
      </c>
      <c r="B414" t="s">
        <v>192</v>
      </c>
      <c r="C414" t="s">
        <v>219</v>
      </c>
      <c r="D414" t="s">
        <v>222</v>
      </c>
      <c r="E414" t="s">
        <v>230</v>
      </c>
      <c r="F414">
        <v>10</v>
      </c>
      <c r="G414">
        <v>1</v>
      </c>
      <c r="H414" s="17"/>
      <c r="I414" s="1">
        <v>118.81909185205512</v>
      </c>
      <c r="J414" s="1">
        <v>95.492997296199022</v>
      </c>
      <c r="K414" s="1">
        <v>214.31208914825413</v>
      </c>
      <c r="L414" s="1">
        <v>0.55442085569825206</v>
      </c>
      <c r="M414" s="1">
        <v>0.44557914430174805</v>
      </c>
      <c r="N414" s="19"/>
      <c r="O414" s="1">
        <v>92.040210029376837</v>
      </c>
      <c r="P414" s="1">
        <v>98.677203540848069</v>
      </c>
      <c r="Q414" s="1">
        <v>190.71741357022489</v>
      </c>
      <c r="R414" s="1">
        <v>0.48259992785339612</v>
      </c>
      <c r="S414" s="1">
        <v>0.517400072146604</v>
      </c>
      <c r="T414" s="19"/>
      <c r="U414" s="1">
        <v>0.74773621671138646</v>
      </c>
      <c r="V414" s="1">
        <v>0.25226378328861349</v>
      </c>
      <c r="W414" s="1">
        <v>1.2717499999999999</v>
      </c>
      <c r="X414" s="1">
        <v>-0.27175000000000005</v>
      </c>
      <c r="Y414" s="17"/>
      <c r="Z414" s="12">
        <v>5.240137832886135</v>
      </c>
      <c r="AA414" s="12">
        <v>-5.2401378328861359</v>
      </c>
      <c r="AB414" s="12">
        <v>2.3348961316006198</v>
      </c>
      <c r="AC414" s="12">
        <v>2.9052417012855147</v>
      </c>
      <c r="AD414" s="12">
        <v>-2.5288901400927006</v>
      </c>
      <c r="AE414" s="12">
        <v>-2.7112476927934357</v>
      </c>
      <c r="AF414" s="17"/>
      <c r="AG414">
        <v>412</v>
      </c>
      <c r="AH414">
        <v>5</v>
      </c>
      <c r="AI414">
        <v>34</v>
      </c>
      <c r="AJ414">
        <v>37</v>
      </c>
      <c r="AK414">
        <v>31</v>
      </c>
    </row>
    <row r="415" spans="1:37" x14ac:dyDescent="0.25">
      <c r="A415">
        <v>413</v>
      </c>
      <c r="B415" t="s">
        <v>192</v>
      </c>
      <c r="C415" t="s">
        <v>219</v>
      </c>
      <c r="D415" t="s">
        <v>222</v>
      </c>
      <c r="E415" t="s">
        <v>230</v>
      </c>
      <c r="F415">
        <v>10</v>
      </c>
      <c r="G415">
        <v>3</v>
      </c>
      <c r="H415" s="17"/>
      <c r="I415" s="1">
        <v>121.15398798365574</v>
      </c>
      <c r="J415" s="1">
        <v>98.39823899748454</v>
      </c>
      <c r="K415" s="1">
        <v>219.55222698114028</v>
      </c>
      <c r="L415" s="1">
        <v>0.55182308851762618</v>
      </c>
      <c r="M415" s="1">
        <v>0.44817691148237376</v>
      </c>
      <c r="N415" s="19"/>
      <c r="O415" s="1">
        <v>89.511319889284138</v>
      </c>
      <c r="P415" s="1">
        <v>95.965955848054634</v>
      </c>
      <c r="Q415" s="1">
        <v>185.47727573733877</v>
      </c>
      <c r="R415" s="1">
        <v>0.48259992785339606</v>
      </c>
      <c r="S415" s="1">
        <v>0.517400072146604</v>
      </c>
      <c r="T415" s="19"/>
      <c r="U415" s="1">
        <v>0.82767088640772368</v>
      </c>
      <c r="V415" s="1">
        <v>0.17232911359227626</v>
      </c>
      <c r="W415" s="1">
        <v>0.93224999999999991</v>
      </c>
      <c r="X415" s="1">
        <v>6.7749999999999977E-2</v>
      </c>
      <c r="Y415" s="17"/>
      <c r="Z415" s="12">
        <v>1.0457911359227623</v>
      </c>
      <c r="AA415" s="12">
        <v>-1.0457911359227627</v>
      </c>
      <c r="AB415" s="12">
        <v>0.468699441353507</v>
      </c>
      <c r="AC415" s="12">
        <v>0.57709169456925535</v>
      </c>
      <c r="AD415" s="12">
        <v>-0.50469872674604643</v>
      </c>
      <c r="AE415" s="12">
        <v>-0.54109240917671642</v>
      </c>
      <c r="AF415" s="17"/>
      <c r="AG415">
        <v>413</v>
      </c>
      <c r="AH415">
        <v>5</v>
      </c>
      <c r="AI415">
        <v>34</v>
      </c>
      <c r="AJ415">
        <v>37</v>
      </c>
      <c r="AK415">
        <v>31</v>
      </c>
    </row>
    <row r="416" spans="1:37" x14ac:dyDescent="0.25">
      <c r="A416">
        <v>414</v>
      </c>
      <c r="B416" t="s">
        <v>217</v>
      </c>
      <c r="C416" t="s">
        <v>231</v>
      </c>
      <c r="D416" t="s">
        <v>190</v>
      </c>
      <c r="E416" t="s">
        <v>220</v>
      </c>
      <c r="F416">
        <v>10</v>
      </c>
      <c r="G416">
        <v>7</v>
      </c>
      <c r="H416" s="17"/>
      <c r="I416" s="1">
        <v>104.07019205768545</v>
      </c>
      <c r="J416" s="1">
        <v>109.45980633519834</v>
      </c>
      <c r="K416" s="1">
        <v>213.52999839288378</v>
      </c>
      <c r="L416" s="1">
        <v>0.48737972575732358</v>
      </c>
      <c r="M416" s="1">
        <v>0.51262027424267642</v>
      </c>
      <c r="N416" s="19"/>
      <c r="O416" s="1">
        <v>100.88912097936712</v>
      </c>
      <c r="P416" s="1">
        <v>110.93084917631512</v>
      </c>
      <c r="Q416" s="1">
        <v>211.81997015568226</v>
      </c>
      <c r="R416" s="1">
        <v>0.4762965498730653</v>
      </c>
      <c r="S416" s="1">
        <v>0.52370345012693464</v>
      </c>
      <c r="T416" s="19"/>
      <c r="U416" s="1">
        <v>0.51967725961727673</v>
      </c>
      <c r="V416" s="1">
        <v>0.48032274038272321</v>
      </c>
      <c r="W416" s="1">
        <v>0.59525000000000006</v>
      </c>
      <c r="X416" s="1">
        <v>0.40475</v>
      </c>
      <c r="Y416" s="17"/>
      <c r="Z416" s="12">
        <v>0.75572740382723325</v>
      </c>
      <c r="AA416" s="12">
        <v>-0.75572740382723214</v>
      </c>
      <c r="AB416" s="12">
        <v>0.38740118900262216</v>
      </c>
      <c r="AC416" s="12">
        <v>0.36832621482461109</v>
      </c>
      <c r="AD416" s="12">
        <v>-0.35995035508743944</v>
      </c>
      <c r="AE416" s="12">
        <v>-0.39577704873979264</v>
      </c>
      <c r="AF416" s="17"/>
      <c r="AG416">
        <v>414</v>
      </c>
      <c r="AH416">
        <v>32</v>
      </c>
      <c r="AI416">
        <v>38</v>
      </c>
      <c r="AJ416">
        <v>2</v>
      </c>
      <c r="AK416">
        <v>35</v>
      </c>
    </row>
    <row r="417" spans="1:37" x14ac:dyDescent="0.25">
      <c r="A417">
        <v>415</v>
      </c>
      <c r="B417" t="s">
        <v>217</v>
      </c>
      <c r="C417" t="s">
        <v>231</v>
      </c>
      <c r="D417" t="s">
        <v>190</v>
      </c>
      <c r="E417" t="s">
        <v>220</v>
      </c>
      <c r="F417">
        <v>8</v>
      </c>
      <c r="G417">
        <v>10</v>
      </c>
      <c r="H417" s="17"/>
      <c r="I417" s="1">
        <v>104.45759324668806</v>
      </c>
      <c r="J417" s="1">
        <v>109.82813255002294</v>
      </c>
      <c r="K417" s="1">
        <v>214.28572579671101</v>
      </c>
      <c r="L417" s="1">
        <v>0.48746874229870585</v>
      </c>
      <c r="M417" s="1">
        <v>0.51253125770129415</v>
      </c>
      <c r="N417" s="19"/>
      <c r="O417" s="1">
        <v>100.52917062427969</v>
      </c>
      <c r="P417" s="1">
        <v>110.53507212757533</v>
      </c>
      <c r="Q417" s="1">
        <v>211.06424275185503</v>
      </c>
      <c r="R417" s="1">
        <v>0.4762965498730653</v>
      </c>
      <c r="S417" s="1">
        <v>0.52370345012693464</v>
      </c>
      <c r="T417" s="19"/>
      <c r="U417" s="1">
        <v>0.53702081937691637</v>
      </c>
      <c r="V417" s="1">
        <v>0.46297918062308369</v>
      </c>
      <c r="W417" s="1">
        <v>0.44400000000000001</v>
      </c>
      <c r="X417" s="1">
        <v>0.55600000000000005</v>
      </c>
      <c r="Y417" s="17"/>
      <c r="Z417" s="12">
        <v>-0.93020819376916364</v>
      </c>
      <c r="AA417" s="12">
        <v>0.93020819376916364</v>
      </c>
      <c r="AB417" s="12">
        <v>-0.45344741829260504</v>
      </c>
      <c r="AC417" s="12">
        <v>-0.4767607754765586</v>
      </c>
      <c r="AD417" s="12">
        <v>0.48715324041325514</v>
      </c>
      <c r="AE417" s="12">
        <v>0.4430549533559085</v>
      </c>
      <c r="AF417" s="17"/>
      <c r="AG417">
        <v>415</v>
      </c>
      <c r="AH417">
        <v>32</v>
      </c>
      <c r="AI417">
        <v>38</v>
      </c>
      <c r="AJ417">
        <v>2</v>
      </c>
      <c r="AK417">
        <v>35</v>
      </c>
    </row>
    <row r="418" spans="1:37" x14ac:dyDescent="0.25">
      <c r="A418">
        <v>416</v>
      </c>
      <c r="B418" t="s">
        <v>192</v>
      </c>
      <c r="C418" t="s">
        <v>224</v>
      </c>
      <c r="D418" t="s">
        <v>190</v>
      </c>
      <c r="E418" t="s">
        <v>222</v>
      </c>
      <c r="F418">
        <v>10</v>
      </c>
      <c r="G418">
        <v>8</v>
      </c>
      <c r="H418" s="17"/>
      <c r="I418" s="1">
        <v>121.62268742500925</v>
      </c>
      <c r="J418" s="1">
        <v>104.6537395229083</v>
      </c>
      <c r="K418" s="1">
        <v>226.27642694791754</v>
      </c>
      <c r="L418" s="1">
        <v>0.53749605765607822</v>
      </c>
      <c r="M418" s="1">
        <v>0.46250394234392184</v>
      </c>
      <c r="N418" s="19"/>
      <c r="O418" s="1">
        <v>101.01632386469294</v>
      </c>
      <c r="P418" s="1">
        <v>89.006621162538096</v>
      </c>
      <c r="Q418" s="1">
        <v>190.02294502723103</v>
      </c>
      <c r="R418" s="1">
        <v>0.53160066459456723</v>
      </c>
      <c r="S418" s="1">
        <v>0.46839933540543272</v>
      </c>
      <c r="T418" s="19"/>
      <c r="U418" s="1">
        <v>0.84151375349331936</v>
      </c>
      <c r="V418" s="1">
        <v>0.15848624650668061</v>
      </c>
      <c r="W418" s="1">
        <v>0.55600000000000005</v>
      </c>
      <c r="X418" s="1">
        <v>0.44400000000000001</v>
      </c>
      <c r="Y418" s="17"/>
      <c r="Z418" s="12">
        <v>-2.8551375349331929</v>
      </c>
      <c r="AA418" s="12">
        <v>2.8551375349331942</v>
      </c>
      <c r="AB418" s="12">
        <v>-1.5346251690924846</v>
      </c>
      <c r="AC418" s="12">
        <v>-1.3205123658407085</v>
      </c>
      <c r="AD418" s="12">
        <v>1.3373445238538137</v>
      </c>
      <c r="AE418" s="12">
        <v>1.5177930110793805</v>
      </c>
      <c r="AF418" s="17"/>
      <c r="AG418">
        <v>416</v>
      </c>
      <c r="AH418">
        <v>5</v>
      </c>
      <c r="AI418">
        <v>40</v>
      </c>
      <c r="AJ418">
        <v>2</v>
      </c>
      <c r="AK418">
        <v>37</v>
      </c>
    </row>
    <row r="419" spans="1:37" x14ac:dyDescent="0.25">
      <c r="A419">
        <v>417</v>
      </c>
      <c r="B419" t="s">
        <v>192</v>
      </c>
      <c r="C419" t="s">
        <v>224</v>
      </c>
      <c r="D419" t="s">
        <v>190</v>
      </c>
      <c r="E419" t="s">
        <v>222</v>
      </c>
      <c r="F419">
        <v>7</v>
      </c>
      <c r="G419">
        <v>10</v>
      </c>
      <c r="H419" s="17"/>
      <c r="I419" s="1">
        <v>120.08806225591677</v>
      </c>
      <c r="J419" s="1">
        <v>103.33322715706758</v>
      </c>
      <c r="K419" s="1">
        <v>223.42128941298435</v>
      </c>
      <c r="L419" s="1">
        <v>0.53749605765607822</v>
      </c>
      <c r="M419" s="1">
        <v>0.46250394234392184</v>
      </c>
      <c r="N419" s="19"/>
      <c r="O419" s="1">
        <v>102.35366838854675</v>
      </c>
      <c r="P419" s="1">
        <v>90.524414173617473</v>
      </c>
      <c r="Q419" s="1">
        <v>192.87808256216422</v>
      </c>
      <c r="R419" s="1">
        <v>0.53066510735121175</v>
      </c>
      <c r="S419" s="1">
        <v>0.4693348926487883</v>
      </c>
      <c r="T419" s="19"/>
      <c r="U419" s="1">
        <v>0.80322385027923726</v>
      </c>
      <c r="V419" s="1">
        <v>0.19677614972076277</v>
      </c>
      <c r="W419" s="1">
        <v>0.40475</v>
      </c>
      <c r="X419" s="1">
        <v>0.59525000000000006</v>
      </c>
      <c r="Y419" s="17"/>
      <c r="Z419" s="12">
        <v>-3.9847385027923727</v>
      </c>
      <c r="AA419" s="12">
        <v>3.9847385027923732</v>
      </c>
      <c r="AB419" s="12">
        <v>-2.1417812360412838</v>
      </c>
      <c r="AC419" s="12">
        <v>-1.842957266751089</v>
      </c>
      <c r="AD419" s="12">
        <v>1.8701768174415516</v>
      </c>
      <c r="AE419" s="12">
        <v>2.1145616853508211</v>
      </c>
      <c r="AF419" s="17"/>
      <c r="AG419">
        <v>417</v>
      </c>
      <c r="AH419">
        <v>5</v>
      </c>
      <c r="AI419">
        <v>40</v>
      </c>
      <c r="AJ419">
        <v>2</v>
      </c>
      <c r="AK419">
        <v>37</v>
      </c>
    </row>
    <row r="420" spans="1:37" x14ac:dyDescent="0.25">
      <c r="A420">
        <v>418</v>
      </c>
      <c r="B420" t="s">
        <v>192</v>
      </c>
      <c r="C420" t="s">
        <v>220</v>
      </c>
      <c r="D420" t="s">
        <v>200</v>
      </c>
      <c r="E420" t="s">
        <v>190</v>
      </c>
      <c r="F420">
        <v>10</v>
      </c>
      <c r="G420">
        <v>8</v>
      </c>
      <c r="H420" s="17"/>
      <c r="I420" s="1">
        <v>117.94628101987549</v>
      </c>
      <c r="J420" s="1">
        <v>110.97812708093124</v>
      </c>
      <c r="K420" s="1">
        <v>228.92440810080672</v>
      </c>
      <c r="L420" s="1">
        <v>0.51521933374591455</v>
      </c>
      <c r="M420" s="1">
        <v>0.4847806662540855</v>
      </c>
      <c r="N420" s="19"/>
      <c r="O420" s="1">
        <v>95.69663892742183</v>
      </c>
      <c r="P420" s="1">
        <v>104.2238452059883</v>
      </c>
      <c r="Q420" s="1">
        <v>199.92048413341013</v>
      </c>
      <c r="R420" s="1">
        <v>0.47867350533005881</v>
      </c>
      <c r="S420" s="1">
        <v>0.52132649466994119</v>
      </c>
      <c r="T420" s="19"/>
      <c r="U420" s="1">
        <v>0.79177863111256164</v>
      </c>
      <c r="V420" s="1">
        <v>0.20822136888743839</v>
      </c>
      <c r="W420" s="1">
        <v>0.55600000000000005</v>
      </c>
      <c r="X420" s="1">
        <v>0.44400000000000001</v>
      </c>
      <c r="Y420" s="17"/>
      <c r="Z420" s="12">
        <v>-2.3577863111256159</v>
      </c>
      <c r="AA420" s="12">
        <v>2.3577863111256163</v>
      </c>
      <c r="AB420" s="12">
        <v>-1.2147770923333774</v>
      </c>
      <c r="AC420" s="12">
        <v>-1.1430092187922385</v>
      </c>
      <c r="AD420" s="12">
        <v>1.2291764727598888</v>
      </c>
      <c r="AE420" s="12">
        <v>1.1286098383657275</v>
      </c>
      <c r="AF420" s="17"/>
      <c r="AG420">
        <v>418</v>
      </c>
      <c r="AH420">
        <v>5</v>
      </c>
      <c r="AI420">
        <v>35</v>
      </c>
      <c r="AJ420">
        <v>12</v>
      </c>
      <c r="AK420">
        <v>2</v>
      </c>
    </row>
    <row r="421" spans="1:37" x14ac:dyDescent="0.25">
      <c r="A421">
        <v>419</v>
      </c>
      <c r="B421" t="s">
        <v>192</v>
      </c>
      <c r="C421" t="s">
        <v>220</v>
      </c>
      <c r="D421" t="s">
        <v>200</v>
      </c>
      <c r="E421" t="s">
        <v>190</v>
      </c>
      <c r="F421">
        <v>10</v>
      </c>
      <c r="G421">
        <v>6</v>
      </c>
      <c r="H421" s="17"/>
      <c r="I421" s="1">
        <v>116.73150392754211</v>
      </c>
      <c r="J421" s="1">
        <v>109.835117862139</v>
      </c>
      <c r="K421" s="1">
        <v>226.56662178968111</v>
      </c>
      <c r="L421" s="1">
        <v>0.51521933374591455</v>
      </c>
      <c r="M421" s="1">
        <v>0.48478066625408545</v>
      </c>
      <c r="N421" s="19"/>
      <c r="O421" s="1">
        <v>96.925815400181719</v>
      </c>
      <c r="P421" s="1">
        <v>105.35245504435403</v>
      </c>
      <c r="Q421" s="1">
        <v>202.27827044453574</v>
      </c>
      <c r="R421" s="1">
        <v>0.47917067506644795</v>
      </c>
      <c r="S421" s="1">
        <v>0.52082932493355205</v>
      </c>
      <c r="T421" s="19"/>
      <c r="U421" s="1">
        <v>0.7537140726493925</v>
      </c>
      <c r="V421" s="1">
        <v>0.24628592735060761</v>
      </c>
      <c r="W421" s="1">
        <v>0.64800000000000002</v>
      </c>
      <c r="X421" s="1">
        <v>0.35199999999999998</v>
      </c>
      <c r="Y421" s="17"/>
      <c r="Z421" s="12">
        <v>-1.0571407264939248</v>
      </c>
      <c r="AA421" s="12">
        <v>1.0571407264939237</v>
      </c>
      <c r="AB421" s="12">
        <v>-0.54465934077987199</v>
      </c>
      <c r="AC421" s="12">
        <v>-0.51248138571405277</v>
      </c>
      <c r="AD421" s="12">
        <v>0.55058989093959509</v>
      </c>
      <c r="AE421" s="12">
        <v>0.50655083555432856</v>
      </c>
      <c r="AF421" s="17"/>
      <c r="AG421">
        <v>419</v>
      </c>
      <c r="AH421">
        <v>5</v>
      </c>
      <c r="AI421">
        <v>35</v>
      </c>
      <c r="AJ421">
        <v>12</v>
      </c>
      <c r="AK421">
        <v>2</v>
      </c>
    </row>
    <row r="422" spans="1:37" x14ac:dyDescent="0.25">
      <c r="A422">
        <v>420</v>
      </c>
      <c r="B422" t="s">
        <v>224</v>
      </c>
      <c r="C422" t="s">
        <v>231</v>
      </c>
      <c r="D422" t="s">
        <v>192</v>
      </c>
      <c r="E422" t="s">
        <v>229</v>
      </c>
      <c r="F422">
        <v>10</v>
      </c>
      <c r="G422">
        <v>9</v>
      </c>
      <c r="H422" s="17"/>
      <c r="I422" s="1">
        <v>101.4902698903165</v>
      </c>
      <c r="J422" s="1">
        <v>109.35137177454638</v>
      </c>
      <c r="K422" s="1">
        <v>210.84164166486289</v>
      </c>
      <c r="L422" s="1">
        <v>0.48135780526523009</v>
      </c>
      <c r="M422" s="1">
        <v>0.5186421947347698</v>
      </c>
      <c r="N422" s="19"/>
      <c r="O422" s="1">
        <v>116.18684458676223</v>
      </c>
      <c r="P422" s="1">
        <v>95.206748809243749</v>
      </c>
      <c r="Q422" s="1">
        <v>211.393593396006</v>
      </c>
      <c r="R422" s="1">
        <v>0.54962330087794153</v>
      </c>
      <c r="S422" s="1">
        <v>0.45037669912205841</v>
      </c>
      <c r="T422" s="19"/>
      <c r="U422" s="1">
        <v>0.49364576297325352</v>
      </c>
      <c r="V422" s="1">
        <v>0.50635423702674642</v>
      </c>
      <c r="W422" s="1">
        <v>0.52575000000000005</v>
      </c>
      <c r="X422" s="1">
        <v>0.47425</v>
      </c>
      <c r="Y422" s="17"/>
      <c r="Z422" s="12">
        <v>0.32104237026746529</v>
      </c>
      <c r="AA422" s="12">
        <v>-0.32104237026746418</v>
      </c>
      <c r="AB422" s="12">
        <v>0.16650611951837085</v>
      </c>
      <c r="AC422" s="12">
        <v>0.15453625074909449</v>
      </c>
      <c r="AD422" s="12">
        <v>-0.17645236726808197</v>
      </c>
      <c r="AE422" s="12">
        <v>-0.14459000299938218</v>
      </c>
      <c r="AF422" s="17"/>
      <c r="AG422">
        <v>420</v>
      </c>
      <c r="AH422">
        <v>40</v>
      </c>
      <c r="AI422">
        <v>38</v>
      </c>
      <c r="AJ422">
        <v>5</v>
      </c>
      <c r="AK422">
        <v>25</v>
      </c>
    </row>
    <row r="423" spans="1:37" x14ac:dyDescent="0.25">
      <c r="A423">
        <v>421</v>
      </c>
      <c r="B423" t="s">
        <v>224</v>
      </c>
      <c r="C423" t="s">
        <v>231</v>
      </c>
      <c r="D423" t="s">
        <v>192</v>
      </c>
      <c r="E423" t="s">
        <v>229</v>
      </c>
      <c r="F423">
        <v>10</v>
      </c>
      <c r="G423">
        <v>6</v>
      </c>
      <c r="H423" s="17"/>
      <c r="I423" s="1">
        <v>101.65677600983487</v>
      </c>
      <c r="J423" s="1">
        <v>109.50590802529547</v>
      </c>
      <c r="K423" s="1">
        <v>211.16268403513033</v>
      </c>
      <c r="L423" s="1">
        <v>0.48141449079574411</v>
      </c>
      <c r="M423" s="1">
        <v>0.51858550920425595</v>
      </c>
      <c r="N423" s="19"/>
      <c r="O423" s="1">
        <v>116.01039221949415</v>
      </c>
      <c r="P423" s="1">
        <v>95.062158806244369</v>
      </c>
      <c r="Q423" s="1">
        <v>211.07255102573851</v>
      </c>
      <c r="R423" s="1">
        <v>0.54962330087794153</v>
      </c>
      <c r="S423" s="1">
        <v>0.45037669912205847</v>
      </c>
      <c r="T423" s="19"/>
      <c r="U423" s="1">
        <v>0.50103769312919733</v>
      </c>
      <c r="V423" s="1">
        <v>0.49896230687080262</v>
      </c>
      <c r="W423" s="1">
        <v>0.64800000000000002</v>
      </c>
      <c r="X423" s="1">
        <v>0.35199999999999998</v>
      </c>
      <c r="Y423" s="17"/>
      <c r="Z423" s="12">
        <v>1.4696230687080269</v>
      </c>
      <c r="AA423" s="12">
        <v>-1.4696230687080263</v>
      </c>
      <c r="AB423" s="12">
        <v>0.76212522742427335</v>
      </c>
      <c r="AC423" s="12">
        <v>0.70749784128375359</v>
      </c>
      <c r="AD423" s="12">
        <v>-0.80773908206967526</v>
      </c>
      <c r="AE423" s="12">
        <v>-0.66188398663835102</v>
      </c>
      <c r="AF423" s="17"/>
      <c r="AG423">
        <v>421</v>
      </c>
      <c r="AH423">
        <v>40</v>
      </c>
      <c r="AI423">
        <v>38</v>
      </c>
      <c r="AJ423">
        <v>5</v>
      </c>
      <c r="AK423">
        <v>25</v>
      </c>
    </row>
    <row r="424" spans="1:37" x14ac:dyDescent="0.25">
      <c r="A424">
        <v>422</v>
      </c>
      <c r="B424" t="s">
        <v>203</v>
      </c>
      <c r="C424" t="s">
        <v>231</v>
      </c>
      <c r="D424" t="s">
        <v>220</v>
      </c>
      <c r="E424" t="s">
        <v>190</v>
      </c>
      <c r="F424">
        <v>4</v>
      </c>
      <c r="G424">
        <v>10</v>
      </c>
      <c r="H424" s="17"/>
      <c r="I424" s="1">
        <v>74.682081269288389</v>
      </c>
      <c r="J424" s="1">
        <v>110.21340586657922</v>
      </c>
      <c r="K424" s="1">
        <v>184.8954871358676</v>
      </c>
      <c r="L424" s="1">
        <v>0.40391511132129154</v>
      </c>
      <c r="M424" s="1">
        <v>0.59608488867870857</v>
      </c>
      <c r="N424" s="19"/>
      <c r="O424" s="1">
        <v>109.32263647642495</v>
      </c>
      <c r="P424" s="1">
        <v>105.85900587990835</v>
      </c>
      <c r="Q424" s="1">
        <v>215.1816423563333</v>
      </c>
      <c r="R424" s="1">
        <v>0.50804815540626125</v>
      </c>
      <c r="S424" s="1">
        <v>0.49195184459373875</v>
      </c>
      <c r="T424" s="19"/>
      <c r="U424" s="1">
        <v>0.19865387347218663</v>
      </c>
      <c r="V424" s="1">
        <v>0.80134612652781334</v>
      </c>
      <c r="W424" s="1">
        <v>0.18799999999999994</v>
      </c>
      <c r="X424" s="1">
        <v>0.81200000000000006</v>
      </c>
      <c r="Y424" s="17"/>
      <c r="Z424" s="12">
        <v>-0.10653873472186687</v>
      </c>
      <c r="AA424" s="12">
        <v>0.10653873472186715</v>
      </c>
      <c r="AB424" s="12">
        <v>-4.3032604895212406E-2</v>
      </c>
      <c r="AC424" s="12">
        <v>-6.3506129826654475E-2</v>
      </c>
      <c r="AD424" s="12">
        <v>5.2411927067105547E-2</v>
      </c>
      <c r="AE424" s="12">
        <v>5.4126807654761598E-2</v>
      </c>
      <c r="AF424" s="17"/>
      <c r="AG424">
        <v>422</v>
      </c>
      <c r="AH424">
        <v>15</v>
      </c>
      <c r="AI424">
        <v>38</v>
      </c>
      <c r="AJ424">
        <v>35</v>
      </c>
      <c r="AK424">
        <v>2</v>
      </c>
    </row>
    <row r="425" spans="1:37" x14ac:dyDescent="0.25">
      <c r="A425">
        <v>423</v>
      </c>
      <c r="B425" t="s">
        <v>203</v>
      </c>
      <c r="C425" t="s">
        <v>231</v>
      </c>
      <c r="D425" t="s">
        <v>220</v>
      </c>
      <c r="E425" t="s">
        <v>190</v>
      </c>
      <c r="F425">
        <v>4</v>
      </c>
      <c r="G425">
        <v>10</v>
      </c>
      <c r="H425" s="17"/>
      <c r="I425" s="1">
        <v>74.639048664393172</v>
      </c>
      <c r="J425" s="1">
        <v>110.14989973675257</v>
      </c>
      <c r="K425" s="1">
        <v>184.78894840114575</v>
      </c>
      <c r="L425" s="1">
        <v>0.40391511132129149</v>
      </c>
      <c r="M425" s="1">
        <v>0.59608488867870846</v>
      </c>
      <c r="N425" s="19"/>
      <c r="O425" s="1">
        <v>109.37504840349206</v>
      </c>
      <c r="P425" s="1">
        <v>105.91313268756312</v>
      </c>
      <c r="Q425" s="1">
        <v>215.28818109105518</v>
      </c>
      <c r="R425" s="1">
        <v>0.5080401898942718</v>
      </c>
      <c r="S425" s="1">
        <v>0.49195981010572815</v>
      </c>
      <c r="T425" s="19"/>
      <c r="U425" s="1">
        <v>0.1970964216777131</v>
      </c>
      <c r="V425" s="1">
        <v>0.80290357832228687</v>
      </c>
      <c r="W425" s="1">
        <v>0.18799999999999994</v>
      </c>
      <c r="X425" s="1">
        <v>0.81200000000000006</v>
      </c>
      <c r="Y425" s="17"/>
      <c r="Z425" s="12">
        <v>-9.0964216777131568E-2</v>
      </c>
      <c r="AA425" s="12">
        <v>9.0964216777131846E-2</v>
      </c>
      <c r="AB425" s="12">
        <v>-3.6741821745789188E-2</v>
      </c>
      <c r="AC425" s="12">
        <v>-5.4222395031342373E-2</v>
      </c>
      <c r="AD425" s="12">
        <v>4.4750738812094078E-2</v>
      </c>
      <c r="AE425" s="12">
        <v>4.6213477965037775E-2</v>
      </c>
      <c r="AF425" s="17"/>
      <c r="AG425">
        <v>423</v>
      </c>
      <c r="AH425">
        <v>15</v>
      </c>
      <c r="AI425">
        <v>38</v>
      </c>
      <c r="AJ425">
        <v>35</v>
      </c>
      <c r="AK425">
        <v>2</v>
      </c>
    </row>
    <row r="426" spans="1:37" x14ac:dyDescent="0.25">
      <c r="A426">
        <v>424</v>
      </c>
      <c r="B426" t="s">
        <v>224</v>
      </c>
      <c r="C426" t="s">
        <v>231</v>
      </c>
      <c r="D426" t="s">
        <v>220</v>
      </c>
      <c r="E426" t="s">
        <v>190</v>
      </c>
      <c r="F426">
        <v>10</v>
      </c>
      <c r="G426">
        <v>6</v>
      </c>
      <c r="H426" s="17"/>
      <c r="I426" s="1">
        <v>102.41890123725915</v>
      </c>
      <c r="J426" s="1">
        <v>110.09567734172123</v>
      </c>
      <c r="K426" s="1">
        <v>212.51457857898038</v>
      </c>
      <c r="L426" s="1">
        <v>0.48193823652994933</v>
      </c>
      <c r="M426" s="1">
        <v>0.51806176347005062</v>
      </c>
      <c r="N426" s="19"/>
      <c r="O426" s="1">
        <v>109.41979914230416</v>
      </c>
      <c r="P426" s="1">
        <v>105.95934616552816</v>
      </c>
      <c r="Q426" s="1">
        <v>215.37914530783232</v>
      </c>
      <c r="R426" s="1">
        <v>0.50803339843286621</v>
      </c>
      <c r="S426" s="1">
        <v>0.49196660156713379</v>
      </c>
      <c r="T426" s="19"/>
      <c r="U426" s="1">
        <v>0.4670682006227922</v>
      </c>
      <c r="V426" s="1">
        <v>0.53293179937720769</v>
      </c>
      <c r="W426" s="1">
        <v>0.64800000000000002</v>
      </c>
      <c r="X426" s="1">
        <v>0.35199999999999998</v>
      </c>
      <c r="Y426" s="17"/>
      <c r="Z426" s="12">
        <v>1.8093179937720782</v>
      </c>
      <c r="AA426" s="12">
        <v>-1.8093179937720771</v>
      </c>
      <c r="AB426" s="12">
        <v>0.93733847053165686</v>
      </c>
      <c r="AC426" s="12">
        <v>0.87197952324042138</v>
      </c>
      <c r="AD426" s="12">
        <v>-0.91919396922176377</v>
      </c>
      <c r="AE426" s="12">
        <v>-0.89012402455031336</v>
      </c>
      <c r="AF426" s="17"/>
      <c r="AG426">
        <v>424</v>
      </c>
      <c r="AH426">
        <v>40</v>
      </c>
      <c r="AI426">
        <v>38</v>
      </c>
      <c r="AJ426">
        <v>35</v>
      </c>
      <c r="AK426">
        <v>2</v>
      </c>
    </row>
    <row r="427" spans="1:37" x14ac:dyDescent="0.25">
      <c r="A427">
        <v>425</v>
      </c>
      <c r="B427" t="s">
        <v>224</v>
      </c>
      <c r="C427" t="s">
        <v>231</v>
      </c>
      <c r="D427" t="s">
        <v>220</v>
      </c>
      <c r="E427" t="s">
        <v>190</v>
      </c>
      <c r="F427">
        <v>10</v>
      </c>
      <c r="G427">
        <v>9</v>
      </c>
      <c r="H427" s="17"/>
      <c r="I427" s="1">
        <v>103.35623970779081</v>
      </c>
      <c r="J427" s="1">
        <v>110.96765686496165</v>
      </c>
      <c r="K427" s="1">
        <v>214.32389657275246</v>
      </c>
      <c r="L427" s="1">
        <v>0.4822431906127016</v>
      </c>
      <c r="M427" s="1">
        <v>0.5177568093872984</v>
      </c>
      <c r="N427" s="19"/>
      <c r="O427" s="1">
        <v>108.50060517308239</v>
      </c>
      <c r="P427" s="1">
        <v>105.06922214097784</v>
      </c>
      <c r="Q427" s="1">
        <v>213.56982731406023</v>
      </c>
      <c r="R427" s="1">
        <v>0.50803339843286621</v>
      </c>
      <c r="S427" s="1">
        <v>0.49196660156713379</v>
      </c>
      <c r="T427" s="19"/>
      <c r="U427" s="1">
        <v>0.5086806708480861</v>
      </c>
      <c r="V427" s="1">
        <v>0.49131932915191395</v>
      </c>
      <c r="W427" s="1">
        <v>0.52575000000000005</v>
      </c>
      <c r="X427" s="1">
        <v>0.47425</v>
      </c>
      <c r="Y427" s="17"/>
      <c r="Z427" s="12">
        <v>0.17069329151913948</v>
      </c>
      <c r="AA427" s="12">
        <v>-0.17069329151913948</v>
      </c>
      <c r="AB427" s="12">
        <v>8.8377614000765659E-2</v>
      </c>
      <c r="AC427" s="12">
        <v>8.231567751837382E-2</v>
      </c>
      <c r="AD427" s="12">
        <v>-8.6717892980160374E-2</v>
      </c>
      <c r="AE427" s="12">
        <v>-8.3975398538979104E-2</v>
      </c>
      <c r="AF427" s="17"/>
      <c r="AG427">
        <v>425</v>
      </c>
      <c r="AH427">
        <v>40</v>
      </c>
      <c r="AI427">
        <v>38</v>
      </c>
      <c r="AJ427">
        <v>35</v>
      </c>
      <c r="AK427">
        <v>2</v>
      </c>
    </row>
    <row r="428" spans="1:37" x14ac:dyDescent="0.25">
      <c r="A428">
        <v>426</v>
      </c>
      <c r="B428" t="s">
        <v>231</v>
      </c>
      <c r="C428" t="s">
        <v>192</v>
      </c>
      <c r="D428" t="s">
        <v>229</v>
      </c>
      <c r="E428" t="s">
        <v>190</v>
      </c>
      <c r="F428">
        <v>10</v>
      </c>
      <c r="G428">
        <v>3</v>
      </c>
      <c r="H428" s="17"/>
      <c r="I428" s="1">
        <v>111.04997254248003</v>
      </c>
      <c r="J428" s="1">
        <v>115.20265313742448</v>
      </c>
      <c r="K428" s="1">
        <v>226.2526256799045</v>
      </c>
      <c r="L428" s="1">
        <v>0.49082291181712179</v>
      </c>
      <c r="M428" s="1">
        <v>0.50917708818287821</v>
      </c>
      <c r="N428" s="19"/>
      <c r="O428" s="1">
        <v>94.400274819606011</v>
      </c>
      <c r="P428" s="1">
        <v>104.98524674243886</v>
      </c>
      <c r="Q428" s="1">
        <v>199.38552156204486</v>
      </c>
      <c r="R428" s="1">
        <v>0.47345601666583648</v>
      </c>
      <c r="S428" s="1">
        <v>0.52654398333416363</v>
      </c>
      <c r="T428" s="19"/>
      <c r="U428" s="1">
        <v>0.77508948385910037</v>
      </c>
      <c r="V428" s="1">
        <v>0.22491051614089966</v>
      </c>
      <c r="W428" s="1">
        <v>0.93224999999999991</v>
      </c>
      <c r="X428" s="1">
        <v>6.7749999999999977E-2</v>
      </c>
      <c r="Y428" s="17"/>
      <c r="Z428" s="12">
        <v>1.5716051614089954</v>
      </c>
      <c r="AA428" s="12">
        <v>-1.5716051614089968</v>
      </c>
      <c r="AB428" s="12">
        <v>0.80022533985941458</v>
      </c>
      <c r="AC428" s="12">
        <v>0.77137982154958085</v>
      </c>
      <c r="AD428" s="12">
        <v>-0.74408591949217262</v>
      </c>
      <c r="AE428" s="12">
        <v>-0.82751924191682436</v>
      </c>
      <c r="AF428" s="17"/>
      <c r="AG428">
        <v>426</v>
      </c>
      <c r="AH428">
        <v>38</v>
      </c>
      <c r="AI428">
        <v>5</v>
      </c>
      <c r="AJ428">
        <v>25</v>
      </c>
      <c r="AK428">
        <v>2</v>
      </c>
    </row>
    <row r="429" spans="1:37" x14ac:dyDescent="0.25">
      <c r="A429">
        <v>427</v>
      </c>
      <c r="B429" t="s">
        <v>231</v>
      </c>
      <c r="C429" t="s">
        <v>192</v>
      </c>
      <c r="D429" t="s">
        <v>229</v>
      </c>
      <c r="E429" t="s">
        <v>190</v>
      </c>
      <c r="F429">
        <v>8</v>
      </c>
      <c r="G429">
        <v>10</v>
      </c>
      <c r="H429" s="17"/>
      <c r="I429" s="1">
        <v>111.85019788233944</v>
      </c>
      <c r="J429" s="1">
        <v>115.97403295897406</v>
      </c>
      <c r="K429" s="1">
        <v>227.82423084131352</v>
      </c>
      <c r="L429" s="1">
        <v>0.49094952485649562</v>
      </c>
      <c r="M429" s="1">
        <v>0.50905047514350432</v>
      </c>
      <c r="N429" s="19"/>
      <c r="O429" s="1">
        <v>93.656188900113833</v>
      </c>
      <c r="P429" s="1">
        <v>104.15772750052204</v>
      </c>
      <c r="Q429" s="1">
        <v>197.81391640063589</v>
      </c>
      <c r="R429" s="1">
        <v>0.47345601666583637</v>
      </c>
      <c r="S429" s="1">
        <v>0.52654398333416352</v>
      </c>
      <c r="T429" s="19"/>
      <c r="U429" s="1">
        <v>0.79931619618837157</v>
      </c>
      <c r="V429" s="1">
        <v>0.20068380381162856</v>
      </c>
      <c r="W429" s="1">
        <v>0.44400000000000001</v>
      </c>
      <c r="X429" s="1">
        <v>0.55600000000000005</v>
      </c>
      <c r="Y429" s="17"/>
      <c r="Z429" s="12">
        <v>-3.5531619618837156</v>
      </c>
      <c r="AA429" s="12">
        <v>3.5531619618837151</v>
      </c>
      <c r="AB429" s="12">
        <v>-1.7444231769249841</v>
      </c>
      <c r="AC429" s="12">
        <v>-1.8087387849587313</v>
      </c>
      <c r="AD429" s="12">
        <v>1.8708960528416831</v>
      </c>
      <c r="AE429" s="12">
        <v>1.6822659090420324</v>
      </c>
      <c r="AF429" s="17"/>
      <c r="AG429">
        <v>427</v>
      </c>
      <c r="AH429">
        <v>38</v>
      </c>
      <c r="AI429">
        <v>5</v>
      </c>
      <c r="AJ429">
        <v>25</v>
      </c>
      <c r="AK429">
        <v>2</v>
      </c>
    </row>
    <row r="430" spans="1:37" x14ac:dyDescent="0.25">
      <c r="A430">
        <v>428</v>
      </c>
      <c r="B430" t="s">
        <v>231</v>
      </c>
      <c r="C430" t="s">
        <v>192</v>
      </c>
      <c r="D430" t="s">
        <v>196</v>
      </c>
      <c r="E430" t="s">
        <v>216</v>
      </c>
      <c r="F430">
        <v>4</v>
      </c>
      <c r="G430">
        <v>10</v>
      </c>
      <c r="H430" s="17"/>
      <c r="I430" s="1">
        <v>110.10577470541446</v>
      </c>
      <c r="J430" s="1">
        <v>114.16529417401533</v>
      </c>
      <c r="K430" s="1">
        <v>224.27106887942978</v>
      </c>
      <c r="L430" s="1">
        <v>0.49094952485649568</v>
      </c>
      <c r="M430" s="1">
        <v>0.50905047514350443</v>
      </c>
      <c r="N430" s="19"/>
      <c r="O430" s="1">
        <v>91.499563034783122</v>
      </c>
      <c r="P430" s="1">
        <v>122.77345062885132</v>
      </c>
      <c r="Q430" s="1">
        <v>214.27301366363446</v>
      </c>
      <c r="R430" s="1">
        <v>0.42702327031447385</v>
      </c>
      <c r="S430" s="1">
        <v>0.57297672968552615</v>
      </c>
      <c r="T430" s="19"/>
      <c r="U430" s="1">
        <v>0.61311557615290568</v>
      </c>
      <c r="V430" s="1">
        <v>0.38688442384709426</v>
      </c>
      <c r="W430" s="1">
        <v>0.18799999999999994</v>
      </c>
      <c r="X430" s="1">
        <v>0.81200000000000006</v>
      </c>
      <c r="Y430" s="17"/>
      <c r="Z430" s="12">
        <v>-4.2511557615290574</v>
      </c>
      <c r="AA430" s="12">
        <v>4.2511557615290583</v>
      </c>
      <c r="AB430" s="12">
        <v>-2.0871029012136448</v>
      </c>
      <c r="AC430" s="12">
        <v>-2.164052860315413</v>
      </c>
      <c r="AD430" s="12">
        <v>2.4358133256247023</v>
      </c>
      <c r="AE430" s="12">
        <v>1.815342435904356</v>
      </c>
      <c r="AF430" s="17"/>
      <c r="AG430">
        <v>428</v>
      </c>
      <c r="AH430">
        <v>38</v>
      </c>
      <c r="AI430">
        <v>5</v>
      </c>
      <c r="AJ430">
        <v>9</v>
      </c>
      <c r="AK430">
        <v>30</v>
      </c>
    </row>
    <row r="431" spans="1:37" x14ac:dyDescent="0.25">
      <c r="A431">
        <v>429</v>
      </c>
      <c r="B431" t="s">
        <v>231</v>
      </c>
      <c r="C431" t="s">
        <v>192</v>
      </c>
      <c r="D431" t="s">
        <v>196</v>
      </c>
      <c r="E431" t="s">
        <v>216</v>
      </c>
      <c r="F431">
        <v>10</v>
      </c>
      <c r="G431">
        <v>9</v>
      </c>
      <c r="H431" s="17"/>
      <c r="I431" s="1">
        <v>108.01867180420082</v>
      </c>
      <c r="J431" s="1">
        <v>112.00124131369992</v>
      </c>
      <c r="K431" s="1">
        <v>220.01991311790073</v>
      </c>
      <c r="L431" s="1">
        <v>0.49094952485649568</v>
      </c>
      <c r="M431" s="1">
        <v>0.50905047514350443</v>
      </c>
      <c r="N431" s="19"/>
      <c r="O431" s="1">
        <v>93.93537636040783</v>
      </c>
      <c r="P431" s="1">
        <v>124.58879306475568</v>
      </c>
      <c r="Q431" s="1">
        <v>218.52416942516351</v>
      </c>
      <c r="R431" s="1">
        <v>0.429862639942797</v>
      </c>
      <c r="S431" s="1">
        <v>0.57013736005720295</v>
      </c>
      <c r="T431" s="19"/>
      <c r="U431" s="1">
        <v>0.51721358012865959</v>
      </c>
      <c r="V431" s="1">
        <v>0.48278641987134047</v>
      </c>
      <c r="W431" s="1">
        <v>0.52575000000000005</v>
      </c>
      <c r="X431" s="1">
        <v>0.47425</v>
      </c>
      <c r="Y431" s="17"/>
      <c r="Z431" s="12">
        <v>8.5364198713404615E-2</v>
      </c>
      <c r="AA431" s="12">
        <v>-8.5364198713404615E-2</v>
      </c>
      <c r="AB431" s="12">
        <v>4.3454685915303139E-2</v>
      </c>
      <c r="AC431" s="12">
        <v>4.1909512798101463E-2</v>
      </c>
      <c r="AD431" s="12">
        <v>-3.6694879815545624E-2</v>
      </c>
      <c r="AE431" s="12">
        <v>-4.8669318897858985E-2</v>
      </c>
      <c r="AF431" s="17"/>
      <c r="AG431">
        <v>429</v>
      </c>
      <c r="AH431">
        <v>38</v>
      </c>
      <c r="AI431">
        <v>5</v>
      </c>
      <c r="AJ431">
        <v>9</v>
      </c>
      <c r="AK431">
        <v>30</v>
      </c>
    </row>
    <row r="432" spans="1:37" x14ac:dyDescent="0.25">
      <c r="A432">
        <v>430</v>
      </c>
      <c r="B432" t="s">
        <v>224</v>
      </c>
      <c r="C432" t="s">
        <v>225</v>
      </c>
      <c r="D432" t="s">
        <v>220</v>
      </c>
      <c r="E432" t="s">
        <v>214</v>
      </c>
      <c r="F432">
        <v>8</v>
      </c>
      <c r="G432">
        <v>10</v>
      </c>
      <c r="H432" s="17"/>
      <c r="I432" s="1">
        <v>103.44461732179157</v>
      </c>
      <c r="J432" s="1">
        <v>100.77418803761337</v>
      </c>
      <c r="K432" s="1">
        <v>204.21880535940494</v>
      </c>
      <c r="L432" s="1">
        <v>0.50653815714835493</v>
      </c>
      <c r="M432" s="1">
        <v>0.49346184285164507</v>
      </c>
      <c r="N432" s="19"/>
      <c r="O432" s="1">
        <v>108.41388728010223</v>
      </c>
      <c r="P432" s="1">
        <v>81.194497923355527</v>
      </c>
      <c r="Q432" s="1">
        <v>189.60838520345777</v>
      </c>
      <c r="R432" s="1">
        <v>0.57177791564317981</v>
      </c>
      <c r="S432" s="1">
        <v>0.42822208435682008</v>
      </c>
      <c r="T432" s="19"/>
      <c r="U432" s="1">
        <v>0.66213760799758992</v>
      </c>
      <c r="V432" s="1">
        <v>0.33786239200241014</v>
      </c>
      <c r="W432" s="1">
        <v>0.44400000000000001</v>
      </c>
      <c r="X432" s="1">
        <v>0.55600000000000005</v>
      </c>
      <c r="Y432" s="17"/>
      <c r="Z432" s="12">
        <v>-2.181376079975899</v>
      </c>
      <c r="AA432" s="12">
        <v>2.181376079975899</v>
      </c>
      <c r="AB432" s="12">
        <v>-1.1049502195984944</v>
      </c>
      <c r="AC432" s="12">
        <v>-1.0764258603774046</v>
      </c>
      <c r="AD432" s="12">
        <v>0.93411341173338913</v>
      </c>
      <c r="AE432" s="12">
        <v>1.2472626682425101</v>
      </c>
      <c r="AF432" s="17"/>
      <c r="AG432">
        <v>430</v>
      </c>
      <c r="AH432">
        <v>40</v>
      </c>
      <c r="AI432">
        <v>41</v>
      </c>
      <c r="AJ432">
        <v>35</v>
      </c>
      <c r="AK432">
        <v>28</v>
      </c>
    </row>
    <row r="433" spans="1:37" x14ac:dyDescent="0.25">
      <c r="A433">
        <v>431</v>
      </c>
      <c r="B433" t="s">
        <v>224</v>
      </c>
      <c r="C433" t="s">
        <v>225</v>
      </c>
      <c r="D433" t="s">
        <v>220</v>
      </c>
      <c r="E433" t="s">
        <v>214</v>
      </c>
      <c r="F433">
        <v>10</v>
      </c>
      <c r="G433">
        <v>6</v>
      </c>
      <c r="H433" s="17"/>
      <c r="I433" s="1">
        <v>102.33966710219308</v>
      </c>
      <c r="J433" s="1">
        <v>99.697762177235973</v>
      </c>
      <c r="K433" s="1">
        <v>202.03742927942903</v>
      </c>
      <c r="L433" s="1">
        <v>0.50653815714835493</v>
      </c>
      <c r="M433" s="1">
        <v>0.49346184285164513</v>
      </c>
      <c r="N433" s="19"/>
      <c r="O433" s="1">
        <v>109.34800069183562</v>
      </c>
      <c r="P433" s="1">
        <v>82.44176059159804</v>
      </c>
      <c r="Q433" s="1">
        <v>191.78976128343368</v>
      </c>
      <c r="R433" s="1">
        <v>0.57014514205603128</v>
      </c>
      <c r="S433" s="1">
        <v>0.42985485794396866</v>
      </c>
      <c r="T433" s="19"/>
      <c r="U433" s="1">
        <v>0.61583869744236597</v>
      </c>
      <c r="V433" s="1">
        <v>0.38416130255763392</v>
      </c>
      <c r="W433" s="1">
        <v>0.64800000000000002</v>
      </c>
      <c r="X433" s="1">
        <v>0.35199999999999998</v>
      </c>
      <c r="Y433" s="17"/>
      <c r="Z433" s="12">
        <v>0.32161302557634053</v>
      </c>
      <c r="AA433" s="12">
        <v>-0.32161302557633942</v>
      </c>
      <c r="AB433" s="12">
        <v>0.15870375628599426</v>
      </c>
      <c r="AC433" s="12">
        <v>0.16290926929034627</v>
      </c>
      <c r="AD433" s="12">
        <v>-0.18336610415429205</v>
      </c>
      <c r="AE433" s="12">
        <v>-0.13824692142204734</v>
      </c>
      <c r="AF433" s="17"/>
      <c r="AG433">
        <v>431</v>
      </c>
      <c r="AH433">
        <v>40</v>
      </c>
      <c r="AI433">
        <v>41</v>
      </c>
      <c r="AJ433">
        <v>35</v>
      </c>
      <c r="AK433">
        <v>28</v>
      </c>
    </row>
    <row r="434" spans="1:37" x14ac:dyDescent="0.25">
      <c r="A434">
        <v>432</v>
      </c>
      <c r="B434" t="s">
        <v>229</v>
      </c>
      <c r="C434" t="s">
        <v>222</v>
      </c>
      <c r="D434" t="s">
        <v>192</v>
      </c>
      <c r="E434" t="s">
        <v>190</v>
      </c>
      <c r="F434">
        <v>2</v>
      </c>
      <c r="G434">
        <v>10</v>
      </c>
      <c r="H434" s="17"/>
      <c r="I434" s="1">
        <v>95.527084952955519</v>
      </c>
      <c r="J434" s="1">
        <v>92.638975858968294</v>
      </c>
      <c r="K434" s="1">
        <v>188.16606081192381</v>
      </c>
      <c r="L434" s="1">
        <v>0.50767436242626651</v>
      </c>
      <c r="M434" s="1">
        <v>0.49232563757373349</v>
      </c>
      <c r="N434" s="19"/>
      <c r="O434" s="1">
        <v>112.04315082649802</v>
      </c>
      <c r="P434" s="1">
        <v>105.83999340956407</v>
      </c>
      <c r="Q434" s="1">
        <v>217.88314423606209</v>
      </c>
      <c r="R434" s="1">
        <v>0.51423505576506012</v>
      </c>
      <c r="S434" s="1">
        <v>0.48576494423493993</v>
      </c>
      <c r="T434" s="19"/>
      <c r="U434" s="1">
        <v>0.20285870151238491</v>
      </c>
      <c r="V434" s="1">
        <v>0.79714129848761517</v>
      </c>
      <c r="W434" s="1">
        <v>-8.4000000000000075E-2</v>
      </c>
      <c r="X434" s="1">
        <v>1.0840000000000001</v>
      </c>
      <c r="Y434" s="17"/>
      <c r="Z434" s="12">
        <v>-2.8685870151238504</v>
      </c>
      <c r="AA434" s="12">
        <v>2.8685870151238491</v>
      </c>
      <c r="AB434" s="12">
        <v>-1.4563080839672677</v>
      </c>
      <c r="AC434" s="12">
        <v>-1.4122789311565827</v>
      </c>
      <c r="AD434" s="12">
        <v>1.3934590114347092</v>
      </c>
      <c r="AE434" s="12">
        <v>1.4751280036891399</v>
      </c>
      <c r="AF434" s="17"/>
      <c r="AG434">
        <v>432</v>
      </c>
      <c r="AH434">
        <v>25</v>
      </c>
      <c r="AI434">
        <v>37</v>
      </c>
      <c r="AJ434">
        <v>5</v>
      </c>
      <c r="AK434">
        <v>2</v>
      </c>
    </row>
    <row r="435" spans="1:37" x14ac:dyDescent="0.25">
      <c r="A435">
        <v>433</v>
      </c>
      <c r="B435" t="s">
        <v>229</v>
      </c>
      <c r="C435" t="s">
        <v>222</v>
      </c>
      <c r="D435" t="s">
        <v>192</v>
      </c>
      <c r="E435" t="s">
        <v>190</v>
      </c>
      <c r="F435">
        <v>3</v>
      </c>
      <c r="G435">
        <v>10</v>
      </c>
      <c r="H435" s="17"/>
      <c r="I435" s="1">
        <v>94.070776868988247</v>
      </c>
      <c r="J435" s="1">
        <v>91.226696927811716</v>
      </c>
      <c r="K435" s="1">
        <v>185.29747379679998</v>
      </c>
      <c r="L435" s="1">
        <v>0.50767436242626651</v>
      </c>
      <c r="M435" s="1">
        <v>0.49232563757373343</v>
      </c>
      <c r="N435" s="19"/>
      <c r="O435" s="1">
        <v>113.43660983793274</v>
      </c>
      <c r="P435" s="1">
        <v>107.31512141325321</v>
      </c>
      <c r="Q435" s="1">
        <v>220.75173125118596</v>
      </c>
      <c r="R435" s="1">
        <v>0.51386509720667617</v>
      </c>
      <c r="S435" s="1">
        <v>0.48613490279332372</v>
      </c>
      <c r="T435" s="19"/>
      <c r="U435" s="1">
        <v>0.16345687297098399</v>
      </c>
      <c r="V435" s="1">
        <v>0.83654312702901601</v>
      </c>
      <c r="W435" s="1">
        <v>6.7749999999999977E-2</v>
      </c>
      <c r="X435" s="1">
        <v>0.93224999999999991</v>
      </c>
      <c r="Y435" s="17"/>
      <c r="Z435" s="12">
        <v>-0.95706872970984014</v>
      </c>
      <c r="AA435" s="12">
        <v>0.95706872970983903</v>
      </c>
      <c r="AB435" s="12">
        <v>-0.4858792571535599</v>
      </c>
      <c r="AC435" s="12">
        <v>-0.47118947255628019</v>
      </c>
      <c r="AD435" s="12">
        <v>0.46526451388402251</v>
      </c>
      <c r="AE435" s="12">
        <v>0.49180421582581663</v>
      </c>
      <c r="AF435" s="17"/>
      <c r="AG435">
        <v>433</v>
      </c>
      <c r="AH435">
        <v>25</v>
      </c>
      <c r="AI435">
        <v>37</v>
      </c>
      <c r="AJ435">
        <v>5</v>
      </c>
      <c r="AK435">
        <v>2</v>
      </c>
    </row>
    <row r="436" spans="1:37" x14ac:dyDescent="0.25">
      <c r="A436">
        <v>434</v>
      </c>
      <c r="B436" t="s">
        <v>224</v>
      </c>
      <c r="C436" t="s">
        <v>222</v>
      </c>
      <c r="D436" t="s">
        <v>192</v>
      </c>
      <c r="E436" t="s">
        <v>230</v>
      </c>
      <c r="F436">
        <v>3</v>
      </c>
      <c r="G436">
        <v>10</v>
      </c>
      <c r="H436" s="17"/>
      <c r="I436" s="1">
        <v>102.49837085847906</v>
      </c>
      <c r="J436" s="1">
        <v>90.75550745525544</v>
      </c>
      <c r="K436" s="1">
        <v>193.2538783137345</v>
      </c>
      <c r="L436" s="1">
        <v>0.53038196052179576</v>
      </c>
      <c r="M436" s="1">
        <v>0.46961803947820419</v>
      </c>
      <c r="N436" s="19"/>
      <c r="O436" s="1">
        <v>113.90187435181676</v>
      </c>
      <c r="P436" s="1">
        <v>95.424863438877921</v>
      </c>
      <c r="Q436" s="1">
        <v>209.32673779069466</v>
      </c>
      <c r="R436" s="1">
        <v>0.5441343784075352</v>
      </c>
      <c r="S436" s="1">
        <v>0.45586562159246485</v>
      </c>
      <c r="T436" s="19"/>
      <c r="U436" s="1">
        <v>0.32296423018214027</v>
      </c>
      <c r="V436" s="1">
        <v>0.67703576981785973</v>
      </c>
      <c r="W436" s="1">
        <v>6.7749999999999977E-2</v>
      </c>
      <c r="X436" s="1">
        <v>0.93224999999999991</v>
      </c>
      <c r="Y436" s="17"/>
      <c r="Z436" s="12">
        <v>-2.5521423018214029</v>
      </c>
      <c r="AA436" s="12">
        <v>2.5521423018214016</v>
      </c>
      <c r="AB436" s="12">
        <v>-1.3536102375706442</v>
      </c>
      <c r="AC436" s="12">
        <v>-1.1985320642507584</v>
      </c>
      <c r="AD436" s="12">
        <v>1.1634339368122371</v>
      </c>
      <c r="AE436" s="12">
        <v>1.3887083650091645</v>
      </c>
      <c r="AF436" s="17"/>
      <c r="AG436">
        <v>434</v>
      </c>
      <c r="AH436">
        <v>40</v>
      </c>
      <c r="AI436">
        <v>37</v>
      </c>
      <c r="AJ436">
        <v>5</v>
      </c>
      <c r="AK436">
        <v>31</v>
      </c>
    </row>
    <row r="437" spans="1:37" x14ac:dyDescent="0.25">
      <c r="A437">
        <v>435</v>
      </c>
      <c r="B437" t="s">
        <v>224</v>
      </c>
      <c r="C437" t="s">
        <v>222</v>
      </c>
      <c r="D437" t="s">
        <v>192</v>
      </c>
      <c r="E437" t="s">
        <v>230</v>
      </c>
      <c r="F437">
        <v>7</v>
      </c>
      <c r="G437">
        <v>10</v>
      </c>
      <c r="H437" s="17"/>
      <c r="I437" s="1">
        <v>101.14476062090841</v>
      </c>
      <c r="J437" s="1">
        <v>89.556975391004684</v>
      </c>
      <c r="K437" s="1">
        <v>190.70173601191311</v>
      </c>
      <c r="L437" s="1">
        <v>0.53038196052179576</v>
      </c>
      <c r="M437" s="1">
        <v>0.46961803947820419</v>
      </c>
      <c r="N437" s="19"/>
      <c r="O437" s="1">
        <v>115.065308288629</v>
      </c>
      <c r="P437" s="1">
        <v>96.813571803887086</v>
      </c>
      <c r="Q437" s="1">
        <v>211.87888009251608</v>
      </c>
      <c r="R437" s="1">
        <v>0.54307115573947806</v>
      </c>
      <c r="S437" s="1">
        <v>0.45692884426052194</v>
      </c>
      <c r="T437" s="19"/>
      <c r="U437" s="1">
        <v>0.27383659101037383</v>
      </c>
      <c r="V437" s="1">
        <v>0.72616340898962617</v>
      </c>
      <c r="W437" s="1">
        <v>0.40475</v>
      </c>
      <c r="X437" s="1">
        <v>0.59525000000000006</v>
      </c>
      <c r="Y437" s="17"/>
      <c r="Z437" s="12">
        <v>1.3091340898962618</v>
      </c>
      <c r="AA437" s="12">
        <v>-1.3091340898962611</v>
      </c>
      <c r="AB437" s="12">
        <v>0.61479298471116561</v>
      </c>
      <c r="AC437" s="12">
        <v>0.69434110518509629</v>
      </c>
      <c r="AD437" s="12">
        <v>-0.71095296321791235</v>
      </c>
      <c r="AE437" s="12">
        <v>-0.59818112667834877</v>
      </c>
      <c r="AF437" s="17"/>
      <c r="AG437">
        <v>435</v>
      </c>
      <c r="AH437">
        <v>40</v>
      </c>
      <c r="AI437">
        <v>37</v>
      </c>
      <c r="AJ437">
        <v>5</v>
      </c>
      <c r="AK437">
        <v>31</v>
      </c>
    </row>
    <row r="438" spans="1:37" x14ac:dyDescent="0.25">
      <c r="A438">
        <v>436</v>
      </c>
      <c r="B438" t="s">
        <v>190</v>
      </c>
      <c r="C438" t="s">
        <v>203</v>
      </c>
      <c r="D438" t="s">
        <v>231</v>
      </c>
      <c r="E438" t="s">
        <v>230</v>
      </c>
      <c r="F438">
        <v>3</v>
      </c>
      <c r="G438">
        <v>10</v>
      </c>
      <c r="H438" s="17"/>
      <c r="I438" s="1">
        <v>107.80692562907903</v>
      </c>
      <c r="J438" s="1">
        <v>74.60230684264738</v>
      </c>
      <c r="K438" s="1">
        <v>182.4092324717264</v>
      </c>
      <c r="L438" s="1">
        <v>0.5910168261126213</v>
      </c>
      <c r="M438" s="1">
        <v>0.40898317388737881</v>
      </c>
      <c r="N438" s="19"/>
      <c r="O438" s="1">
        <v>108.06212649011613</v>
      </c>
      <c r="P438" s="1">
        <v>96.215390677208731</v>
      </c>
      <c r="Q438" s="1">
        <v>204.27751716732485</v>
      </c>
      <c r="R438" s="1">
        <v>0.52899667074767631</v>
      </c>
      <c r="S438" s="1">
        <v>0.4710033292523238</v>
      </c>
      <c r="T438" s="19"/>
      <c r="U438" s="1">
        <v>0.2675533093918982</v>
      </c>
      <c r="V438" s="1">
        <v>0.73244669060810186</v>
      </c>
      <c r="W438" s="1">
        <v>6.7749999999999977E-2</v>
      </c>
      <c r="X438" s="1">
        <v>0.93224999999999991</v>
      </c>
      <c r="Y438" s="17"/>
      <c r="Z438" s="12">
        <v>-1.9980330939189823</v>
      </c>
      <c r="AA438" s="12">
        <v>1.9980330939189805</v>
      </c>
      <c r="AB438" s="12">
        <v>-1.1808711776359779</v>
      </c>
      <c r="AC438" s="12">
        <v>-0.81716191628300461</v>
      </c>
      <c r="AD438" s="12">
        <v>0.94108023919216055</v>
      </c>
      <c r="AE438" s="12">
        <v>1.0569528547268197</v>
      </c>
      <c r="AF438" s="17"/>
      <c r="AG438">
        <v>436</v>
      </c>
      <c r="AH438">
        <v>2</v>
      </c>
      <c r="AI438">
        <v>15</v>
      </c>
      <c r="AJ438">
        <v>38</v>
      </c>
      <c r="AK438">
        <v>31</v>
      </c>
    </row>
    <row r="439" spans="1:37" x14ac:dyDescent="0.25">
      <c r="A439">
        <v>437</v>
      </c>
      <c r="B439" t="s">
        <v>190</v>
      </c>
      <c r="C439" t="s">
        <v>203</v>
      </c>
      <c r="D439" t="s">
        <v>231</v>
      </c>
      <c r="E439" t="s">
        <v>230</v>
      </c>
      <c r="F439">
        <v>10</v>
      </c>
      <c r="G439">
        <v>6</v>
      </c>
      <c r="H439" s="17"/>
      <c r="I439" s="1">
        <v>106.62605445144305</v>
      </c>
      <c r="J439" s="1">
        <v>73.785144926364381</v>
      </c>
      <c r="K439" s="1">
        <v>180.41119937780743</v>
      </c>
      <c r="L439" s="1">
        <v>0.59101682611262119</v>
      </c>
      <c r="M439" s="1">
        <v>0.40898317388737876</v>
      </c>
      <c r="N439" s="19"/>
      <c r="O439" s="1">
        <v>109.00320672930829</v>
      </c>
      <c r="P439" s="1">
        <v>97.272343531935547</v>
      </c>
      <c r="Q439" s="1">
        <v>206.27555026124384</v>
      </c>
      <c r="R439" s="1">
        <v>0.52843493371491634</v>
      </c>
      <c r="S439" s="1">
        <v>0.4715650662850836</v>
      </c>
      <c r="T439" s="19"/>
      <c r="U439" s="1">
        <v>0.23306272845582651</v>
      </c>
      <c r="V439" s="1">
        <v>0.76693727154417346</v>
      </c>
      <c r="W439" s="1">
        <v>0.64800000000000002</v>
      </c>
      <c r="X439" s="1">
        <v>0.35199999999999998</v>
      </c>
      <c r="Y439" s="17"/>
      <c r="Z439" s="12">
        <v>4.1493727154417348</v>
      </c>
      <c r="AA439" s="12">
        <v>-4.1493727154417348</v>
      </c>
      <c r="AB439" s="12">
        <v>1.6970236228030522</v>
      </c>
      <c r="AC439" s="12">
        <v>2.4523490926386824</v>
      </c>
      <c r="AD439" s="12">
        <v>-2.1926734958429357</v>
      </c>
      <c r="AE439" s="12">
        <v>-1.9566992195987991</v>
      </c>
      <c r="AF439" s="17"/>
      <c r="AG439">
        <v>437</v>
      </c>
      <c r="AH439">
        <v>2</v>
      </c>
      <c r="AI439">
        <v>15</v>
      </c>
      <c r="AJ439">
        <v>38</v>
      </c>
      <c r="AK439">
        <v>31</v>
      </c>
    </row>
    <row r="440" spans="1:37" x14ac:dyDescent="0.25">
      <c r="A440">
        <v>438</v>
      </c>
      <c r="B440" t="s">
        <v>224</v>
      </c>
      <c r="C440" t="s">
        <v>200</v>
      </c>
      <c r="D440" t="s">
        <v>231</v>
      </c>
      <c r="E440" t="s">
        <v>229</v>
      </c>
      <c r="F440">
        <v>10</v>
      </c>
      <c r="G440">
        <v>9</v>
      </c>
      <c r="H440" s="17"/>
      <c r="I440" s="1">
        <v>101.75955360561959</v>
      </c>
      <c r="J440" s="1">
        <v>97.47640529112131</v>
      </c>
      <c r="K440" s="1">
        <v>199.2359588967409</v>
      </c>
      <c r="L440" s="1">
        <v>0.51074893392291232</v>
      </c>
      <c r="M440" s="1">
        <v>0.48925106607708768</v>
      </c>
      <c r="N440" s="19"/>
      <c r="O440" s="1">
        <v>106.81053323346535</v>
      </c>
      <c r="P440" s="1">
        <v>93.584897611834691</v>
      </c>
      <c r="Q440" s="1">
        <v>200.39543084530004</v>
      </c>
      <c r="R440" s="1">
        <v>0.53299884524772545</v>
      </c>
      <c r="S440" s="1">
        <v>0.46700115475227449</v>
      </c>
      <c r="T440" s="19"/>
      <c r="U440" s="1">
        <v>0.48665425655997752</v>
      </c>
      <c r="V440" s="1">
        <v>0.51334574344002248</v>
      </c>
      <c r="W440" s="1">
        <v>0.52575000000000005</v>
      </c>
      <c r="X440" s="1">
        <v>0.47425</v>
      </c>
      <c r="Y440" s="17"/>
      <c r="Z440" s="12">
        <v>0.39095743440022535</v>
      </c>
      <c r="AA440" s="12">
        <v>-0.39095743440022479</v>
      </c>
      <c r="AB440" s="12">
        <v>0.19127634157107332</v>
      </c>
      <c r="AC440" s="12">
        <v>0.19968109282915203</v>
      </c>
      <c r="AD440" s="12">
        <v>-0.20837986107633319</v>
      </c>
      <c r="AE440" s="12">
        <v>-0.18257757332389157</v>
      </c>
      <c r="AF440" s="17"/>
      <c r="AG440">
        <v>438</v>
      </c>
      <c r="AH440">
        <v>40</v>
      </c>
      <c r="AI440">
        <v>12</v>
      </c>
      <c r="AJ440">
        <v>38</v>
      </c>
      <c r="AK440">
        <v>25</v>
      </c>
    </row>
    <row r="441" spans="1:37" x14ac:dyDescent="0.25">
      <c r="A441">
        <v>439</v>
      </c>
      <c r="B441" t="s">
        <v>224</v>
      </c>
      <c r="C441" t="s">
        <v>200</v>
      </c>
      <c r="D441" t="s">
        <v>231</v>
      </c>
      <c r="E441" t="s">
        <v>229</v>
      </c>
      <c r="F441">
        <v>10</v>
      </c>
      <c r="G441">
        <v>9</v>
      </c>
      <c r="H441" s="17"/>
      <c r="I441" s="1">
        <v>101.95082994719066</v>
      </c>
      <c r="J441" s="1">
        <v>97.676086383950462</v>
      </c>
      <c r="K441" s="1">
        <v>199.6269163311411</v>
      </c>
      <c r="L441" s="1">
        <v>0.51070683162822905</v>
      </c>
      <c r="M441" s="1">
        <v>0.489293168371771</v>
      </c>
      <c r="N441" s="19"/>
      <c r="O441" s="1">
        <v>106.60215337238901</v>
      </c>
      <c r="P441" s="1">
        <v>93.402320038510794</v>
      </c>
      <c r="Q441" s="1">
        <v>200.00447341089981</v>
      </c>
      <c r="R441" s="1">
        <v>0.53299884524772545</v>
      </c>
      <c r="S441" s="1">
        <v>0.46700115475227449</v>
      </c>
      <c r="T441" s="19"/>
      <c r="U441" s="1">
        <v>0.49565332298610698</v>
      </c>
      <c r="V441" s="1">
        <v>0.50434667701389302</v>
      </c>
      <c r="W441" s="1">
        <v>0.52575000000000005</v>
      </c>
      <c r="X441" s="1">
        <v>0.47425</v>
      </c>
      <c r="Y441" s="17"/>
      <c r="Z441" s="12">
        <v>0.30096677013893069</v>
      </c>
      <c r="AA441" s="12">
        <v>-0.30096677013893014</v>
      </c>
      <c r="AB441" s="12">
        <v>0.14726098453589589</v>
      </c>
      <c r="AC441" s="12">
        <v>0.1537057856030348</v>
      </c>
      <c r="AD441" s="12">
        <v>-0.16041494094198738</v>
      </c>
      <c r="AE441" s="12">
        <v>-0.14055182919694273</v>
      </c>
      <c r="AF441" s="17"/>
      <c r="AG441">
        <v>439</v>
      </c>
      <c r="AH441">
        <v>40</v>
      </c>
      <c r="AI441">
        <v>12</v>
      </c>
      <c r="AJ441">
        <v>38</v>
      </c>
      <c r="AK441">
        <v>25</v>
      </c>
    </row>
    <row r="442" spans="1:37" x14ac:dyDescent="0.25">
      <c r="A442">
        <v>440</v>
      </c>
      <c r="B442" t="s">
        <v>227</v>
      </c>
      <c r="C442" t="s">
        <v>225</v>
      </c>
      <c r="D442" t="s">
        <v>231</v>
      </c>
      <c r="E442" t="s">
        <v>222</v>
      </c>
      <c r="F442">
        <v>10</v>
      </c>
      <c r="G442">
        <v>6</v>
      </c>
      <c r="H442" s="17"/>
      <c r="I442" s="1">
        <v>111.8045689919972</v>
      </c>
      <c r="J442" s="1">
        <v>99.860671446526325</v>
      </c>
      <c r="K442" s="1">
        <v>211.66524043852354</v>
      </c>
      <c r="L442" s="1">
        <v>0.52821412131894152</v>
      </c>
      <c r="M442" s="1">
        <v>0.47178587868105842</v>
      </c>
      <c r="N442" s="19"/>
      <c r="O442" s="1">
        <v>106.44173843144702</v>
      </c>
      <c r="P442" s="1">
        <v>90.251316496189787</v>
      </c>
      <c r="Q442" s="1">
        <v>196.69305492763681</v>
      </c>
      <c r="R442" s="1">
        <v>0.54115656737654938</v>
      </c>
      <c r="S442" s="1">
        <v>0.45884343262345062</v>
      </c>
      <c r="T442" s="19"/>
      <c r="U442" s="1">
        <v>0.66585449376900085</v>
      </c>
      <c r="V442" s="1">
        <v>0.33414550623099909</v>
      </c>
      <c r="W442" s="1">
        <v>0.64800000000000002</v>
      </c>
      <c r="X442" s="1">
        <v>0.35199999999999998</v>
      </c>
      <c r="Y442" s="17"/>
      <c r="Z442" s="12">
        <v>-0.17854493769000834</v>
      </c>
      <c r="AA442" s="12">
        <v>0.1785449376900089</v>
      </c>
      <c r="AB442" s="12">
        <v>-9.4309957377872927E-2</v>
      </c>
      <c r="AC442" s="12">
        <v>-8.4234980312135416E-2</v>
      </c>
      <c r="AD442" s="12">
        <v>8.1924172087223787E-2</v>
      </c>
      <c r="AE442" s="12">
        <v>9.6620765602785111E-2</v>
      </c>
      <c r="AF442" s="17"/>
      <c r="AG442">
        <v>440</v>
      </c>
      <c r="AH442">
        <v>46</v>
      </c>
      <c r="AI442">
        <v>41</v>
      </c>
      <c r="AJ442">
        <v>38</v>
      </c>
      <c r="AK442">
        <v>37</v>
      </c>
    </row>
    <row r="443" spans="1:37" x14ac:dyDescent="0.25">
      <c r="A443">
        <v>441</v>
      </c>
      <c r="B443" t="s">
        <v>227</v>
      </c>
      <c r="C443" t="s">
        <v>225</v>
      </c>
      <c r="D443" t="s">
        <v>231</v>
      </c>
      <c r="E443" t="s">
        <v>222</v>
      </c>
      <c r="F443">
        <v>10</v>
      </c>
      <c r="G443">
        <v>9</v>
      </c>
      <c r="H443" s="17"/>
      <c r="I443" s="1">
        <v>111.71025903461933</v>
      </c>
      <c r="J443" s="1">
        <v>99.776436466214193</v>
      </c>
      <c r="K443" s="1">
        <v>211.48669550083352</v>
      </c>
      <c r="L443" s="1">
        <v>0.52821412131894152</v>
      </c>
      <c r="M443" s="1">
        <v>0.47178587868105842</v>
      </c>
      <c r="N443" s="19"/>
      <c r="O443" s="1">
        <v>106.52366260353425</v>
      </c>
      <c r="P443" s="1">
        <v>90.347937261792566</v>
      </c>
      <c r="Q443" s="1">
        <v>196.8715998653268</v>
      </c>
      <c r="R443" s="1">
        <v>0.54108191672340489</v>
      </c>
      <c r="S443" s="1">
        <v>0.45891808327659517</v>
      </c>
      <c r="T443" s="19"/>
      <c r="U443" s="1">
        <v>0.6621857744646078</v>
      </c>
      <c r="V443" s="1">
        <v>0.33781422553539225</v>
      </c>
      <c r="W443" s="1">
        <v>0.52575000000000005</v>
      </c>
      <c r="X443" s="1">
        <v>0.47425</v>
      </c>
      <c r="Y443" s="17"/>
      <c r="Z443" s="12">
        <v>-1.3643577446460775</v>
      </c>
      <c r="AA443" s="12">
        <v>1.3643577446460775</v>
      </c>
      <c r="AB443" s="12">
        <v>-0.72067302725292059</v>
      </c>
      <c r="AC443" s="12">
        <v>-0.6436847173931568</v>
      </c>
      <c r="AD443" s="12">
        <v>0.62612844107655607</v>
      </c>
      <c r="AE443" s="12">
        <v>0.73822930356952143</v>
      </c>
      <c r="AF443" s="17"/>
      <c r="AG443">
        <v>441</v>
      </c>
      <c r="AH443">
        <v>46</v>
      </c>
      <c r="AI443">
        <v>41</v>
      </c>
      <c r="AJ443">
        <v>38</v>
      </c>
      <c r="AK443">
        <v>37</v>
      </c>
    </row>
    <row r="444" spans="1:37" x14ac:dyDescent="0.25">
      <c r="A444">
        <v>442</v>
      </c>
      <c r="B444" t="s">
        <v>224</v>
      </c>
      <c r="C444" t="s">
        <v>203</v>
      </c>
      <c r="D444" t="s">
        <v>230</v>
      </c>
      <c r="E444" t="s">
        <v>214</v>
      </c>
      <c r="F444">
        <v>10</v>
      </c>
      <c r="G444">
        <v>5</v>
      </c>
      <c r="H444" s="17"/>
      <c r="I444" s="1">
        <v>102.09809093172655</v>
      </c>
      <c r="J444" s="1">
        <v>76.237494019003066</v>
      </c>
      <c r="K444" s="1">
        <v>178.33558495072961</v>
      </c>
      <c r="L444" s="1">
        <v>0.57250543103853391</v>
      </c>
      <c r="M444" s="1">
        <v>0.42749456896146604</v>
      </c>
      <c r="N444" s="19"/>
      <c r="O444" s="1">
        <v>95.315644312336744</v>
      </c>
      <c r="P444" s="1">
        <v>82.303513670175988</v>
      </c>
      <c r="Q444" s="1">
        <v>177.61915798251272</v>
      </c>
      <c r="R444" s="1">
        <v>0.53662929942343796</v>
      </c>
      <c r="S444" s="1">
        <v>0.46337070057656216</v>
      </c>
      <c r="T444" s="19"/>
      <c r="U444" s="1">
        <v>0.50824742217813756</v>
      </c>
      <c r="V444" s="1">
        <v>0.49175257782186249</v>
      </c>
      <c r="W444" s="1">
        <v>0.71875</v>
      </c>
      <c r="X444" s="1">
        <v>0.28125</v>
      </c>
      <c r="Y444" s="17"/>
      <c r="Z444" s="12">
        <v>2.1050257782186241</v>
      </c>
      <c r="AA444" s="12">
        <v>-2.105025778218625</v>
      </c>
      <c r="AB444" s="12">
        <v>0.89988708771234549</v>
      </c>
      <c r="AC444" s="12">
        <v>1.2051386905062789</v>
      </c>
      <c r="AD444" s="12">
        <v>-1.129618508633738</v>
      </c>
      <c r="AE444" s="12">
        <v>-0.97540726958488722</v>
      </c>
      <c r="AF444" s="17"/>
      <c r="AG444">
        <v>442</v>
      </c>
      <c r="AH444">
        <v>40</v>
      </c>
      <c r="AI444">
        <v>15</v>
      </c>
      <c r="AJ444">
        <v>31</v>
      </c>
      <c r="AK444">
        <v>28</v>
      </c>
    </row>
    <row r="445" spans="1:37" x14ac:dyDescent="0.25">
      <c r="A445">
        <v>443</v>
      </c>
      <c r="B445" t="s">
        <v>224</v>
      </c>
      <c r="C445" t="s">
        <v>203</v>
      </c>
      <c r="D445" t="s">
        <v>230</v>
      </c>
      <c r="E445" t="s">
        <v>214</v>
      </c>
      <c r="F445">
        <v>10</v>
      </c>
      <c r="G445">
        <v>9</v>
      </c>
      <c r="H445" s="17"/>
      <c r="I445" s="1">
        <v>102.99797801943889</v>
      </c>
      <c r="J445" s="1">
        <v>77.44263270950934</v>
      </c>
      <c r="K445" s="1">
        <v>180.44061072894823</v>
      </c>
      <c r="L445" s="1">
        <v>0.57081372981029732</v>
      </c>
      <c r="M445" s="1">
        <v>0.42918627018970268</v>
      </c>
      <c r="N445" s="19"/>
      <c r="O445" s="1">
        <v>94.186025803703004</v>
      </c>
      <c r="P445" s="1">
        <v>81.328106400591096</v>
      </c>
      <c r="Q445" s="1">
        <v>175.5141322042941</v>
      </c>
      <c r="R445" s="1">
        <v>0.53662929942343796</v>
      </c>
      <c r="S445" s="1">
        <v>0.4633707005765621</v>
      </c>
      <c r="T445" s="19"/>
      <c r="U445" s="1">
        <v>0.5564761462142962</v>
      </c>
      <c r="V445" s="1">
        <v>0.4435238537857038</v>
      </c>
      <c r="W445" s="1">
        <v>0.52575000000000005</v>
      </c>
      <c r="X445" s="1">
        <v>0.47425</v>
      </c>
      <c r="Y445" s="17"/>
      <c r="Z445" s="12">
        <v>-0.30726146214296146</v>
      </c>
      <c r="AA445" s="12">
        <v>0.30726146214296202</v>
      </c>
      <c r="AB445" s="12">
        <v>-0.1753890612327893</v>
      </c>
      <c r="AC445" s="12">
        <v>-0.13187240091017216</v>
      </c>
      <c r="AD445" s="12">
        <v>0.14237595897336311</v>
      </c>
      <c r="AE445" s="12">
        <v>0.16488550316959888</v>
      </c>
      <c r="AF445" s="17"/>
      <c r="AG445">
        <v>443</v>
      </c>
      <c r="AH445">
        <v>40</v>
      </c>
      <c r="AI445">
        <v>15</v>
      </c>
      <c r="AJ445">
        <v>31</v>
      </c>
      <c r="AK445">
        <v>28</v>
      </c>
    </row>
    <row r="446" spans="1:37" x14ac:dyDescent="0.25">
      <c r="A446">
        <v>444</v>
      </c>
      <c r="B446" t="s">
        <v>222</v>
      </c>
      <c r="C446" t="s">
        <v>192</v>
      </c>
      <c r="D446" t="s">
        <v>230</v>
      </c>
      <c r="E446" t="s">
        <v>209</v>
      </c>
      <c r="F446">
        <v>10</v>
      </c>
      <c r="G446">
        <v>9</v>
      </c>
      <c r="H446" s="17"/>
      <c r="I446" s="1">
        <v>91.086166565362092</v>
      </c>
      <c r="J446" s="1">
        <v>114.35435532541109</v>
      </c>
      <c r="K446" s="1">
        <v>205.4405218907732</v>
      </c>
      <c r="L446" s="1">
        <v>0.44337001155881983</v>
      </c>
      <c r="M446" s="1">
        <v>0.55662998844118006</v>
      </c>
      <c r="N446" s="19"/>
      <c r="O446" s="1">
        <v>94.328401762676364</v>
      </c>
      <c r="P446" s="1">
        <v>100.96372424684154</v>
      </c>
      <c r="Q446" s="1">
        <v>195.29212600951792</v>
      </c>
      <c r="R446" s="1">
        <v>0.48301180231956253</v>
      </c>
      <c r="S446" s="1">
        <v>0.51698819768043736</v>
      </c>
      <c r="T446" s="19"/>
      <c r="U446" s="1">
        <v>0.61475655895487957</v>
      </c>
      <c r="V446" s="1">
        <v>0.38524344104512037</v>
      </c>
      <c r="W446" s="1">
        <v>0.52575000000000005</v>
      </c>
      <c r="X446" s="1">
        <v>0.47425</v>
      </c>
      <c r="Y446" s="17"/>
      <c r="Z446" s="12">
        <v>-0.89006558954879522</v>
      </c>
      <c r="AA446" s="12">
        <v>0.89006558954879633</v>
      </c>
      <c r="AB446" s="12">
        <v>-0.39462839072635714</v>
      </c>
      <c r="AC446" s="12">
        <v>-0.49543719882243797</v>
      </c>
      <c r="AD446" s="12">
        <v>0.46015340495820822</v>
      </c>
      <c r="AE446" s="12">
        <v>0.42991218459058822</v>
      </c>
      <c r="AF446" s="17"/>
      <c r="AG446">
        <v>444</v>
      </c>
      <c r="AH446">
        <v>37</v>
      </c>
      <c r="AI446">
        <v>5</v>
      </c>
      <c r="AJ446">
        <v>31</v>
      </c>
      <c r="AK446">
        <v>21</v>
      </c>
    </row>
    <row r="447" spans="1:37" x14ac:dyDescent="0.25">
      <c r="A447">
        <v>445</v>
      </c>
      <c r="B447" t="s">
        <v>222</v>
      </c>
      <c r="C447" t="s">
        <v>192</v>
      </c>
      <c r="D447" t="s">
        <v>230</v>
      </c>
      <c r="E447" t="s">
        <v>209</v>
      </c>
      <c r="F447">
        <v>10</v>
      </c>
      <c r="G447">
        <v>5</v>
      </c>
      <c r="H447" s="17"/>
      <c r="I447" s="1">
        <v>90.691538174635738</v>
      </c>
      <c r="J447" s="1">
        <v>113.85891812658865</v>
      </c>
      <c r="K447" s="1">
        <v>204.55045630122439</v>
      </c>
      <c r="L447" s="1">
        <v>0.44337001155881989</v>
      </c>
      <c r="M447" s="1">
        <v>0.55662998844118017</v>
      </c>
      <c r="N447" s="19"/>
      <c r="O447" s="1">
        <v>94.78855516763457</v>
      </c>
      <c r="P447" s="1">
        <v>101.39363643143213</v>
      </c>
      <c r="Q447" s="1">
        <v>196.1821915990667</v>
      </c>
      <c r="R447" s="1">
        <v>0.48316595097149229</v>
      </c>
      <c r="S447" s="1">
        <v>0.51683404902850771</v>
      </c>
      <c r="T447" s="19"/>
      <c r="U447" s="1">
        <v>0.59516830810537769</v>
      </c>
      <c r="V447" s="1">
        <v>0.40483169189462237</v>
      </c>
      <c r="W447" s="1">
        <v>0.71875</v>
      </c>
      <c r="X447" s="1">
        <v>0.28125</v>
      </c>
      <c r="Y447" s="17"/>
      <c r="Z447" s="12">
        <v>1.2358169189462231</v>
      </c>
      <c r="AA447" s="12">
        <v>-1.2358169189462238</v>
      </c>
      <c r="AB447" s="12">
        <v>0.6878927573084509</v>
      </c>
      <c r="AC447" s="12">
        <v>0.54792416163777202</v>
      </c>
      <c r="AD447" s="12">
        <v>-0.5971046568693118</v>
      </c>
      <c r="AE447" s="12">
        <v>-0.63871226207691201</v>
      </c>
      <c r="AF447" s="17"/>
      <c r="AG447">
        <v>445</v>
      </c>
      <c r="AH447">
        <v>37</v>
      </c>
      <c r="AI447">
        <v>5</v>
      </c>
      <c r="AJ447">
        <v>31</v>
      </c>
      <c r="AK447">
        <v>21</v>
      </c>
    </row>
    <row r="448" spans="1:37" x14ac:dyDescent="0.25">
      <c r="A448">
        <v>446</v>
      </c>
      <c r="B448" t="s">
        <v>217</v>
      </c>
      <c r="C448" t="s">
        <v>190</v>
      </c>
      <c r="D448" t="s">
        <v>231</v>
      </c>
      <c r="E448" t="s">
        <v>204</v>
      </c>
      <c r="F448">
        <v>10</v>
      </c>
      <c r="G448">
        <v>6</v>
      </c>
      <c r="H448" s="17"/>
      <c r="I448" s="1">
        <v>104.00414582839545</v>
      </c>
      <c r="J448" s="1">
        <v>108.32307807424611</v>
      </c>
      <c r="K448" s="1">
        <v>212.32722390264155</v>
      </c>
      <c r="L448" s="1">
        <v>0.48982953724334705</v>
      </c>
      <c r="M448" s="1">
        <v>0.51017046275665301</v>
      </c>
      <c r="N448" s="19"/>
      <c r="O448" s="1">
        <v>107.14979104461081</v>
      </c>
      <c r="P448" s="1">
        <v>91.6862704297411</v>
      </c>
      <c r="Q448" s="1">
        <v>198.83606147435191</v>
      </c>
      <c r="R448" s="1">
        <v>0.53888510087206787</v>
      </c>
      <c r="S448" s="1">
        <v>0.46111489912793219</v>
      </c>
      <c r="T448" s="19"/>
      <c r="U448" s="1">
        <v>0.65051210709836638</v>
      </c>
      <c r="V448" s="1">
        <v>0.34948789290163368</v>
      </c>
      <c r="W448" s="1">
        <v>0.64800000000000002</v>
      </c>
      <c r="X448" s="1">
        <v>0.35199999999999998</v>
      </c>
      <c r="Y448" s="17"/>
      <c r="Z448" s="12">
        <v>-2.5121070983663563E-2</v>
      </c>
      <c r="AA448" s="12">
        <v>2.5121070983663008E-2</v>
      </c>
      <c r="AB448" s="12">
        <v>-1.2305042574985195E-2</v>
      </c>
      <c r="AC448" s="12">
        <v>-1.2816028408678367E-2</v>
      </c>
      <c r="AD448" s="12">
        <v>1.158370011261739E-2</v>
      </c>
      <c r="AE448" s="12">
        <v>1.3537370871045618E-2</v>
      </c>
      <c r="AF448" s="17"/>
      <c r="AG448">
        <v>446</v>
      </c>
      <c r="AH448">
        <v>32</v>
      </c>
      <c r="AI448">
        <v>2</v>
      </c>
      <c r="AJ448">
        <v>38</v>
      </c>
      <c r="AK448">
        <v>16</v>
      </c>
    </row>
    <row r="449" spans="1:37" x14ac:dyDescent="0.25">
      <c r="A449">
        <v>447</v>
      </c>
      <c r="B449" t="s">
        <v>217</v>
      </c>
      <c r="C449" t="s">
        <v>190</v>
      </c>
      <c r="D449" t="s">
        <v>231</v>
      </c>
      <c r="E449" t="s">
        <v>204</v>
      </c>
      <c r="F449">
        <v>10</v>
      </c>
      <c r="G449">
        <v>3</v>
      </c>
      <c r="H449" s="17"/>
      <c r="I449" s="1">
        <v>103.99184078582047</v>
      </c>
      <c r="J449" s="1">
        <v>108.31026204583743</v>
      </c>
      <c r="K449" s="1">
        <v>212.30210283165792</v>
      </c>
      <c r="L449" s="1">
        <v>0.48982953724334705</v>
      </c>
      <c r="M449" s="1">
        <v>0.5101704627566529</v>
      </c>
      <c r="N449" s="19"/>
      <c r="O449" s="1">
        <v>107.16137474472343</v>
      </c>
      <c r="P449" s="1">
        <v>91.699807800612149</v>
      </c>
      <c r="Q449" s="1">
        <v>198.86118254533557</v>
      </c>
      <c r="R449" s="1">
        <v>0.53887527657788725</v>
      </c>
      <c r="S449" s="1">
        <v>0.4611247234221128</v>
      </c>
      <c r="T449" s="19"/>
      <c r="U449" s="1">
        <v>0.6499859051843051</v>
      </c>
      <c r="V449" s="1">
        <v>0.35001409481569484</v>
      </c>
      <c r="W449" s="1">
        <v>0.93224999999999991</v>
      </c>
      <c r="X449" s="1">
        <v>6.7749999999999977E-2</v>
      </c>
      <c r="Y449" s="17"/>
      <c r="Z449" s="12">
        <v>2.8226409481569483</v>
      </c>
      <c r="AA449" s="12">
        <v>-2.8226409481569488</v>
      </c>
      <c r="AB449" s="12">
        <v>1.440028038717108</v>
      </c>
      <c r="AC449" s="12">
        <v>1.3826129094398405</v>
      </c>
      <c r="AD449" s="12">
        <v>-1.5210514216181457</v>
      </c>
      <c r="AE449" s="12">
        <v>-1.3015895265388033</v>
      </c>
      <c r="AF449" s="17"/>
      <c r="AG449">
        <v>447</v>
      </c>
      <c r="AH449">
        <v>32</v>
      </c>
      <c r="AI449">
        <v>2</v>
      </c>
      <c r="AJ449">
        <v>38</v>
      </c>
      <c r="AK449">
        <v>16</v>
      </c>
    </row>
    <row r="450" spans="1:37" x14ac:dyDescent="0.25">
      <c r="A450">
        <v>448</v>
      </c>
      <c r="B450" t="s">
        <v>210</v>
      </c>
      <c r="C450" t="s">
        <v>192</v>
      </c>
      <c r="D450" t="s">
        <v>231</v>
      </c>
      <c r="E450" t="s">
        <v>222</v>
      </c>
      <c r="F450">
        <v>10</v>
      </c>
      <c r="G450">
        <v>3</v>
      </c>
      <c r="H450" s="17"/>
      <c r="I450" s="1">
        <v>97.662914082816272</v>
      </c>
      <c r="J450" s="1">
        <v>114.40684228822641</v>
      </c>
      <c r="K450" s="1">
        <v>212.06975637104267</v>
      </c>
      <c r="L450" s="1">
        <v>0.46052259291486497</v>
      </c>
      <c r="M450" s="1">
        <v>0.53947740708513514</v>
      </c>
      <c r="N450" s="19"/>
      <c r="O450" s="1">
        <v>105.64032332310529</v>
      </c>
      <c r="P450" s="1">
        <v>91.379430931944185</v>
      </c>
      <c r="Q450" s="1">
        <v>197.01975425504946</v>
      </c>
      <c r="R450" s="1">
        <v>0.53619152923290081</v>
      </c>
      <c r="S450" s="1">
        <v>0.46380847076709925</v>
      </c>
      <c r="T450" s="19"/>
      <c r="U450" s="1">
        <v>0.66665133979634583</v>
      </c>
      <c r="V450" s="1">
        <v>0.33334866020365422</v>
      </c>
      <c r="W450" s="1">
        <v>0.93224999999999991</v>
      </c>
      <c r="X450" s="1">
        <v>6.7749999999999977E-2</v>
      </c>
      <c r="Y450" s="17"/>
      <c r="Z450" s="12">
        <v>2.655986602036541</v>
      </c>
      <c r="AA450" s="12">
        <v>-2.6559866020365424</v>
      </c>
      <c r="AB450" s="12">
        <v>1.4328447653195315</v>
      </c>
      <c r="AC450" s="12">
        <v>1.2231418367170093</v>
      </c>
      <c r="AD450" s="12">
        <v>-1.4241175177680696</v>
      </c>
      <c r="AE450" s="12">
        <v>-1.231869084268473</v>
      </c>
      <c r="AF450" s="17"/>
      <c r="AG450">
        <v>448</v>
      </c>
      <c r="AH450">
        <v>22</v>
      </c>
      <c r="AI450">
        <v>5</v>
      </c>
      <c r="AJ450">
        <v>38</v>
      </c>
      <c r="AK450">
        <v>37</v>
      </c>
    </row>
    <row r="451" spans="1:37" x14ac:dyDescent="0.25">
      <c r="A451">
        <v>449</v>
      </c>
      <c r="B451" t="s">
        <v>210</v>
      </c>
      <c r="C451" t="s">
        <v>192</v>
      </c>
      <c r="D451" t="s">
        <v>231</v>
      </c>
      <c r="E451" t="s">
        <v>222</v>
      </c>
      <c r="F451">
        <v>10</v>
      </c>
      <c r="G451">
        <v>9</v>
      </c>
      <c r="H451" s="17"/>
      <c r="I451" s="1">
        <v>99.095758848135802</v>
      </c>
      <c r="J451" s="1">
        <v>115.62998412494342</v>
      </c>
      <c r="K451" s="1">
        <v>214.72574297307921</v>
      </c>
      <c r="L451" s="1">
        <v>0.46149920114869381</v>
      </c>
      <c r="M451" s="1">
        <v>0.53850079885130631</v>
      </c>
      <c r="N451" s="19"/>
      <c r="O451" s="1">
        <v>104.21620580533722</v>
      </c>
      <c r="P451" s="1">
        <v>90.147561847675718</v>
      </c>
      <c r="Q451" s="1">
        <v>194.36376765301293</v>
      </c>
      <c r="R451" s="1">
        <v>0.53619152923290081</v>
      </c>
      <c r="S451" s="1">
        <v>0.46380847076709925</v>
      </c>
      <c r="T451" s="19"/>
      <c r="U451" s="1">
        <v>0.71863556539645423</v>
      </c>
      <c r="V451" s="1">
        <v>0.28136443460354571</v>
      </c>
      <c r="W451" s="1">
        <v>0.52575000000000005</v>
      </c>
      <c r="X451" s="1">
        <v>0.47425</v>
      </c>
      <c r="Y451" s="17"/>
      <c r="Z451" s="12">
        <v>-1.9288556539645418</v>
      </c>
      <c r="AA451" s="12">
        <v>1.9288556539645429</v>
      </c>
      <c r="AB451" s="12">
        <v>-0.89016534343577747</v>
      </c>
      <c r="AC451" s="12">
        <v>-1.0386903105287646</v>
      </c>
      <c r="AD451" s="12">
        <v>0.89461959119576773</v>
      </c>
      <c r="AE451" s="12">
        <v>1.034236062768775</v>
      </c>
      <c r="AF451" s="17"/>
      <c r="AG451">
        <v>449</v>
      </c>
      <c r="AH451">
        <v>22</v>
      </c>
      <c r="AI451">
        <v>5</v>
      </c>
      <c r="AJ451">
        <v>38</v>
      </c>
      <c r="AK451">
        <v>37</v>
      </c>
    </row>
    <row r="452" spans="1:37" x14ac:dyDescent="0.25">
      <c r="A452">
        <v>450</v>
      </c>
      <c r="B452" t="s">
        <v>208</v>
      </c>
      <c r="C452" t="s">
        <v>230</v>
      </c>
      <c r="D452" t="s">
        <v>203</v>
      </c>
      <c r="E452" t="s">
        <v>190</v>
      </c>
      <c r="F452">
        <v>9</v>
      </c>
      <c r="G452">
        <v>10</v>
      </c>
      <c r="H452" s="17"/>
      <c r="I452" s="1">
        <v>99.450163850085758</v>
      </c>
      <c r="J452" s="1">
        <v>94.191450510765264</v>
      </c>
      <c r="K452" s="1">
        <v>193.64161436085101</v>
      </c>
      <c r="L452" s="1">
        <v>0.51357846906171956</v>
      </c>
      <c r="M452" s="1">
        <v>0.48642153093828044</v>
      </c>
      <c r="N452" s="19"/>
      <c r="O452" s="1">
        <v>77.310760308599171</v>
      </c>
      <c r="P452" s="1">
        <v>109.69287495527728</v>
      </c>
      <c r="Q452" s="1">
        <v>187.00363526387645</v>
      </c>
      <c r="R452" s="1">
        <v>0.41341848889465582</v>
      </c>
      <c r="S452" s="1">
        <v>0.58658151110534418</v>
      </c>
      <c r="T452" s="19"/>
      <c r="U452" s="1">
        <v>0.57583294915571559</v>
      </c>
      <c r="V452" s="1">
        <v>0.42416705084428435</v>
      </c>
      <c r="W452" s="1">
        <v>0.47425</v>
      </c>
      <c r="X452" s="1">
        <v>0.52575000000000005</v>
      </c>
      <c r="Y452" s="17"/>
      <c r="Z452" s="12">
        <v>-1.015829491557156</v>
      </c>
      <c r="AA452" s="12">
        <v>1.0158294915571568</v>
      </c>
      <c r="AB452" s="12">
        <v>-0.52170815510166912</v>
      </c>
      <c r="AC452" s="12">
        <v>-0.49412133645548684</v>
      </c>
      <c r="AD452" s="12">
        <v>0.5958667981829705</v>
      </c>
      <c r="AE452" s="12">
        <v>0.41996269337418635</v>
      </c>
      <c r="AF452" s="17"/>
      <c r="AG452">
        <v>450</v>
      </c>
      <c r="AH452">
        <v>20</v>
      </c>
      <c r="AI452">
        <v>31</v>
      </c>
      <c r="AJ452">
        <v>15</v>
      </c>
      <c r="AK452">
        <v>2</v>
      </c>
    </row>
    <row r="453" spans="1:37" x14ac:dyDescent="0.25">
      <c r="A453">
        <v>451</v>
      </c>
      <c r="B453" t="s">
        <v>208</v>
      </c>
      <c r="C453" t="s">
        <v>230</v>
      </c>
      <c r="D453" t="s">
        <v>203</v>
      </c>
      <c r="E453" t="s">
        <v>190</v>
      </c>
      <c r="F453">
        <v>10</v>
      </c>
      <c r="G453">
        <v>6</v>
      </c>
      <c r="H453" s="17"/>
      <c r="I453" s="1">
        <v>98.928455694984095</v>
      </c>
      <c r="J453" s="1">
        <v>93.697329174309772</v>
      </c>
      <c r="K453" s="1">
        <v>192.62578486929385</v>
      </c>
      <c r="L453" s="1">
        <v>0.51357846906171967</v>
      </c>
      <c r="M453" s="1">
        <v>0.48642153093828044</v>
      </c>
      <c r="N453" s="19"/>
      <c r="O453" s="1">
        <v>77.906627106782139</v>
      </c>
      <c r="P453" s="1">
        <v>110.11283764865146</v>
      </c>
      <c r="Q453" s="1">
        <v>188.0194647554336</v>
      </c>
      <c r="R453" s="1">
        <v>0.4143540521622015</v>
      </c>
      <c r="S453" s="1">
        <v>0.58564594783779855</v>
      </c>
      <c r="T453" s="19"/>
      <c r="U453" s="1">
        <v>0.55283424603566644</v>
      </c>
      <c r="V453" s="1">
        <v>0.44716575396433356</v>
      </c>
      <c r="W453" s="1">
        <v>0.64800000000000002</v>
      </c>
      <c r="X453" s="1">
        <v>0.35199999999999998</v>
      </c>
      <c r="Y453" s="17"/>
      <c r="Z453" s="12">
        <v>0.95165753964333577</v>
      </c>
      <c r="AA453" s="12">
        <v>-0.95165753964333577</v>
      </c>
      <c r="AB453" s="12">
        <v>0.46290671736226857</v>
      </c>
      <c r="AC453" s="12">
        <v>0.48875082228106709</v>
      </c>
      <c r="AD453" s="12">
        <v>-0.39432315782192712</v>
      </c>
      <c r="AE453" s="12">
        <v>-0.55733438182140871</v>
      </c>
      <c r="AF453" s="17"/>
      <c r="AG453">
        <v>451</v>
      </c>
      <c r="AH453">
        <v>20</v>
      </c>
      <c r="AI453">
        <v>31</v>
      </c>
      <c r="AJ453">
        <v>15</v>
      </c>
      <c r="AK453">
        <v>2</v>
      </c>
    </row>
    <row r="454" spans="1:37" x14ac:dyDescent="0.25">
      <c r="A454">
        <v>452</v>
      </c>
      <c r="B454" t="s">
        <v>208</v>
      </c>
      <c r="C454" t="s">
        <v>234</v>
      </c>
      <c r="D454" t="s">
        <v>192</v>
      </c>
      <c r="E454" t="s">
        <v>222</v>
      </c>
      <c r="F454">
        <v>5</v>
      </c>
      <c r="G454">
        <v>10</v>
      </c>
      <c r="H454" s="17"/>
      <c r="I454" s="1">
        <v>99.391362412346368</v>
      </c>
      <c r="J454" s="1">
        <v>102.85663702937894</v>
      </c>
      <c r="K454" s="1">
        <v>202.24799944172531</v>
      </c>
      <c r="L454" s="1">
        <v>0.49143310532960044</v>
      </c>
      <c r="M454" s="1">
        <v>0.50856689467039951</v>
      </c>
      <c r="N454" s="19"/>
      <c r="O454" s="1">
        <v>114.59129381441466</v>
      </c>
      <c r="P454" s="1">
        <v>91.181797910444487</v>
      </c>
      <c r="Q454" s="1">
        <v>205.77309172485914</v>
      </c>
      <c r="R454" s="1">
        <v>0.55688181993997343</v>
      </c>
      <c r="S454" s="1">
        <v>0.44311818006002651</v>
      </c>
      <c r="T454" s="19"/>
      <c r="U454" s="1">
        <v>0.45950476762477754</v>
      </c>
      <c r="V454" s="1">
        <v>0.54049523237522246</v>
      </c>
      <c r="W454" s="1">
        <v>0.28125</v>
      </c>
      <c r="X454" s="1">
        <v>0.71875</v>
      </c>
      <c r="Y454" s="17"/>
      <c r="Z454" s="12">
        <v>-1.7825476762477754</v>
      </c>
      <c r="AA454" s="12">
        <v>1.7825476762477754</v>
      </c>
      <c r="AB454" s="12">
        <v>-0.87600293993650757</v>
      </c>
      <c r="AC454" s="12">
        <v>-0.90654473631126786</v>
      </c>
      <c r="AD454" s="12">
        <v>0.78987928216914371</v>
      </c>
      <c r="AE454" s="12">
        <v>0.99266839407863172</v>
      </c>
      <c r="AF454" s="17"/>
      <c r="AG454">
        <v>452</v>
      </c>
      <c r="AH454">
        <v>20</v>
      </c>
      <c r="AI454">
        <v>44</v>
      </c>
      <c r="AJ454">
        <v>5</v>
      </c>
      <c r="AK454">
        <v>37</v>
      </c>
    </row>
    <row r="455" spans="1:37" x14ac:dyDescent="0.25">
      <c r="A455">
        <v>453</v>
      </c>
      <c r="B455" t="s">
        <v>208</v>
      </c>
      <c r="C455" t="s">
        <v>234</v>
      </c>
      <c r="D455" t="s">
        <v>192</v>
      </c>
      <c r="E455" t="s">
        <v>222</v>
      </c>
      <c r="F455">
        <v>10</v>
      </c>
      <c r="G455">
        <v>6</v>
      </c>
      <c r="H455" s="17"/>
      <c r="I455" s="1">
        <v>98.515359472409855</v>
      </c>
      <c r="J455" s="1">
        <v>101.95009229306768</v>
      </c>
      <c r="K455" s="1">
        <v>200.46545176547755</v>
      </c>
      <c r="L455" s="1">
        <v>0.49143310532960038</v>
      </c>
      <c r="M455" s="1">
        <v>0.50856689467039951</v>
      </c>
      <c r="N455" s="19"/>
      <c r="O455" s="1">
        <v>115.38117309658379</v>
      </c>
      <c r="P455" s="1">
        <v>92.174466304523122</v>
      </c>
      <c r="Q455" s="1">
        <v>207.55563940110693</v>
      </c>
      <c r="R455" s="1">
        <v>0.55590478499891072</v>
      </c>
      <c r="S455" s="1">
        <v>0.44409521500108917</v>
      </c>
      <c r="T455" s="19"/>
      <c r="U455" s="1">
        <v>0.41908876773542314</v>
      </c>
      <c r="V455" s="1">
        <v>0.58091123226457686</v>
      </c>
      <c r="W455" s="1">
        <v>0.64800000000000002</v>
      </c>
      <c r="X455" s="1">
        <v>0.35199999999999998</v>
      </c>
      <c r="Y455" s="17"/>
      <c r="Z455" s="12">
        <v>2.289112322645769</v>
      </c>
      <c r="AA455" s="12">
        <v>-2.289112322645769</v>
      </c>
      <c r="AB455" s="12">
        <v>1.1641667454797047</v>
      </c>
      <c r="AC455" s="12">
        <v>1.1249455771660646</v>
      </c>
      <c r="AD455" s="12">
        <v>-1.2725284935587533</v>
      </c>
      <c r="AE455" s="12">
        <v>-1.0165838290870155</v>
      </c>
      <c r="AF455" s="17"/>
      <c r="AG455">
        <v>453</v>
      </c>
      <c r="AH455">
        <v>20</v>
      </c>
      <c r="AI455">
        <v>44</v>
      </c>
      <c r="AJ455">
        <v>5</v>
      </c>
      <c r="AK455">
        <v>37</v>
      </c>
    </row>
    <row r="456" spans="1:37" x14ac:dyDescent="0.25">
      <c r="A456">
        <v>454</v>
      </c>
      <c r="B456" t="s">
        <v>190</v>
      </c>
      <c r="C456" t="s">
        <v>212</v>
      </c>
      <c r="D456" t="s">
        <v>230</v>
      </c>
      <c r="E456" t="s">
        <v>222</v>
      </c>
      <c r="F456">
        <v>9</v>
      </c>
      <c r="G456">
        <v>10</v>
      </c>
      <c r="H456" s="17"/>
      <c r="I456" s="1">
        <v>109.55550326683006</v>
      </c>
      <c r="J456" s="1">
        <v>86.852744311290479</v>
      </c>
      <c r="K456" s="1">
        <v>196.40824757812055</v>
      </c>
      <c r="L456" s="1">
        <v>0.55779482082724052</v>
      </c>
      <c r="M456" s="1">
        <v>0.44220517917275937</v>
      </c>
      <c r="N456" s="19"/>
      <c r="O456" s="1">
        <v>94.186079996590834</v>
      </c>
      <c r="P456" s="1">
        <v>91.157882475436111</v>
      </c>
      <c r="Q456" s="1">
        <v>185.34396247202693</v>
      </c>
      <c r="R456" s="1">
        <v>0.50816912911746925</v>
      </c>
      <c r="S456" s="1">
        <v>0.4918308708825308</v>
      </c>
      <c r="T456" s="19"/>
      <c r="U456" s="1">
        <v>0.62469609186192343</v>
      </c>
      <c r="V456" s="1">
        <v>0.37530390813807646</v>
      </c>
      <c r="W456" s="1">
        <v>0.47425</v>
      </c>
      <c r="X456" s="1">
        <v>0.52575000000000005</v>
      </c>
      <c r="Y456" s="17"/>
      <c r="Z456" s="12">
        <v>-1.5044609186192344</v>
      </c>
      <c r="AA456" s="12">
        <v>1.5044609186192359</v>
      </c>
      <c r="AB456" s="12">
        <v>-0.83918050854280157</v>
      </c>
      <c r="AC456" s="12">
        <v>-0.66528041007643268</v>
      </c>
      <c r="AD456" s="12">
        <v>0.73994032381323105</v>
      </c>
      <c r="AE456" s="12">
        <v>0.76452059480600487</v>
      </c>
      <c r="AF456" s="17"/>
      <c r="AG456">
        <v>454</v>
      </c>
      <c r="AH456">
        <v>2</v>
      </c>
      <c r="AI456">
        <v>26</v>
      </c>
      <c r="AJ456">
        <v>31</v>
      </c>
      <c r="AK456">
        <v>37</v>
      </c>
    </row>
    <row r="457" spans="1:37" x14ac:dyDescent="0.25">
      <c r="A457">
        <v>455</v>
      </c>
      <c r="B457" t="s">
        <v>190</v>
      </c>
      <c r="C457" t="s">
        <v>212</v>
      </c>
      <c r="D457" t="s">
        <v>230</v>
      </c>
      <c r="E457" t="s">
        <v>222</v>
      </c>
      <c r="F457">
        <v>10</v>
      </c>
      <c r="G457">
        <v>6</v>
      </c>
      <c r="H457" s="17"/>
      <c r="I457" s="1">
        <v>108.71632275828726</v>
      </c>
      <c r="J457" s="1">
        <v>86.187463901214045</v>
      </c>
      <c r="K457" s="1">
        <v>194.90378665950129</v>
      </c>
      <c r="L457" s="1">
        <v>0.55779482082724063</v>
      </c>
      <c r="M457" s="1">
        <v>0.44220517917275942</v>
      </c>
      <c r="N457" s="19"/>
      <c r="O457" s="1">
        <v>94.926020320404064</v>
      </c>
      <c r="P457" s="1">
        <v>91.922403070242112</v>
      </c>
      <c r="Q457" s="1">
        <v>186.84842339064619</v>
      </c>
      <c r="R457" s="1">
        <v>0.50803757718597986</v>
      </c>
      <c r="S457" s="1">
        <v>0.49196242281402003</v>
      </c>
      <c r="T457" s="19"/>
      <c r="U457" s="1">
        <v>0.59169169800294652</v>
      </c>
      <c r="V457" s="1">
        <v>0.40830830199705348</v>
      </c>
      <c r="W457" s="1">
        <v>0.64800000000000002</v>
      </c>
      <c r="X457" s="1">
        <v>0.35199999999999998</v>
      </c>
      <c r="Y457" s="17"/>
      <c r="Z457" s="12">
        <v>0.563083019970535</v>
      </c>
      <c r="AA457" s="12">
        <v>-0.563083019970535</v>
      </c>
      <c r="AB457" s="12">
        <v>0.24899822773520888</v>
      </c>
      <c r="AC457" s="12">
        <v>0.31408479223532609</v>
      </c>
      <c r="AD457" s="12">
        <v>-0.28606733322039529</v>
      </c>
      <c r="AE457" s="12">
        <v>-0.2770156867501396</v>
      </c>
      <c r="AF457" s="17"/>
      <c r="AG457">
        <v>455</v>
      </c>
      <c r="AH457">
        <v>2</v>
      </c>
      <c r="AI457">
        <v>26</v>
      </c>
      <c r="AJ457">
        <v>31</v>
      </c>
      <c r="AK457">
        <v>37</v>
      </c>
    </row>
    <row r="458" spans="1:37" x14ac:dyDescent="0.25">
      <c r="A458">
        <v>456</v>
      </c>
      <c r="B458" t="s">
        <v>190</v>
      </c>
      <c r="C458" t="s">
        <v>203</v>
      </c>
      <c r="D458" t="s">
        <v>229</v>
      </c>
      <c r="E458" t="s">
        <v>222</v>
      </c>
      <c r="F458">
        <v>5</v>
      </c>
      <c r="G458">
        <v>10</v>
      </c>
      <c r="H458" s="17"/>
      <c r="I458" s="1">
        <v>108.96532098602248</v>
      </c>
      <c r="J458" s="1">
        <v>77.512303948960209</v>
      </c>
      <c r="K458" s="1">
        <v>186.47762493498269</v>
      </c>
      <c r="L458" s="1">
        <v>0.58433456037427733</v>
      </c>
      <c r="M458" s="1">
        <v>0.41566543962572272</v>
      </c>
      <c r="N458" s="19"/>
      <c r="O458" s="1">
        <v>93.261768209313857</v>
      </c>
      <c r="P458" s="1">
        <v>91.645387383491979</v>
      </c>
      <c r="Q458" s="1">
        <v>184.90715559280585</v>
      </c>
      <c r="R458" s="1">
        <v>0.50437079035865273</v>
      </c>
      <c r="S458" s="1">
        <v>0.49562920964134721</v>
      </c>
      <c r="T458" s="19"/>
      <c r="U458" s="1">
        <v>0.51807281954937456</v>
      </c>
      <c r="V458" s="1">
        <v>0.48192718045062549</v>
      </c>
      <c r="W458" s="1">
        <v>0.28125</v>
      </c>
      <c r="X458" s="1">
        <v>0.71875</v>
      </c>
      <c r="Y458" s="17"/>
      <c r="Z458" s="12">
        <v>-2.3682281954937459</v>
      </c>
      <c r="AA458" s="12">
        <v>2.368228195493745</v>
      </c>
      <c r="AB458" s="12">
        <v>-1.3838375814798061</v>
      </c>
      <c r="AC458" s="12">
        <v>-0.9843906140139399</v>
      </c>
      <c r="AD458" s="12">
        <v>1.1737630687829188</v>
      </c>
      <c r="AE458" s="12">
        <v>1.1944651267108262</v>
      </c>
      <c r="AF458" s="17"/>
      <c r="AG458">
        <v>456</v>
      </c>
      <c r="AH458">
        <v>2</v>
      </c>
      <c r="AI458">
        <v>15</v>
      </c>
      <c r="AJ458">
        <v>25</v>
      </c>
      <c r="AK458">
        <v>37</v>
      </c>
    </row>
    <row r="459" spans="1:37" x14ac:dyDescent="0.25">
      <c r="A459">
        <v>457</v>
      </c>
      <c r="B459" t="s">
        <v>190</v>
      </c>
      <c r="C459" t="s">
        <v>203</v>
      </c>
      <c r="D459" t="s">
        <v>229</v>
      </c>
      <c r="E459" t="s">
        <v>222</v>
      </c>
      <c r="F459">
        <v>7</v>
      </c>
      <c r="G459">
        <v>10</v>
      </c>
      <c r="H459" s="17"/>
      <c r="I459" s="1">
        <v>107.58148340454267</v>
      </c>
      <c r="J459" s="1">
        <v>76.527913334946263</v>
      </c>
      <c r="K459" s="1">
        <v>184.10939673948894</v>
      </c>
      <c r="L459" s="1">
        <v>0.58433456037427722</v>
      </c>
      <c r="M459" s="1">
        <v>0.41566543962572267</v>
      </c>
      <c r="N459" s="19"/>
      <c r="O459" s="1">
        <v>94.435531278096775</v>
      </c>
      <c r="P459" s="1">
        <v>92.839852510202803</v>
      </c>
      <c r="Q459" s="1">
        <v>187.27538378829956</v>
      </c>
      <c r="R459" s="1">
        <v>0.5042602469572236</v>
      </c>
      <c r="S459" s="1">
        <v>0.49573975304277645</v>
      </c>
      <c r="T459" s="19"/>
      <c r="U459" s="1">
        <v>0.46361465899680354</v>
      </c>
      <c r="V459" s="1">
        <v>0.53638534100319646</v>
      </c>
      <c r="W459" s="1">
        <v>0.40475</v>
      </c>
      <c r="X459" s="1">
        <v>0.59525000000000006</v>
      </c>
      <c r="Y459" s="17"/>
      <c r="Z459" s="12">
        <v>-0.58864658996803543</v>
      </c>
      <c r="AA459" s="12">
        <v>0.58864658996803598</v>
      </c>
      <c r="AB459" s="12">
        <v>-0.34396654636478941</v>
      </c>
      <c r="AC459" s="12">
        <v>-0.24468004360324597</v>
      </c>
      <c r="AD459" s="12">
        <v>0.29181551514022663</v>
      </c>
      <c r="AE459" s="12">
        <v>0.29683107482780929</v>
      </c>
      <c r="AF459" s="17"/>
      <c r="AG459">
        <v>457</v>
      </c>
      <c r="AH459">
        <v>2</v>
      </c>
      <c r="AI459">
        <v>15</v>
      </c>
      <c r="AJ459">
        <v>25</v>
      </c>
      <c r="AK459">
        <v>37</v>
      </c>
    </row>
    <row r="460" spans="1:37" x14ac:dyDescent="0.25">
      <c r="A460">
        <v>458</v>
      </c>
      <c r="B460" t="s">
        <v>190</v>
      </c>
      <c r="C460" t="s">
        <v>213</v>
      </c>
      <c r="D460" t="s">
        <v>231</v>
      </c>
      <c r="E460" t="s">
        <v>203</v>
      </c>
      <c r="F460">
        <v>10</v>
      </c>
      <c r="G460">
        <v>4</v>
      </c>
      <c r="H460" s="17"/>
      <c r="I460" s="1">
        <v>107.23751685817788</v>
      </c>
      <c r="J460" s="1">
        <v>96.697105376186386</v>
      </c>
      <c r="K460" s="1">
        <v>203.93462223436427</v>
      </c>
      <c r="L460" s="1">
        <v>0.5258426238921764</v>
      </c>
      <c r="M460" s="1">
        <v>0.4741573761078236</v>
      </c>
      <c r="N460" s="19"/>
      <c r="O460" s="1">
        <v>105.11082539653299</v>
      </c>
      <c r="P460" s="1">
        <v>76.283233291343024</v>
      </c>
      <c r="Q460" s="1">
        <v>181.394058687876</v>
      </c>
      <c r="R460" s="1">
        <v>0.57946123570340713</v>
      </c>
      <c r="S460" s="1">
        <v>0.42053876429659293</v>
      </c>
      <c r="T460" s="19"/>
      <c r="U460" s="1">
        <v>0.73846996786527141</v>
      </c>
      <c r="V460" s="1">
        <v>0.26153003213472859</v>
      </c>
      <c r="W460" s="1">
        <v>0.81200000000000006</v>
      </c>
      <c r="X460" s="1">
        <v>0.18799999999999994</v>
      </c>
      <c r="Y460" s="17"/>
      <c r="Z460" s="12">
        <v>0.7353003213472864</v>
      </c>
      <c r="AA460" s="12">
        <v>-0.7353003213472864</v>
      </c>
      <c r="AB460" s="12">
        <v>0.34864807102126882</v>
      </c>
      <c r="AC460" s="12">
        <v>0.38665225032601758</v>
      </c>
      <c r="AD460" s="12">
        <v>-0.42607803282101092</v>
      </c>
      <c r="AE460" s="12">
        <v>-0.30922228852627553</v>
      </c>
      <c r="AF460" s="17"/>
      <c r="AG460">
        <v>458</v>
      </c>
      <c r="AH460">
        <v>2</v>
      </c>
      <c r="AI460">
        <v>27</v>
      </c>
      <c r="AJ460">
        <v>38</v>
      </c>
      <c r="AK460">
        <v>15</v>
      </c>
    </row>
    <row r="461" spans="1:37" x14ac:dyDescent="0.25">
      <c r="A461">
        <v>459</v>
      </c>
      <c r="B461" t="s">
        <v>190</v>
      </c>
      <c r="C461" t="s">
        <v>213</v>
      </c>
      <c r="D461" t="s">
        <v>231</v>
      </c>
      <c r="E461" t="s">
        <v>203</v>
      </c>
      <c r="F461">
        <v>10</v>
      </c>
      <c r="G461">
        <v>7</v>
      </c>
      <c r="H461" s="17"/>
      <c r="I461" s="1">
        <v>107.58616492919916</v>
      </c>
      <c r="J461" s="1">
        <v>97.083757626512408</v>
      </c>
      <c r="K461" s="1">
        <v>204.66992255571157</v>
      </c>
      <c r="L461" s="1">
        <v>0.52565693867360497</v>
      </c>
      <c r="M461" s="1">
        <v>0.47434306132639503</v>
      </c>
      <c r="N461" s="19"/>
      <c r="O461" s="1">
        <v>104.68474736371198</v>
      </c>
      <c r="P461" s="1">
        <v>75.974011002816752</v>
      </c>
      <c r="Q461" s="1">
        <v>180.65875836652873</v>
      </c>
      <c r="R461" s="1">
        <v>0.57946123570340713</v>
      </c>
      <c r="S461" s="1">
        <v>0.42053876429659287</v>
      </c>
      <c r="T461" s="19"/>
      <c r="U461" s="1">
        <v>0.75133686072493722</v>
      </c>
      <c r="V461" s="1">
        <v>0.2486631392750627</v>
      </c>
      <c r="W461" s="1">
        <v>0.59525000000000006</v>
      </c>
      <c r="X461" s="1">
        <v>0.40475</v>
      </c>
      <c r="Y461" s="17"/>
      <c r="Z461" s="12">
        <v>-1.5608686072493716</v>
      </c>
      <c r="AA461" s="12">
        <v>1.5608686072493729</v>
      </c>
      <c r="AB461" s="12">
        <v>-0.82048141375843808</v>
      </c>
      <c r="AC461" s="12">
        <v>-0.74038719349093352</v>
      </c>
      <c r="AD461" s="12">
        <v>0.65640575532199519</v>
      </c>
      <c r="AE461" s="12">
        <v>0.90446285192737774</v>
      </c>
      <c r="AF461" s="17"/>
      <c r="AG461">
        <v>459</v>
      </c>
      <c r="AH461">
        <v>2</v>
      </c>
      <c r="AI461">
        <v>27</v>
      </c>
      <c r="AJ461">
        <v>38</v>
      </c>
      <c r="AK461">
        <v>15</v>
      </c>
    </row>
    <row r="462" spans="1:37" x14ac:dyDescent="0.25">
      <c r="A462">
        <v>460</v>
      </c>
      <c r="B462" t="s">
        <v>192</v>
      </c>
      <c r="C462" t="s">
        <v>230</v>
      </c>
      <c r="D462" t="s">
        <v>210</v>
      </c>
      <c r="E462" t="s">
        <v>212</v>
      </c>
      <c r="F462">
        <v>10</v>
      </c>
      <c r="G462">
        <v>7</v>
      </c>
      <c r="H462" s="17"/>
      <c r="I462" s="1">
        <v>114.10864460302504</v>
      </c>
      <c r="J462" s="1">
        <v>94.639952987183662</v>
      </c>
      <c r="K462" s="1">
        <v>208.7485975902087</v>
      </c>
      <c r="L462" s="1">
        <v>0.54663190996391764</v>
      </c>
      <c r="M462" s="1">
        <v>0.45336809003608236</v>
      </c>
      <c r="N462" s="19"/>
      <c r="O462" s="1">
        <v>98.205593504700019</v>
      </c>
      <c r="P462" s="1">
        <v>86.501548693449365</v>
      </c>
      <c r="Q462" s="1">
        <v>184.70714219814937</v>
      </c>
      <c r="R462" s="1">
        <v>0.53168270775012816</v>
      </c>
      <c r="S462" s="1">
        <v>0.4683172922498719</v>
      </c>
      <c r="T462" s="19"/>
      <c r="U462" s="1">
        <v>0.75159738968294176</v>
      </c>
      <c r="V462" s="1">
        <v>0.24840261031705818</v>
      </c>
      <c r="W462" s="1">
        <v>0.59525000000000006</v>
      </c>
      <c r="X462" s="1">
        <v>0.40475</v>
      </c>
      <c r="Y462" s="17"/>
      <c r="Z462" s="12">
        <v>-1.5634738968294171</v>
      </c>
      <c r="AA462" s="12">
        <v>1.5634738968294182</v>
      </c>
      <c r="AB462" s="12">
        <v>-0.85464472240259337</v>
      </c>
      <c r="AC462" s="12">
        <v>-0.70882917442682369</v>
      </c>
      <c r="AD462" s="12">
        <v>0.7322018618665086</v>
      </c>
      <c r="AE462" s="12">
        <v>0.83127203496290936</v>
      </c>
      <c r="AF462" s="17"/>
      <c r="AG462">
        <v>460</v>
      </c>
      <c r="AH462">
        <v>5</v>
      </c>
      <c r="AI462">
        <v>31</v>
      </c>
      <c r="AJ462">
        <v>22</v>
      </c>
      <c r="AK462">
        <v>26</v>
      </c>
    </row>
    <row r="463" spans="1:37" x14ac:dyDescent="0.25">
      <c r="A463">
        <v>461</v>
      </c>
      <c r="B463" t="s">
        <v>192</v>
      </c>
      <c r="C463" t="s">
        <v>230</v>
      </c>
      <c r="D463" t="s">
        <v>210</v>
      </c>
      <c r="E463" t="s">
        <v>212</v>
      </c>
      <c r="F463">
        <v>10</v>
      </c>
      <c r="G463">
        <v>8</v>
      </c>
      <c r="H463" s="17"/>
      <c r="I463" s="1">
        <v>113.25399988062244</v>
      </c>
      <c r="J463" s="1">
        <v>93.931123812756837</v>
      </c>
      <c r="K463" s="1">
        <v>207.1851236933793</v>
      </c>
      <c r="L463" s="1">
        <v>0.54663190996391764</v>
      </c>
      <c r="M463" s="1">
        <v>0.45336809003608231</v>
      </c>
      <c r="N463" s="19"/>
      <c r="O463" s="1">
        <v>98.937795366566533</v>
      </c>
      <c r="P463" s="1">
        <v>87.332820728412273</v>
      </c>
      <c r="Q463" s="1">
        <v>186.27061609497881</v>
      </c>
      <c r="R463" s="1">
        <v>0.53115084622965147</v>
      </c>
      <c r="S463" s="1">
        <v>0.46884915377034853</v>
      </c>
      <c r="T463" s="19"/>
      <c r="U463" s="1">
        <v>0.72375177790929457</v>
      </c>
      <c r="V463" s="1">
        <v>0.27624822209070543</v>
      </c>
      <c r="W463" s="1">
        <v>0.55600000000000005</v>
      </c>
      <c r="X463" s="1">
        <v>0.44400000000000001</v>
      </c>
      <c r="Y463" s="17"/>
      <c r="Z463" s="12">
        <v>-1.6775177790929452</v>
      </c>
      <c r="AA463" s="12">
        <v>1.6775177790929456</v>
      </c>
      <c r="AB463" s="12">
        <v>-0.91698474758400594</v>
      </c>
      <c r="AC463" s="12">
        <v>-0.76053303150893925</v>
      </c>
      <c r="AD463" s="12">
        <v>0.78650279116244204</v>
      </c>
      <c r="AE463" s="12">
        <v>0.8910149879305036</v>
      </c>
      <c r="AF463" s="17"/>
      <c r="AG463">
        <v>461</v>
      </c>
      <c r="AH463">
        <v>5</v>
      </c>
      <c r="AI463">
        <v>31</v>
      </c>
      <c r="AJ463">
        <v>22</v>
      </c>
      <c r="AK463">
        <v>26</v>
      </c>
    </row>
    <row r="464" spans="1:37" x14ac:dyDescent="0.25">
      <c r="A464">
        <v>462</v>
      </c>
      <c r="B464" t="s">
        <v>196</v>
      </c>
      <c r="C464" t="s">
        <v>231</v>
      </c>
      <c r="D464" t="s">
        <v>210</v>
      </c>
      <c r="E464" t="s">
        <v>200</v>
      </c>
      <c r="F464">
        <v>6</v>
      </c>
      <c r="G464">
        <v>10</v>
      </c>
      <c r="H464" s="17"/>
      <c r="I464" s="1">
        <v>93.898681480592288</v>
      </c>
      <c r="J464" s="1">
        <v>105.34115311903398</v>
      </c>
      <c r="K464" s="1">
        <v>199.23983459962625</v>
      </c>
      <c r="L464" s="1">
        <v>0.47128467893622933</v>
      </c>
      <c r="M464" s="1">
        <v>0.52871532106377073</v>
      </c>
      <c r="N464" s="19"/>
      <c r="O464" s="1">
        <v>99.724298157728981</v>
      </c>
      <c r="P464" s="1">
        <v>97.8297921695535</v>
      </c>
      <c r="Q464" s="1">
        <v>197.55409032728249</v>
      </c>
      <c r="R464" s="1">
        <v>0.50479490448675823</v>
      </c>
      <c r="S464" s="1">
        <v>0.49520509551324166</v>
      </c>
      <c r="T464" s="19"/>
      <c r="U464" s="1">
        <v>0.51939810703269063</v>
      </c>
      <c r="V464" s="1">
        <v>0.48060189296730932</v>
      </c>
      <c r="W464" s="1">
        <v>0.35199999999999998</v>
      </c>
      <c r="X464" s="1">
        <v>0.64800000000000002</v>
      </c>
      <c r="Y464" s="17"/>
      <c r="Z464" s="12">
        <v>-1.6739810703269065</v>
      </c>
      <c r="AA464" s="12">
        <v>1.6739810703269069</v>
      </c>
      <c r="AB464" s="12">
        <v>-0.78892163127434167</v>
      </c>
      <c r="AC464" s="12">
        <v>-0.8850594390525649</v>
      </c>
      <c r="AD464" s="12">
        <v>0.82896395581859461</v>
      </c>
      <c r="AE464" s="12">
        <v>0.84501711450831252</v>
      </c>
      <c r="AF464" s="17"/>
      <c r="AG464">
        <v>462</v>
      </c>
      <c r="AH464">
        <v>9</v>
      </c>
      <c r="AI464">
        <v>38</v>
      </c>
      <c r="AJ464">
        <v>22</v>
      </c>
      <c r="AK464">
        <v>12</v>
      </c>
    </row>
    <row r="465" spans="1:37" x14ac:dyDescent="0.25">
      <c r="A465">
        <v>463</v>
      </c>
      <c r="B465" t="s">
        <v>196</v>
      </c>
      <c r="C465" t="s">
        <v>231</v>
      </c>
      <c r="D465" t="s">
        <v>210</v>
      </c>
      <c r="E465" t="s">
        <v>200</v>
      </c>
      <c r="F465">
        <v>10</v>
      </c>
      <c r="G465">
        <v>8</v>
      </c>
      <c r="H465" s="17"/>
      <c r="I465" s="1">
        <v>93.109759849317939</v>
      </c>
      <c r="J465" s="1">
        <v>104.45609367998141</v>
      </c>
      <c r="K465" s="1">
        <v>197.56585352929935</v>
      </c>
      <c r="L465" s="1">
        <v>0.47128467893622927</v>
      </c>
      <c r="M465" s="1">
        <v>0.52871532106377073</v>
      </c>
      <c r="N465" s="19"/>
      <c r="O465" s="1">
        <v>100.55326211354758</v>
      </c>
      <c r="P465" s="1">
        <v>98.674809284061809</v>
      </c>
      <c r="Q465" s="1">
        <v>199.22807139760937</v>
      </c>
      <c r="R465" s="1">
        <v>0.50471432769566105</v>
      </c>
      <c r="S465" s="1">
        <v>0.49528567230433901</v>
      </c>
      <c r="T465" s="19"/>
      <c r="U465" s="1">
        <v>0.48087234868048873</v>
      </c>
      <c r="V465" s="1">
        <v>0.51912765131951122</v>
      </c>
      <c r="W465" s="1">
        <v>0.55600000000000005</v>
      </c>
      <c r="X465" s="1">
        <v>0.44400000000000001</v>
      </c>
      <c r="Y465" s="17"/>
      <c r="Z465" s="12">
        <v>0.75127651319511324</v>
      </c>
      <c r="AA465" s="12">
        <v>-0.75127651319511213</v>
      </c>
      <c r="AB465" s="12">
        <v>0.39721140288162449</v>
      </c>
      <c r="AC465" s="12">
        <v>0.35406511031348875</v>
      </c>
      <c r="AD465" s="12">
        <v>-0.37918002027081144</v>
      </c>
      <c r="AE465" s="12">
        <v>-0.37209649292430075</v>
      </c>
      <c r="AF465" s="17"/>
      <c r="AG465">
        <v>463</v>
      </c>
      <c r="AH465">
        <v>9</v>
      </c>
      <c r="AI465">
        <v>38</v>
      </c>
      <c r="AJ465">
        <v>22</v>
      </c>
      <c r="AK465">
        <v>12</v>
      </c>
    </row>
    <row r="466" spans="1:37" x14ac:dyDescent="0.25">
      <c r="A466">
        <v>464</v>
      </c>
      <c r="B466" t="s">
        <v>230</v>
      </c>
      <c r="C466" t="s">
        <v>217</v>
      </c>
      <c r="D466" t="s">
        <v>213</v>
      </c>
      <c r="E466" t="s">
        <v>218</v>
      </c>
      <c r="F466">
        <v>10</v>
      </c>
      <c r="G466">
        <v>6</v>
      </c>
      <c r="H466" s="17"/>
      <c r="I466" s="1">
        <v>93.170590781247896</v>
      </c>
      <c r="J466" s="1">
        <v>105.43186882453757</v>
      </c>
      <c r="K466" s="1">
        <v>198.60245960578547</v>
      </c>
      <c r="L466" s="1">
        <v>0.46913110223401155</v>
      </c>
      <c r="M466" s="1">
        <v>0.53086889776598845</v>
      </c>
      <c r="N466" s="19"/>
      <c r="O466" s="1">
        <v>96.343370433021477</v>
      </c>
      <c r="P466" s="1">
        <v>100</v>
      </c>
      <c r="Q466" s="1">
        <v>196.34337043302148</v>
      </c>
      <c r="R466" s="1">
        <v>0.49068817663944014</v>
      </c>
      <c r="S466" s="1">
        <v>0.5093118233605598</v>
      </c>
      <c r="T466" s="19"/>
      <c r="U466" s="1">
        <v>0.52598529235877023</v>
      </c>
      <c r="V466" s="1">
        <v>0.47401470764122977</v>
      </c>
      <c r="W466" s="1">
        <v>0.64800000000000002</v>
      </c>
      <c r="X466" s="1">
        <v>0.35199999999999998</v>
      </c>
      <c r="Y466" s="17"/>
      <c r="Z466" s="12">
        <v>1.2201470764122979</v>
      </c>
      <c r="AA466" s="12">
        <v>-1.2201470764122979</v>
      </c>
      <c r="AB466" s="12">
        <v>0.64773813356738985</v>
      </c>
      <c r="AC466" s="12">
        <v>0.57240894284490806</v>
      </c>
      <c r="AD466" s="12">
        <v>-0.59871174415669415</v>
      </c>
      <c r="AE466" s="12">
        <v>-0.62143533225560377</v>
      </c>
      <c r="AF466" s="17"/>
      <c r="AG466">
        <v>464</v>
      </c>
      <c r="AH466">
        <v>31</v>
      </c>
      <c r="AI466">
        <v>32</v>
      </c>
      <c r="AJ466">
        <v>27</v>
      </c>
      <c r="AK466">
        <v>33</v>
      </c>
    </row>
    <row r="467" spans="1:37" x14ac:dyDescent="0.25">
      <c r="A467">
        <v>465</v>
      </c>
      <c r="B467" t="s">
        <v>230</v>
      </c>
      <c r="C467" t="s">
        <v>217</v>
      </c>
      <c r="D467" t="s">
        <v>213</v>
      </c>
      <c r="E467" t="s">
        <v>218</v>
      </c>
      <c r="F467">
        <v>8</v>
      </c>
      <c r="G467">
        <v>10</v>
      </c>
      <c r="H467" s="17"/>
      <c r="I467" s="1">
        <v>93.818328914815282</v>
      </c>
      <c r="J467" s="1">
        <v>106.00427776738248</v>
      </c>
      <c r="K467" s="1">
        <v>199.82260668219777</v>
      </c>
      <c r="L467" s="1">
        <v>0.46950808255657478</v>
      </c>
      <c r="M467" s="1">
        <v>0.53049191744342516</v>
      </c>
      <c r="N467" s="19"/>
      <c r="O467" s="1">
        <v>95.744658688864789</v>
      </c>
      <c r="P467" s="1">
        <v>99.378564667744399</v>
      </c>
      <c r="Q467" s="1">
        <v>195.12322335660917</v>
      </c>
      <c r="R467" s="1">
        <v>0.4906881766394402</v>
      </c>
      <c r="S467" s="1">
        <v>0.50931182336055991</v>
      </c>
      <c r="T467" s="19"/>
      <c r="U467" s="1">
        <v>0.55389347098788333</v>
      </c>
      <c r="V467" s="1">
        <v>0.44610652901211667</v>
      </c>
      <c r="W467" s="1">
        <v>0.44400000000000001</v>
      </c>
      <c r="X467" s="1">
        <v>0.55600000000000005</v>
      </c>
      <c r="Y467" s="17"/>
      <c r="Z467" s="12">
        <v>-1.0989347098788333</v>
      </c>
      <c r="AA467" s="12">
        <v>1.0989347098788338</v>
      </c>
      <c r="AB467" s="12">
        <v>-0.51595872849007685</v>
      </c>
      <c r="AC467" s="12">
        <v>-0.58297598138875639</v>
      </c>
      <c r="AD467" s="12">
        <v>0.55970044084259662</v>
      </c>
      <c r="AE467" s="12">
        <v>0.53923426903623706</v>
      </c>
      <c r="AF467" s="17"/>
      <c r="AG467">
        <v>465</v>
      </c>
      <c r="AH467">
        <v>31</v>
      </c>
      <c r="AI467">
        <v>32</v>
      </c>
      <c r="AJ467">
        <v>27</v>
      </c>
      <c r="AK467">
        <v>33</v>
      </c>
    </row>
    <row r="468" spans="1:37" x14ac:dyDescent="0.25">
      <c r="A468">
        <v>466</v>
      </c>
      <c r="B468" t="s">
        <v>200</v>
      </c>
      <c r="C468" t="s">
        <v>229</v>
      </c>
      <c r="D468" t="s">
        <v>203</v>
      </c>
      <c r="E468" t="s">
        <v>190</v>
      </c>
      <c r="F468">
        <v>10</v>
      </c>
      <c r="G468">
        <v>4</v>
      </c>
      <c r="H468" s="17"/>
      <c r="I468" s="1">
        <v>98.302712791137509</v>
      </c>
      <c r="J468" s="1">
        <v>94.727346793237004</v>
      </c>
      <c r="K468" s="1">
        <v>193.0300595843745</v>
      </c>
      <c r="L468" s="1">
        <v>0.50926116379386421</v>
      </c>
      <c r="M468" s="1">
        <v>0.49073883620613584</v>
      </c>
      <c r="N468" s="19"/>
      <c r="O468" s="1">
        <v>76.878473854744129</v>
      </c>
      <c r="P468" s="1">
        <v>106.76568351544071</v>
      </c>
      <c r="Q468" s="1">
        <v>183.64415737018484</v>
      </c>
      <c r="R468" s="1">
        <v>0.41862738763735685</v>
      </c>
      <c r="S468" s="1">
        <v>0.58137261236264315</v>
      </c>
      <c r="T468" s="19"/>
      <c r="U468" s="1">
        <v>0.60640766188220208</v>
      </c>
      <c r="V468" s="1">
        <v>0.39359233811779792</v>
      </c>
      <c r="W468" s="1">
        <v>0.81200000000000006</v>
      </c>
      <c r="X468" s="1">
        <v>0.18799999999999994</v>
      </c>
      <c r="Y468" s="17"/>
      <c r="Z468" s="12">
        <v>2.0559233811779798</v>
      </c>
      <c r="AA468" s="12">
        <v>-2.0559233811779798</v>
      </c>
      <c r="AB468" s="12">
        <v>1.0089214474082655</v>
      </c>
      <c r="AC468" s="12">
        <v>1.0470019337697143</v>
      </c>
      <c r="AD468" s="12">
        <v>-0.86066583424509957</v>
      </c>
      <c r="AE468" s="12">
        <v>-1.1952575469328803</v>
      </c>
      <c r="AF468" s="17"/>
      <c r="AG468">
        <v>466</v>
      </c>
      <c r="AH468">
        <v>12</v>
      </c>
      <c r="AI468">
        <v>25</v>
      </c>
      <c r="AJ468">
        <v>15</v>
      </c>
      <c r="AK468">
        <v>2</v>
      </c>
    </row>
    <row r="469" spans="1:37" x14ac:dyDescent="0.25">
      <c r="A469">
        <v>467</v>
      </c>
      <c r="B469" t="s">
        <v>200</v>
      </c>
      <c r="C469" t="s">
        <v>229</v>
      </c>
      <c r="D469" t="s">
        <v>203</v>
      </c>
      <c r="E469" t="s">
        <v>190</v>
      </c>
      <c r="F469">
        <v>10</v>
      </c>
      <c r="G469">
        <v>5</v>
      </c>
      <c r="H469" s="17"/>
      <c r="I469" s="1">
        <v>99.311634238545778</v>
      </c>
      <c r="J469" s="1">
        <v>95.774348727006725</v>
      </c>
      <c r="K469" s="1">
        <v>195.08598296555249</v>
      </c>
      <c r="L469" s="1">
        <v>0.50906596531890158</v>
      </c>
      <c r="M469" s="1">
        <v>0.49093403468109842</v>
      </c>
      <c r="N469" s="19"/>
      <c r="O469" s="1">
        <v>76.017808020499032</v>
      </c>
      <c r="P469" s="1">
        <v>105.57042596850783</v>
      </c>
      <c r="Q469" s="1">
        <v>181.58823398900688</v>
      </c>
      <c r="R469" s="1">
        <v>0.4186273876373568</v>
      </c>
      <c r="S469" s="1">
        <v>0.58137261236264315</v>
      </c>
      <c r="T469" s="19"/>
      <c r="U469" s="1">
        <v>0.65058106296985907</v>
      </c>
      <c r="V469" s="1">
        <v>0.34941893703014093</v>
      </c>
      <c r="W469" s="1">
        <v>0.71875</v>
      </c>
      <c r="X469" s="1">
        <v>0.28125</v>
      </c>
      <c r="Y469" s="17"/>
      <c r="Z469" s="12">
        <v>0.6816893703014093</v>
      </c>
      <c r="AA469" s="12">
        <v>-0.6816893703014093</v>
      </c>
      <c r="AB469" s="12">
        <v>0.33466451296128824</v>
      </c>
      <c r="AC469" s="12">
        <v>0.34702485734012106</v>
      </c>
      <c r="AD469" s="12">
        <v>-0.28537384026943374</v>
      </c>
      <c r="AE469" s="12">
        <v>-0.39631553003197556</v>
      </c>
      <c r="AF469" s="17"/>
      <c r="AG469">
        <v>467</v>
      </c>
      <c r="AH469">
        <v>12</v>
      </c>
      <c r="AI469">
        <v>25</v>
      </c>
      <c r="AJ469">
        <v>15</v>
      </c>
      <c r="AK469">
        <v>2</v>
      </c>
    </row>
    <row r="470" spans="1:37" x14ac:dyDescent="0.25">
      <c r="A470">
        <v>468</v>
      </c>
      <c r="B470" t="s">
        <v>222</v>
      </c>
      <c r="C470" t="s">
        <v>192</v>
      </c>
      <c r="D470" t="s">
        <v>208</v>
      </c>
      <c r="E470" t="s">
        <v>230</v>
      </c>
      <c r="F470">
        <v>8</v>
      </c>
      <c r="G470">
        <v>10</v>
      </c>
      <c r="H470" s="17"/>
      <c r="I470" s="1">
        <v>93.13668358503061</v>
      </c>
      <c r="J470" s="1">
        <v>112.33701513303843</v>
      </c>
      <c r="K470" s="1">
        <v>205.47369871806904</v>
      </c>
      <c r="L470" s="1">
        <v>0.453277885033956</v>
      </c>
      <c r="M470" s="1">
        <v>0.54672211496604406</v>
      </c>
      <c r="N470" s="19"/>
      <c r="O470" s="1">
        <v>99.67952621788956</v>
      </c>
      <c r="P470" s="1">
        <v>93.302370186325206</v>
      </c>
      <c r="Q470" s="1">
        <v>192.98189640421475</v>
      </c>
      <c r="R470" s="1">
        <v>0.51652267945954611</v>
      </c>
      <c r="S470" s="1">
        <v>0.48347732054045389</v>
      </c>
      <c r="T470" s="19"/>
      <c r="U470" s="1">
        <v>0.63997802206861587</v>
      </c>
      <c r="V470" s="1">
        <v>0.36002197793138413</v>
      </c>
      <c r="W470" s="1">
        <v>0.44400000000000001</v>
      </c>
      <c r="X470" s="1">
        <v>0.55600000000000005</v>
      </c>
      <c r="Y470" s="17"/>
      <c r="Z470" s="12">
        <v>-1.9597802206861585</v>
      </c>
      <c r="AA470" s="12">
        <v>1.9597802206861592</v>
      </c>
      <c r="AB470" s="12">
        <v>-0.8883250335640015</v>
      </c>
      <c r="AC470" s="12">
        <v>-1.0714551871221571</v>
      </c>
      <c r="AD470" s="12">
        <v>0.94750928994552364</v>
      </c>
      <c r="AE470" s="12">
        <v>1.0122709307406355</v>
      </c>
      <c r="AF470" s="17"/>
      <c r="AG470">
        <v>468</v>
      </c>
      <c r="AH470">
        <v>37</v>
      </c>
      <c r="AI470">
        <v>5</v>
      </c>
      <c r="AJ470">
        <v>20</v>
      </c>
      <c r="AK470">
        <v>31</v>
      </c>
    </row>
    <row r="471" spans="1:37" x14ac:dyDescent="0.25">
      <c r="A471">
        <v>469</v>
      </c>
      <c r="B471" t="s">
        <v>222</v>
      </c>
      <c r="C471" t="s">
        <v>192</v>
      </c>
      <c r="D471" t="s">
        <v>208</v>
      </c>
      <c r="E471" t="s">
        <v>230</v>
      </c>
      <c r="F471">
        <v>9</v>
      </c>
      <c r="G471">
        <v>10</v>
      </c>
      <c r="H471" s="17"/>
      <c r="I471" s="1">
        <v>92.248358551466609</v>
      </c>
      <c r="J471" s="1">
        <v>111.26555994591628</v>
      </c>
      <c r="K471" s="1">
        <v>203.51391849738289</v>
      </c>
      <c r="L471" s="1">
        <v>0.453277885033956</v>
      </c>
      <c r="M471" s="1">
        <v>0.54672211496604406</v>
      </c>
      <c r="N471" s="19"/>
      <c r="O471" s="1">
        <v>100.62703550783509</v>
      </c>
      <c r="P471" s="1">
        <v>94.314641117065847</v>
      </c>
      <c r="Q471" s="1">
        <v>194.94167662490094</v>
      </c>
      <c r="R471" s="1">
        <v>0.5161904691189132</v>
      </c>
      <c r="S471" s="1">
        <v>0.4838095308810868</v>
      </c>
      <c r="T471" s="19"/>
      <c r="U471" s="1">
        <v>0.59742956699822958</v>
      </c>
      <c r="V471" s="1">
        <v>0.40257043300177048</v>
      </c>
      <c r="W471" s="1">
        <v>0.47425</v>
      </c>
      <c r="X471" s="1">
        <v>0.52575000000000005</v>
      </c>
      <c r="Y471" s="17"/>
      <c r="Z471" s="12">
        <v>-1.2317956699822958</v>
      </c>
      <c r="AA471" s="12">
        <v>1.2317956699822958</v>
      </c>
      <c r="AB471" s="12">
        <v>-0.55834573608355986</v>
      </c>
      <c r="AC471" s="12">
        <v>-0.67344993389873598</v>
      </c>
      <c r="AD471" s="12">
        <v>0.59595448523548855</v>
      </c>
      <c r="AE471" s="12">
        <v>0.63584118474680729</v>
      </c>
      <c r="AF471" s="17"/>
      <c r="AG471">
        <v>469</v>
      </c>
      <c r="AH471">
        <v>37</v>
      </c>
      <c r="AI471">
        <v>5</v>
      </c>
      <c r="AJ471">
        <v>20</v>
      </c>
      <c r="AK471">
        <v>31</v>
      </c>
    </row>
    <row r="472" spans="1:37" x14ac:dyDescent="0.25">
      <c r="A472">
        <v>470</v>
      </c>
      <c r="B472" t="s">
        <v>231</v>
      </c>
      <c r="C472" t="s">
        <v>203</v>
      </c>
      <c r="D472" t="s">
        <v>210</v>
      </c>
      <c r="E472" t="s">
        <v>204</v>
      </c>
      <c r="F472">
        <v>10</v>
      </c>
      <c r="G472">
        <v>9</v>
      </c>
      <c r="H472" s="17"/>
      <c r="I472" s="1">
        <v>104.81015879029489</v>
      </c>
      <c r="J472" s="1">
        <v>75.732434180229603</v>
      </c>
      <c r="K472" s="1">
        <v>180.54259297052448</v>
      </c>
      <c r="L472" s="1">
        <v>0.58052871106933901</v>
      </c>
      <c r="M472" s="1">
        <v>0.41947128893066099</v>
      </c>
      <c r="N472" s="19"/>
      <c r="O472" s="1">
        <v>100.17408209327677</v>
      </c>
      <c r="P472" s="1">
        <v>90.398218274073344</v>
      </c>
      <c r="Q472" s="1">
        <v>190.57230036735012</v>
      </c>
      <c r="R472" s="1">
        <v>0.52564870078274573</v>
      </c>
      <c r="S472" s="1">
        <v>0.47435129921725422</v>
      </c>
      <c r="T472" s="19"/>
      <c r="U472" s="1">
        <v>0.38653872236465336</v>
      </c>
      <c r="V472" s="1">
        <v>0.61346127763534664</v>
      </c>
      <c r="W472" s="1">
        <v>0.52575000000000005</v>
      </c>
      <c r="X472" s="1">
        <v>0.47425</v>
      </c>
      <c r="Y472" s="17"/>
      <c r="Z472" s="12">
        <v>1.3921127763534669</v>
      </c>
      <c r="AA472" s="12">
        <v>-1.3921127763534664</v>
      </c>
      <c r="AB472" s="12">
        <v>0.5839513406338297</v>
      </c>
      <c r="AC472" s="12">
        <v>0.80816143571963717</v>
      </c>
      <c r="AD472" s="12">
        <v>-0.73176227223326074</v>
      </c>
      <c r="AE472" s="12">
        <v>-0.66035050412020568</v>
      </c>
      <c r="AF472" s="17"/>
      <c r="AG472">
        <v>470</v>
      </c>
      <c r="AH472">
        <v>38</v>
      </c>
      <c r="AI472">
        <v>15</v>
      </c>
      <c r="AJ472">
        <v>22</v>
      </c>
      <c r="AK472">
        <v>16</v>
      </c>
    </row>
    <row r="473" spans="1:37" x14ac:dyDescent="0.25">
      <c r="A473">
        <v>471</v>
      </c>
      <c r="B473" t="s">
        <v>231</v>
      </c>
      <c r="C473" t="s">
        <v>203</v>
      </c>
      <c r="D473" t="s">
        <v>210</v>
      </c>
      <c r="E473" t="s">
        <v>204</v>
      </c>
      <c r="F473">
        <v>10</v>
      </c>
      <c r="G473">
        <v>5</v>
      </c>
      <c r="H473" s="17"/>
      <c r="I473" s="1">
        <v>105.39411013092872</v>
      </c>
      <c r="J473" s="1">
        <v>76.540595615949243</v>
      </c>
      <c r="K473" s="1">
        <v>181.93470574687797</v>
      </c>
      <c r="L473" s="1">
        <v>0.57929634534689267</v>
      </c>
      <c r="M473" s="1">
        <v>0.42070365465310727</v>
      </c>
      <c r="N473" s="19"/>
      <c r="O473" s="1">
        <v>99.442319821043512</v>
      </c>
      <c r="P473" s="1">
        <v>89.737867769953141</v>
      </c>
      <c r="Q473" s="1">
        <v>189.18018759099664</v>
      </c>
      <c r="R473" s="1">
        <v>0.52564870078274584</v>
      </c>
      <c r="S473" s="1">
        <v>0.47435129921725427</v>
      </c>
      <c r="T473" s="19"/>
      <c r="U473" s="1">
        <v>0.41734870999059737</v>
      </c>
      <c r="V473" s="1">
        <v>0.58265129000940263</v>
      </c>
      <c r="W473" s="1">
        <v>0.71875</v>
      </c>
      <c r="X473" s="1">
        <v>0.28125</v>
      </c>
      <c r="Y473" s="17"/>
      <c r="Z473" s="12">
        <v>3.0140129000940261</v>
      </c>
      <c r="AA473" s="12">
        <v>-3.0140129000940261</v>
      </c>
      <c r="AB473" s="12">
        <v>1.2680062422411675</v>
      </c>
      <c r="AC473" s="12">
        <v>1.7460066578528586</v>
      </c>
      <c r="AD473" s="12">
        <v>-1.5843119650768607</v>
      </c>
      <c r="AE473" s="12">
        <v>-1.4297009350171657</v>
      </c>
      <c r="AF473" s="17"/>
      <c r="AG473">
        <v>471</v>
      </c>
      <c r="AH473">
        <v>38</v>
      </c>
      <c r="AI473">
        <v>15</v>
      </c>
      <c r="AJ473">
        <v>22</v>
      </c>
      <c r="AK473">
        <v>16</v>
      </c>
    </row>
    <row r="474" spans="1:37" x14ac:dyDescent="0.25">
      <c r="A474">
        <v>472</v>
      </c>
      <c r="B474" t="s">
        <v>231</v>
      </c>
      <c r="C474" t="s">
        <v>190</v>
      </c>
      <c r="D474" t="s">
        <v>196</v>
      </c>
      <c r="E474" t="s">
        <v>192</v>
      </c>
      <c r="F474">
        <v>10</v>
      </c>
      <c r="G474">
        <v>7</v>
      </c>
      <c r="H474" s="17"/>
      <c r="I474" s="1">
        <v>106.66211637316989</v>
      </c>
      <c r="J474" s="1">
        <v>105.17411043847586</v>
      </c>
      <c r="K474" s="1">
        <v>211.83622681164576</v>
      </c>
      <c r="L474" s="1">
        <v>0.50351216115649822</v>
      </c>
      <c r="M474" s="1">
        <v>0.49648783884350173</v>
      </c>
      <c r="N474" s="19"/>
      <c r="O474" s="1">
        <v>93.506971252199563</v>
      </c>
      <c r="P474" s="1">
        <v>110.59211001201754</v>
      </c>
      <c r="Q474" s="1">
        <v>204.09908126421709</v>
      </c>
      <c r="R474" s="1">
        <v>0.45814498856636121</v>
      </c>
      <c r="S474" s="1">
        <v>0.5418550114336389</v>
      </c>
      <c r="T474" s="19"/>
      <c r="U474" s="1">
        <v>0.58814658649110285</v>
      </c>
      <c r="V474" s="1">
        <v>0.41185341350889715</v>
      </c>
      <c r="W474" s="1">
        <v>0.59525000000000006</v>
      </c>
      <c r="X474" s="1">
        <v>0.40475</v>
      </c>
      <c r="Y474" s="17"/>
      <c r="Z474" s="12">
        <v>7.103413508897205E-2</v>
      </c>
      <c r="AA474" s="12">
        <v>-7.1034135088971495E-2</v>
      </c>
      <c r="AB474" s="12">
        <v>3.5267584214441088E-2</v>
      </c>
      <c r="AC474" s="12">
        <v>3.576655087453097E-2</v>
      </c>
      <c r="AD474" s="12">
        <v>-3.25439330081582E-2</v>
      </c>
      <c r="AE474" s="12">
        <v>-3.8490202080813302E-2</v>
      </c>
      <c r="AF474" s="17"/>
      <c r="AG474">
        <v>472</v>
      </c>
      <c r="AH474">
        <v>38</v>
      </c>
      <c r="AI474">
        <v>2</v>
      </c>
      <c r="AJ474">
        <v>9</v>
      </c>
      <c r="AK474">
        <v>5</v>
      </c>
    </row>
    <row r="475" spans="1:37" x14ac:dyDescent="0.25">
      <c r="A475">
        <v>473</v>
      </c>
      <c r="B475" t="s">
        <v>231</v>
      </c>
      <c r="C475" t="s">
        <v>190</v>
      </c>
      <c r="D475" t="s">
        <v>196</v>
      </c>
      <c r="E475" t="s">
        <v>192</v>
      </c>
      <c r="F475">
        <v>5</v>
      </c>
      <c r="G475">
        <v>10</v>
      </c>
      <c r="H475" s="17"/>
      <c r="I475" s="1">
        <v>106.69738395738433</v>
      </c>
      <c r="J475" s="1">
        <v>105.20987698935039</v>
      </c>
      <c r="K475" s="1">
        <v>211.90726094673471</v>
      </c>
      <c r="L475" s="1">
        <v>0.50350980651014088</v>
      </c>
      <c r="M475" s="1">
        <v>0.49649019348985918</v>
      </c>
      <c r="N475" s="19"/>
      <c r="O475" s="1">
        <v>93.474427319191406</v>
      </c>
      <c r="P475" s="1">
        <v>110.55361980993673</v>
      </c>
      <c r="Q475" s="1">
        <v>204.02804712912814</v>
      </c>
      <c r="R475" s="1">
        <v>0.45814498856636116</v>
      </c>
      <c r="S475" s="1">
        <v>0.5418550114336389</v>
      </c>
      <c r="T475" s="19"/>
      <c r="U475" s="1">
        <v>0.58973045489326437</v>
      </c>
      <c r="V475" s="1">
        <v>0.41026954510673563</v>
      </c>
      <c r="W475" s="1">
        <v>0.28125</v>
      </c>
      <c r="X475" s="1">
        <v>0.71875</v>
      </c>
      <c r="Y475" s="17"/>
      <c r="Z475" s="12">
        <v>-3.0848045489326434</v>
      </c>
      <c r="AA475" s="12">
        <v>3.0848045489326434</v>
      </c>
      <c r="AB475" s="12">
        <v>-1.5532293415546776</v>
      </c>
      <c r="AC475" s="12">
        <v>-1.5315752073779658</v>
      </c>
      <c r="AD475" s="12">
        <v>1.6715168041324389</v>
      </c>
      <c r="AE475" s="12">
        <v>1.4132877448002046</v>
      </c>
      <c r="AF475" s="17"/>
      <c r="AG475">
        <v>473</v>
      </c>
      <c r="AH475">
        <v>38</v>
      </c>
      <c r="AI475">
        <v>2</v>
      </c>
      <c r="AJ475">
        <v>9</v>
      </c>
      <c r="AK475">
        <v>5</v>
      </c>
    </row>
    <row r="476" spans="1:37" x14ac:dyDescent="0.25">
      <c r="A476">
        <v>474</v>
      </c>
      <c r="B476" t="s">
        <v>231</v>
      </c>
      <c r="C476" t="s">
        <v>229</v>
      </c>
      <c r="D476" t="s">
        <v>222</v>
      </c>
      <c r="E476" t="s">
        <v>192</v>
      </c>
      <c r="F476">
        <v>10</v>
      </c>
      <c r="G476">
        <v>7</v>
      </c>
      <c r="H476" s="17"/>
      <c r="I476" s="1">
        <v>105.14415461582965</v>
      </c>
      <c r="J476" s="1">
        <v>96.121373584346841</v>
      </c>
      <c r="K476" s="1">
        <v>201.2655282001765</v>
      </c>
      <c r="L476" s="1">
        <v>0.52241511776052585</v>
      </c>
      <c r="M476" s="1">
        <v>0.47758488223947404</v>
      </c>
      <c r="N476" s="19"/>
      <c r="O476" s="1">
        <v>91.690012815383042</v>
      </c>
      <c r="P476" s="1">
        <v>111.96690755473693</v>
      </c>
      <c r="Q476" s="1">
        <v>203.65692037011996</v>
      </c>
      <c r="R476" s="1">
        <v>0.45021800707163973</v>
      </c>
      <c r="S476" s="1">
        <v>0.54978199292836027</v>
      </c>
      <c r="T476" s="19"/>
      <c r="U476" s="1">
        <v>0.47249587232003654</v>
      </c>
      <c r="V476" s="1">
        <v>0.52750412767996346</v>
      </c>
      <c r="W476" s="1">
        <v>0.59525000000000006</v>
      </c>
      <c r="X476" s="1">
        <v>0.40475</v>
      </c>
      <c r="Y476" s="17"/>
      <c r="Z476" s="12">
        <v>1.2275412767996352</v>
      </c>
      <c r="AA476" s="12">
        <v>-1.2275412767996348</v>
      </c>
      <c r="AB476" s="12">
        <v>0.58625515612444756</v>
      </c>
      <c r="AC476" s="12">
        <v>0.64128612067518787</v>
      </c>
      <c r="AD476" s="12">
        <v>-0.55266118723890767</v>
      </c>
      <c r="AE476" s="12">
        <v>-0.67488008956072709</v>
      </c>
      <c r="AF476" s="17"/>
      <c r="AG476">
        <v>474</v>
      </c>
      <c r="AH476">
        <v>38</v>
      </c>
      <c r="AI476">
        <v>25</v>
      </c>
      <c r="AJ476">
        <v>37</v>
      </c>
      <c r="AK476">
        <v>5</v>
      </c>
    </row>
    <row r="477" spans="1:37" x14ac:dyDescent="0.25">
      <c r="A477">
        <v>475</v>
      </c>
      <c r="B477" t="s">
        <v>231</v>
      </c>
      <c r="C477" t="s">
        <v>229</v>
      </c>
      <c r="D477" t="s">
        <v>222</v>
      </c>
      <c r="E477" t="s">
        <v>192</v>
      </c>
      <c r="F477">
        <v>6</v>
      </c>
      <c r="G477">
        <v>10</v>
      </c>
      <c r="H477" s="17"/>
      <c r="I477" s="1">
        <v>105.7304097719541</v>
      </c>
      <c r="J477" s="1">
        <v>96.762659705022031</v>
      </c>
      <c r="K477" s="1">
        <v>202.49306947697613</v>
      </c>
      <c r="L477" s="1">
        <v>0.52214335060971484</v>
      </c>
      <c r="M477" s="1">
        <v>0.4778566493902851</v>
      </c>
      <c r="N477" s="19"/>
      <c r="O477" s="1">
        <v>91.137351628144131</v>
      </c>
      <c r="P477" s="1">
        <v>111.2920274651762</v>
      </c>
      <c r="Q477" s="1">
        <v>202.42937909332034</v>
      </c>
      <c r="R477" s="1">
        <v>0.45021800707163973</v>
      </c>
      <c r="S477" s="1">
        <v>0.54978199292836027</v>
      </c>
      <c r="T477" s="19"/>
      <c r="U477" s="1">
        <v>0.50073326211418989</v>
      </c>
      <c r="V477" s="1">
        <v>0.49926673788581011</v>
      </c>
      <c r="W477" s="1">
        <v>0.35199999999999998</v>
      </c>
      <c r="X477" s="1">
        <v>0.64800000000000002</v>
      </c>
      <c r="Y477" s="17"/>
      <c r="Z477" s="12">
        <v>-1.4873326211418991</v>
      </c>
      <c r="AA477" s="12">
        <v>1.4873326211418991</v>
      </c>
      <c r="AB477" s="12">
        <v>-0.77660083827416082</v>
      </c>
      <c r="AC477" s="12">
        <v>-0.71073178286773819</v>
      </c>
      <c r="AD477" s="12">
        <v>0.81770869259875512</v>
      </c>
      <c r="AE477" s="12">
        <v>0.66962392854314401</v>
      </c>
      <c r="AF477" s="17"/>
      <c r="AG477">
        <v>475</v>
      </c>
      <c r="AH477">
        <v>38</v>
      </c>
      <c r="AI477">
        <v>25</v>
      </c>
      <c r="AJ477">
        <v>37</v>
      </c>
      <c r="AK477">
        <v>5</v>
      </c>
    </row>
    <row r="478" spans="1:37" x14ac:dyDescent="0.25">
      <c r="A478">
        <v>476</v>
      </c>
      <c r="B478" t="s">
        <v>231</v>
      </c>
      <c r="C478" t="s">
        <v>230</v>
      </c>
      <c r="D478" t="s">
        <v>229</v>
      </c>
      <c r="E478" t="s">
        <v>196</v>
      </c>
      <c r="F478">
        <v>10</v>
      </c>
      <c r="G478">
        <v>7</v>
      </c>
      <c r="H478" s="17"/>
      <c r="I478" s="1">
        <v>104.95380893367994</v>
      </c>
      <c r="J478" s="1">
        <v>94.950482301812656</v>
      </c>
      <c r="K478" s="1">
        <v>199.90429123549259</v>
      </c>
      <c r="L478" s="1">
        <v>0.52502028988483063</v>
      </c>
      <c r="M478" s="1">
        <v>0.47497971011516932</v>
      </c>
      <c r="N478" s="19"/>
      <c r="O478" s="1">
        <v>96.051927922154292</v>
      </c>
      <c r="P478" s="1">
        <v>95.145944123323844</v>
      </c>
      <c r="Q478" s="1">
        <v>191.19787204547814</v>
      </c>
      <c r="R478" s="1">
        <v>0.50236923086313157</v>
      </c>
      <c r="S478" s="1">
        <v>0.49763076913686843</v>
      </c>
      <c r="T478" s="19"/>
      <c r="U478" s="1">
        <v>0.59891478641215534</v>
      </c>
      <c r="V478" s="1">
        <v>0.40108521358784477</v>
      </c>
      <c r="W478" s="1">
        <v>0.59525000000000006</v>
      </c>
      <c r="X478" s="1">
        <v>0.40475</v>
      </c>
      <c r="Y478" s="17"/>
      <c r="Z478" s="12">
        <v>-3.6647864121552853E-2</v>
      </c>
      <c r="AA478" s="12">
        <v>3.6647864121552298E-2</v>
      </c>
      <c r="AB478" s="12">
        <v>-1.9240872244757564E-2</v>
      </c>
      <c r="AC478" s="12">
        <v>-1.7406991876795289E-2</v>
      </c>
      <c r="AD478" s="12">
        <v>1.8237104810031515E-2</v>
      </c>
      <c r="AE478" s="12">
        <v>1.8410759311520784E-2</v>
      </c>
      <c r="AF478" s="17"/>
      <c r="AG478">
        <v>476</v>
      </c>
      <c r="AH478">
        <v>38</v>
      </c>
      <c r="AI478">
        <v>31</v>
      </c>
      <c r="AJ478">
        <v>25</v>
      </c>
      <c r="AK478">
        <v>9</v>
      </c>
    </row>
    <row r="479" spans="1:37" x14ac:dyDescent="0.25">
      <c r="A479">
        <v>477</v>
      </c>
      <c r="B479" t="s">
        <v>231</v>
      </c>
      <c r="C479" t="s">
        <v>230</v>
      </c>
      <c r="D479" t="s">
        <v>229</v>
      </c>
      <c r="E479" t="s">
        <v>196</v>
      </c>
      <c r="F479">
        <v>10</v>
      </c>
      <c r="G479">
        <v>7</v>
      </c>
      <c r="H479" s="17"/>
      <c r="I479" s="1">
        <v>104.93456806143519</v>
      </c>
      <c r="J479" s="1">
        <v>94.933075309935859</v>
      </c>
      <c r="K479" s="1">
        <v>199.86764337137106</v>
      </c>
      <c r="L479" s="1">
        <v>0.52502028988483063</v>
      </c>
      <c r="M479" s="1">
        <v>0.47497971011516926</v>
      </c>
      <c r="N479" s="19"/>
      <c r="O479" s="1">
        <v>96.070165026964318</v>
      </c>
      <c r="P479" s="1">
        <v>95.164354882635365</v>
      </c>
      <c r="Q479" s="1">
        <v>191.23451990959967</v>
      </c>
      <c r="R479" s="1">
        <v>0.50236832279223742</v>
      </c>
      <c r="S479" s="1">
        <v>0.49763167720776269</v>
      </c>
      <c r="T479" s="19"/>
      <c r="U479" s="1">
        <v>0.59810369342229897</v>
      </c>
      <c r="V479" s="1">
        <v>0.40189630657770103</v>
      </c>
      <c r="W479" s="1">
        <v>0.59525000000000006</v>
      </c>
      <c r="X479" s="1">
        <v>0.40475</v>
      </c>
      <c r="Y479" s="17"/>
      <c r="Z479" s="12">
        <v>-2.8536934222989085E-2</v>
      </c>
      <c r="AA479" s="12">
        <v>2.8536934222989641E-2</v>
      </c>
      <c r="AB479" s="12">
        <v>-1.4982469478178074E-2</v>
      </c>
      <c r="AC479" s="12">
        <v>-1.3554464744811008E-2</v>
      </c>
      <c r="AD479" s="12">
        <v>1.4200882439753934E-2</v>
      </c>
      <c r="AE479" s="12">
        <v>1.4336051783235703E-2</v>
      </c>
      <c r="AF479" s="17"/>
      <c r="AG479">
        <v>477</v>
      </c>
      <c r="AH479">
        <v>38</v>
      </c>
      <c r="AI479">
        <v>31</v>
      </c>
      <c r="AJ479">
        <v>25</v>
      </c>
      <c r="AK479">
        <v>9</v>
      </c>
    </row>
    <row r="480" spans="1:37" x14ac:dyDescent="0.25">
      <c r="A480">
        <v>478</v>
      </c>
      <c r="B480" t="s">
        <v>210</v>
      </c>
      <c r="C480" t="s">
        <v>230</v>
      </c>
      <c r="D480" t="s">
        <v>203</v>
      </c>
      <c r="E480" t="s">
        <v>190</v>
      </c>
      <c r="F480">
        <v>10</v>
      </c>
      <c r="G480">
        <v>2</v>
      </c>
      <c r="H480" s="17"/>
      <c r="I480" s="1">
        <v>97.858007855966648</v>
      </c>
      <c r="J480" s="1">
        <v>94.919520845191045</v>
      </c>
      <c r="K480" s="1">
        <v>192.77752870115768</v>
      </c>
      <c r="L480" s="1">
        <v>0.50762144589821678</v>
      </c>
      <c r="M480" s="1">
        <v>0.49237855410178327</v>
      </c>
      <c r="N480" s="19"/>
      <c r="O480" s="1">
        <v>78.286602273802103</v>
      </c>
      <c r="P480" s="1">
        <v>103.67830178197242</v>
      </c>
      <c r="Q480" s="1">
        <v>181.96490405577453</v>
      </c>
      <c r="R480" s="1">
        <v>0.43022912951283332</v>
      </c>
      <c r="S480" s="1">
        <v>0.56977087048716668</v>
      </c>
      <c r="T480" s="19"/>
      <c r="U480" s="1">
        <v>0.62197504666828896</v>
      </c>
      <c r="V480" s="1">
        <v>0.37802495333171099</v>
      </c>
      <c r="W480" s="1">
        <v>1.0840000000000001</v>
      </c>
      <c r="X480" s="1">
        <v>-8.4000000000000075E-2</v>
      </c>
      <c r="Y480" s="17"/>
      <c r="Z480" s="12">
        <v>4.6202495333171107</v>
      </c>
      <c r="AA480" s="12">
        <v>-4.6202495333171107</v>
      </c>
      <c r="AB480" s="12">
        <v>2.2749117848041176</v>
      </c>
      <c r="AC480" s="12">
        <v>2.3453377485129927</v>
      </c>
      <c r="AD480" s="12">
        <v>-1.987765934851095</v>
      </c>
      <c r="AE480" s="12">
        <v>-2.632483598466016</v>
      </c>
      <c r="AF480" s="17"/>
      <c r="AG480">
        <v>478</v>
      </c>
      <c r="AH480">
        <v>22</v>
      </c>
      <c r="AI480">
        <v>31</v>
      </c>
      <c r="AJ480">
        <v>15</v>
      </c>
      <c r="AK480">
        <v>2</v>
      </c>
    </row>
    <row r="481" spans="1:37" x14ac:dyDescent="0.25">
      <c r="A481">
        <v>479</v>
      </c>
      <c r="B481" t="s">
        <v>210</v>
      </c>
      <c r="C481" t="s">
        <v>230</v>
      </c>
      <c r="D481" t="s">
        <v>203</v>
      </c>
      <c r="E481" t="s">
        <v>190</v>
      </c>
      <c r="F481">
        <v>10</v>
      </c>
      <c r="G481">
        <v>8</v>
      </c>
      <c r="H481" s="17"/>
      <c r="I481" s="1">
        <v>100.13291964077077</v>
      </c>
      <c r="J481" s="1">
        <v>97.264858593704034</v>
      </c>
      <c r="K481" s="1">
        <v>197.3977782344748</v>
      </c>
      <c r="L481" s="1">
        <v>0.50726467408275477</v>
      </c>
      <c r="M481" s="1">
        <v>0.49273532591724523</v>
      </c>
      <c r="N481" s="19"/>
      <c r="O481" s="1">
        <v>76.298836338951006</v>
      </c>
      <c r="P481" s="1">
        <v>101.04581818350641</v>
      </c>
      <c r="Q481" s="1">
        <v>177.3446545224574</v>
      </c>
      <c r="R481" s="1">
        <v>0.43022912951283332</v>
      </c>
      <c r="S481" s="1">
        <v>0.56977087048716679</v>
      </c>
      <c r="T481" s="19"/>
      <c r="U481" s="1">
        <v>0.71575074528405092</v>
      </c>
      <c r="V481" s="1">
        <v>0.28424925471594908</v>
      </c>
      <c r="W481" s="1">
        <v>0.55600000000000005</v>
      </c>
      <c r="X481" s="1">
        <v>0.44400000000000001</v>
      </c>
      <c r="Y481" s="17"/>
      <c r="Z481" s="12">
        <v>-1.5975074528405087</v>
      </c>
      <c r="AA481" s="12">
        <v>1.5975074528405093</v>
      </c>
      <c r="AB481" s="12">
        <v>-0.81035909740991241</v>
      </c>
      <c r="AC481" s="12">
        <v>-0.78714835543059625</v>
      </c>
      <c r="AD481" s="12">
        <v>0.91021321201467342</v>
      </c>
      <c r="AE481" s="12">
        <v>0.68729424082583579</v>
      </c>
      <c r="AF481" s="17"/>
      <c r="AG481">
        <v>479</v>
      </c>
      <c r="AH481">
        <v>22</v>
      </c>
      <c r="AI481">
        <v>31</v>
      </c>
      <c r="AJ481">
        <v>15</v>
      </c>
      <c r="AK481">
        <v>2</v>
      </c>
    </row>
    <row r="482" spans="1:37" x14ac:dyDescent="0.25">
      <c r="A482">
        <v>480</v>
      </c>
      <c r="B482" t="s">
        <v>210</v>
      </c>
      <c r="C482" t="s">
        <v>207</v>
      </c>
      <c r="D482" t="s">
        <v>203</v>
      </c>
      <c r="E482" t="s">
        <v>232</v>
      </c>
      <c r="F482">
        <v>10</v>
      </c>
      <c r="G482">
        <v>3</v>
      </c>
      <c r="H482" s="17"/>
      <c r="I482" s="1">
        <v>99.322560543360851</v>
      </c>
      <c r="J482" s="1">
        <v>104.00599955629987</v>
      </c>
      <c r="K482" s="1">
        <v>203.32856009966071</v>
      </c>
      <c r="L482" s="1">
        <v>0.48848307633063592</v>
      </c>
      <c r="M482" s="1">
        <v>0.51151692366936419</v>
      </c>
      <c r="N482" s="19"/>
      <c r="O482" s="1">
        <v>77.209049550965673</v>
      </c>
      <c r="P482" s="1">
        <v>102.00398441464017</v>
      </c>
      <c r="Q482" s="1">
        <v>179.21303396560586</v>
      </c>
      <c r="R482" s="1">
        <v>0.43082273561522011</v>
      </c>
      <c r="S482" s="1">
        <v>0.56917726438477978</v>
      </c>
      <c r="T482" s="19"/>
      <c r="U482" s="1">
        <v>0.75223368806204416</v>
      </c>
      <c r="V482" s="1">
        <v>0.24776631193795598</v>
      </c>
      <c r="W482" s="1">
        <v>0.93224999999999991</v>
      </c>
      <c r="X482" s="1">
        <v>6.7749999999999977E-2</v>
      </c>
      <c r="Y482" s="17"/>
      <c r="Z482" s="12">
        <v>1.8001631193795575</v>
      </c>
      <c r="AA482" s="12">
        <v>-1.80016311937956</v>
      </c>
      <c r="AB482" s="12">
        <v>0.92081390092807747</v>
      </c>
      <c r="AC482" s="12">
        <v>0.87934921845147984</v>
      </c>
      <c r="AD482" s="12">
        <v>-0.77555119964473007</v>
      </c>
      <c r="AE482" s="12">
        <v>-1.0246119197348298</v>
      </c>
      <c r="AF482" s="17"/>
      <c r="AG482">
        <v>480</v>
      </c>
      <c r="AH482">
        <v>22</v>
      </c>
      <c r="AI482">
        <v>19</v>
      </c>
      <c r="AJ482">
        <v>15</v>
      </c>
      <c r="AK482">
        <v>42</v>
      </c>
    </row>
    <row r="483" spans="1:37" x14ac:dyDescent="0.25">
      <c r="A483">
        <v>481</v>
      </c>
      <c r="B483" t="s">
        <v>210</v>
      </c>
      <c r="C483" t="s">
        <v>207</v>
      </c>
      <c r="D483" t="s">
        <v>203</v>
      </c>
      <c r="E483" t="s">
        <v>232</v>
      </c>
      <c r="F483">
        <v>10</v>
      </c>
      <c r="G483">
        <v>2</v>
      </c>
      <c r="H483" s="17"/>
      <c r="I483" s="1">
        <v>100.24337444428893</v>
      </c>
      <c r="J483" s="1">
        <v>104.88534877475135</v>
      </c>
      <c r="K483" s="1">
        <v>205.1287232190403</v>
      </c>
      <c r="L483" s="1">
        <v>0.4886852161471662</v>
      </c>
      <c r="M483" s="1">
        <v>0.5113147838528338</v>
      </c>
      <c r="N483" s="19"/>
      <c r="O483" s="1">
        <v>76.433498351320949</v>
      </c>
      <c r="P483" s="1">
        <v>100.97937249490535</v>
      </c>
      <c r="Q483" s="1">
        <v>177.4128708462263</v>
      </c>
      <c r="R483" s="1">
        <v>0.43082273561522016</v>
      </c>
      <c r="S483" s="1">
        <v>0.56917726438477989</v>
      </c>
      <c r="T483" s="19"/>
      <c r="U483" s="1">
        <v>0.78182990107874717</v>
      </c>
      <c r="V483" s="1">
        <v>0.21817009892125286</v>
      </c>
      <c r="W483" s="1">
        <v>1.0840000000000001</v>
      </c>
      <c r="X483" s="1">
        <v>-8.4000000000000075E-2</v>
      </c>
      <c r="Y483" s="17"/>
      <c r="Z483" s="12">
        <v>3.0217009892125288</v>
      </c>
      <c r="AA483" s="12">
        <v>-3.0217009892125288</v>
      </c>
      <c r="AB483" s="12">
        <v>1.5450403881670982</v>
      </c>
      <c r="AC483" s="12">
        <v>1.4766606010454306</v>
      </c>
      <c r="AD483" s="12">
        <v>-1.3018174863837586</v>
      </c>
      <c r="AE483" s="12">
        <v>-1.7198835028287704</v>
      </c>
      <c r="AF483" s="17"/>
      <c r="AG483">
        <v>481</v>
      </c>
      <c r="AH483">
        <v>22</v>
      </c>
      <c r="AI483">
        <v>19</v>
      </c>
      <c r="AJ483">
        <v>15</v>
      </c>
      <c r="AK483">
        <v>42</v>
      </c>
    </row>
    <row r="484" spans="1:37" x14ac:dyDescent="0.25">
      <c r="A484">
        <v>482</v>
      </c>
      <c r="B484" t="s">
        <v>213</v>
      </c>
      <c r="C484" t="s">
        <v>231</v>
      </c>
      <c r="D484" t="s">
        <v>218</v>
      </c>
      <c r="E484" t="s">
        <v>206</v>
      </c>
      <c r="F484">
        <v>10</v>
      </c>
      <c r="G484">
        <v>3</v>
      </c>
      <c r="H484" s="17"/>
      <c r="I484" s="1">
        <v>96.304359129707379</v>
      </c>
      <c r="J484" s="1">
        <v>104.919585591957</v>
      </c>
      <c r="K484" s="1">
        <v>201.2239447216644</v>
      </c>
      <c r="L484" s="1">
        <v>0.47859293914010498</v>
      </c>
      <c r="M484" s="1">
        <v>0.52140706085989497</v>
      </c>
      <c r="N484" s="19"/>
      <c r="O484" s="1">
        <v>99.917798936780642</v>
      </c>
      <c r="P484" s="1">
        <v>98.539127000430625</v>
      </c>
      <c r="Q484" s="1">
        <v>198.45692593721128</v>
      </c>
      <c r="R484" s="1">
        <v>0.50347347901777484</v>
      </c>
      <c r="S484" s="1">
        <v>0.49652652098222505</v>
      </c>
      <c r="T484" s="19"/>
      <c r="U484" s="1">
        <v>0.53181344545714782</v>
      </c>
      <c r="V484" s="1">
        <v>0.46818655454285213</v>
      </c>
      <c r="W484" s="1">
        <v>0.93224999999999991</v>
      </c>
      <c r="X484" s="1">
        <v>6.7749999999999977E-2</v>
      </c>
      <c r="Y484" s="17"/>
      <c r="Z484" s="12">
        <v>4.004365545428521</v>
      </c>
      <c r="AA484" s="12">
        <v>-4.0043655454285219</v>
      </c>
      <c r="AB484" s="12">
        <v>2.0879044696505158</v>
      </c>
      <c r="AC484" s="12">
        <v>1.9164610757780056</v>
      </c>
      <c r="AD484" s="12">
        <v>-2.0160918524158076</v>
      </c>
      <c r="AE484" s="12">
        <v>-1.9882736930127141</v>
      </c>
      <c r="AF484" s="17"/>
      <c r="AG484">
        <v>482</v>
      </c>
      <c r="AH484">
        <v>27</v>
      </c>
      <c r="AI484">
        <v>38</v>
      </c>
      <c r="AJ484">
        <v>33</v>
      </c>
      <c r="AK484">
        <v>18</v>
      </c>
    </row>
    <row r="485" spans="1:37" x14ac:dyDescent="0.25">
      <c r="A485">
        <v>483</v>
      </c>
      <c r="B485" t="s">
        <v>213</v>
      </c>
      <c r="C485" t="s">
        <v>231</v>
      </c>
      <c r="D485" t="s">
        <v>218</v>
      </c>
      <c r="E485" t="s">
        <v>206</v>
      </c>
      <c r="F485">
        <v>10</v>
      </c>
      <c r="G485">
        <v>7</v>
      </c>
      <c r="H485" s="17"/>
      <c r="I485" s="1">
        <v>98.392263599357889</v>
      </c>
      <c r="J485" s="1">
        <v>106.836046667735</v>
      </c>
      <c r="K485" s="1">
        <v>205.22831026709289</v>
      </c>
      <c r="L485" s="1">
        <v>0.4794283180098593</v>
      </c>
      <c r="M485" s="1">
        <v>0.5205716819901407</v>
      </c>
      <c r="N485" s="19"/>
      <c r="O485" s="1">
        <v>97.90170708436483</v>
      </c>
      <c r="P485" s="1">
        <v>96.55085330741791</v>
      </c>
      <c r="Q485" s="1">
        <v>194.45256039178275</v>
      </c>
      <c r="R485" s="1">
        <v>0.50347347901777484</v>
      </c>
      <c r="S485" s="1">
        <v>0.49652652098222511</v>
      </c>
      <c r="T485" s="19"/>
      <c r="U485" s="1">
        <v>0.6215756924315966</v>
      </c>
      <c r="V485" s="1">
        <v>0.37842430756840345</v>
      </c>
      <c r="W485" s="1">
        <v>0.59525000000000006</v>
      </c>
      <c r="X485" s="1">
        <v>0.40475</v>
      </c>
      <c r="Y485" s="17"/>
      <c r="Z485" s="12">
        <v>-0.26325692431596548</v>
      </c>
      <c r="AA485" s="12">
        <v>0.26325692431596548</v>
      </c>
      <c r="AB485" s="12">
        <v>-0.12621282442925216</v>
      </c>
      <c r="AC485" s="12">
        <v>-0.13704409988671332</v>
      </c>
      <c r="AD485" s="12">
        <v>0.1307140447550873</v>
      </c>
      <c r="AE485" s="12">
        <v>0.13254287956087818</v>
      </c>
      <c r="AF485" s="17"/>
      <c r="AG485">
        <v>483</v>
      </c>
      <c r="AH485">
        <v>27</v>
      </c>
      <c r="AI485">
        <v>38</v>
      </c>
      <c r="AJ485">
        <v>33</v>
      </c>
      <c r="AK485">
        <v>18</v>
      </c>
    </row>
    <row r="486" spans="1:37" x14ac:dyDescent="0.25">
      <c r="A486">
        <v>484</v>
      </c>
      <c r="B486" t="s">
        <v>192</v>
      </c>
      <c r="C486" t="s">
        <v>196</v>
      </c>
      <c r="D486" t="s">
        <v>208</v>
      </c>
      <c r="E486" t="s">
        <v>222</v>
      </c>
      <c r="F486">
        <v>10</v>
      </c>
      <c r="G486">
        <v>4</v>
      </c>
      <c r="H486" s="17"/>
      <c r="I486" s="1">
        <v>111.96165139371935</v>
      </c>
      <c r="J486" s="1">
        <v>95.178690934418597</v>
      </c>
      <c r="K486" s="1">
        <v>207.14034232813793</v>
      </c>
      <c r="L486" s="1">
        <v>0.54051108603633169</v>
      </c>
      <c r="M486" s="1">
        <v>0.45948891396366842</v>
      </c>
      <c r="N486" s="19"/>
      <c r="O486" s="1">
        <v>101.22298999307058</v>
      </c>
      <c r="P486" s="1">
        <v>91.955060320742888</v>
      </c>
      <c r="Q486" s="1">
        <v>193.17805031381346</v>
      </c>
      <c r="R486" s="1">
        <v>0.5239880505504434</v>
      </c>
      <c r="S486" s="1">
        <v>0.47601194944955666</v>
      </c>
      <c r="T486" s="19"/>
      <c r="U486" s="1">
        <v>0.65542843337635559</v>
      </c>
      <c r="V486" s="1">
        <v>0.34457156662364441</v>
      </c>
      <c r="W486" s="1">
        <v>0.81200000000000006</v>
      </c>
      <c r="X486" s="1">
        <v>0.18799999999999994</v>
      </c>
      <c r="Y486" s="17"/>
      <c r="Z486" s="12">
        <v>1.5657156662364446</v>
      </c>
      <c r="AA486" s="12">
        <v>-1.5657156662364446</v>
      </c>
      <c r="AB486" s="12">
        <v>0.71942899105488534</v>
      </c>
      <c r="AC486" s="12">
        <v>0.8462866751815592</v>
      </c>
      <c r="AD486" s="12">
        <v>-0.82041629966752327</v>
      </c>
      <c r="AE486" s="12">
        <v>-0.74529936656892137</v>
      </c>
      <c r="AF486" s="17"/>
      <c r="AG486">
        <v>484</v>
      </c>
      <c r="AH486">
        <v>5</v>
      </c>
      <c r="AI486">
        <v>9</v>
      </c>
      <c r="AJ486">
        <v>20</v>
      </c>
      <c r="AK486">
        <v>37</v>
      </c>
    </row>
    <row r="487" spans="1:37" x14ac:dyDescent="0.25">
      <c r="A487">
        <v>485</v>
      </c>
      <c r="B487" t="s">
        <v>192</v>
      </c>
      <c r="C487" t="s">
        <v>196</v>
      </c>
      <c r="D487" t="s">
        <v>208</v>
      </c>
      <c r="E487" t="s">
        <v>222</v>
      </c>
      <c r="F487">
        <v>10</v>
      </c>
      <c r="G487">
        <v>3</v>
      </c>
      <c r="H487" s="17"/>
      <c r="I487" s="1">
        <v>112.68108038477423</v>
      </c>
      <c r="J487" s="1">
        <v>96.024977609600157</v>
      </c>
      <c r="K487" s="1">
        <v>208.70605799437439</v>
      </c>
      <c r="L487" s="1">
        <v>0.53990325660701</v>
      </c>
      <c r="M487" s="1">
        <v>0.46009674339298995</v>
      </c>
      <c r="N487" s="19"/>
      <c r="O487" s="1">
        <v>100.40257369340306</v>
      </c>
      <c r="P487" s="1">
        <v>91.209760954173973</v>
      </c>
      <c r="Q487" s="1">
        <v>191.61233464757703</v>
      </c>
      <c r="R487" s="1">
        <v>0.52398805055044329</v>
      </c>
      <c r="S487" s="1">
        <v>0.47601194944955666</v>
      </c>
      <c r="T487" s="19"/>
      <c r="U487" s="1">
        <v>0.68722873660710881</v>
      </c>
      <c r="V487" s="1">
        <v>0.31277126339289124</v>
      </c>
      <c r="W487" s="1">
        <v>0.93224999999999991</v>
      </c>
      <c r="X487" s="1">
        <v>6.7749999999999977E-2</v>
      </c>
      <c r="Y487" s="17"/>
      <c r="Z487" s="12">
        <v>2.4502126339289108</v>
      </c>
      <c r="AA487" s="12">
        <v>-2.4502126339289125</v>
      </c>
      <c r="AB487" s="12">
        <v>1.1273348534910521</v>
      </c>
      <c r="AC487" s="12">
        <v>1.3228777804378589</v>
      </c>
      <c r="AD487" s="12">
        <v>-1.2838821414864778</v>
      </c>
      <c r="AE487" s="12">
        <v>-1.1663304924424347</v>
      </c>
      <c r="AF487" s="17"/>
      <c r="AG487">
        <v>485</v>
      </c>
      <c r="AH487">
        <v>5</v>
      </c>
      <c r="AI487">
        <v>9</v>
      </c>
      <c r="AJ487">
        <v>20</v>
      </c>
      <c r="AK487">
        <v>37</v>
      </c>
    </row>
    <row r="488" spans="1:37" x14ac:dyDescent="0.25">
      <c r="A488">
        <v>486</v>
      </c>
      <c r="B488" t="s">
        <v>231</v>
      </c>
      <c r="C488" t="s">
        <v>197</v>
      </c>
      <c r="D488" t="s">
        <v>196</v>
      </c>
      <c r="E488" t="s">
        <v>210</v>
      </c>
      <c r="F488">
        <v>10</v>
      </c>
      <c r="G488">
        <v>8</v>
      </c>
      <c r="H488" s="17"/>
      <c r="I488" s="1">
        <v>106.6990025678483</v>
      </c>
      <c r="J488" s="1">
        <v>94.353173132071191</v>
      </c>
      <c r="K488" s="1">
        <v>201.05217569991947</v>
      </c>
      <c r="L488" s="1">
        <v>0.53070304858128936</v>
      </c>
      <c r="M488" s="1">
        <v>0.46929695141871069</v>
      </c>
      <c r="N488" s="19"/>
      <c r="O488" s="1">
        <v>97.347855390038021</v>
      </c>
      <c r="P488" s="1">
        <v>101.78841483245603</v>
      </c>
      <c r="Q488" s="1">
        <v>199.13627022249403</v>
      </c>
      <c r="R488" s="1">
        <v>0.48885045040399577</v>
      </c>
      <c r="S488" s="1">
        <v>0.51114954959600434</v>
      </c>
      <c r="T488" s="19"/>
      <c r="U488" s="1">
        <v>0.52204337880112472</v>
      </c>
      <c r="V488" s="1">
        <v>0.47795662119887522</v>
      </c>
      <c r="W488" s="1">
        <v>0.55600000000000005</v>
      </c>
      <c r="X488" s="1">
        <v>0.44400000000000001</v>
      </c>
      <c r="Y488" s="17"/>
      <c r="Z488" s="12">
        <v>0.33956621198875325</v>
      </c>
      <c r="AA488" s="12">
        <v>-0.33956621198875214</v>
      </c>
      <c r="AB488" s="12">
        <v>0.15935738809112154</v>
      </c>
      <c r="AC488" s="12">
        <v>0.18020882389763171</v>
      </c>
      <c r="AD488" s="12">
        <v>-0.1659970956726802</v>
      </c>
      <c r="AE488" s="12">
        <v>-0.173569116316072</v>
      </c>
      <c r="AF488" s="17"/>
      <c r="AG488">
        <v>486</v>
      </c>
      <c r="AH488">
        <v>38</v>
      </c>
      <c r="AI488">
        <v>3</v>
      </c>
      <c r="AJ488">
        <v>9</v>
      </c>
      <c r="AK488">
        <v>22</v>
      </c>
    </row>
    <row r="489" spans="1:37" x14ac:dyDescent="0.25">
      <c r="A489">
        <v>487</v>
      </c>
      <c r="B489" t="s">
        <v>231</v>
      </c>
      <c r="C489" t="s">
        <v>197</v>
      </c>
      <c r="D489" t="s">
        <v>196</v>
      </c>
      <c r="E489" t="s">
        <v>210</v>
      </c>
      <c r="F489">
        <v>10</v>
      </c>
      <c r="G489">
        <v>5</v>
      </c>
      <c r="H489" s="17"/>
      <c r="I489" s="1">
        <v>106.85835995593942</v>
      </c>
      <c r="J489" s="1">
        <v>94.533381955968821</v>
      </c>
      <c r="K489" s="1">
        <v>201.39174191190824</v>
      </c>
      <c r="L489" s="1">
        <v>0.53059951188406163</v>
      </c>
      <c r="M489" s="1">
        <v>0.46940048811593843</v>
      </c>
      <c r="N489" s="19"/>
      <c r="O489" s="1">
        <v>97.181858294365341</v>
      </c>
      <c r="P489" s="1">
        <v>101.61484571613995</v>
      </c>
      <c r="Q489" s="1">
        <v>198.79670401050529</v>
      </c>
      <c r="R489" s="1">
        <v>0.48885045040399577</v>
      </c>
      <c r="S489" s="1">
        <v>0.51114954959600423</v>
      </c>
      <c r="T489" s="19"/>
      <c r="U489" s="1">
        <v>0.52984097149687825</v>
      </c>
      <c r="V489" s="1">
        <v>0.47015902850312186</v>
      </c>
      <c r="W489" s="1">
        <v>0.71875</v>
      </c>
      <c r="X489" s="1">
        <v>0.28125</v>
      </c>
      <c r="Y489" s="17"/>
      <c r="Z489" s="12">
        <v>1.8890902850312175</v>
      </c>
      <c r="AA489" s="12">
        <v>-1.8890902850312186</v>
      </c>
      <c r="AB489" s="12">
        <v>0.88673990188873064</v>
      </c>
      <c r="AC489" s="12">
        <v>1.0023503831424869</v>
      </c>
      <c r="AD489" s="12">
        <v>-0.92348263669132391</v>
      </c>
      <c r="AE489" s="12">
        <v>-0.96560764833989465</v>
      </c>
      <c r="AF489" s="17"/>
      <c r="AG489">
        <v>487</v>
      </c>
      <c r="AH489">
        <v>38</v>
      </c>
      <c r="AI489">
        <v>3</v>
      </c>
      <c r="AJ489">
        <v>9</v>
      </c>
      <c r="AK489">
        <v>22</v>
      </c>
    </row>
    <row r="490" spans="1:37" x14ac:dyDescent="0.25">
      <c r="A490">
        <v>488</v>
      </c>
      <c r="B490" t="s">
        <v>207</v>
      </c>
      <c r="C490" t="s">
        <v>231</v>
      </c>
      <c r="D490" t="s">
        <v>220</v>
      </c>
      <c r="E490" t="s">
        <v>190</v>
      </c>
      <c r="F490">
        <v>10</v>
      </c>
      <c r="G490">
        <v>8</v>
      </c>
      <c r="H490" s="17"/>
      <c r="I490" s="1">
        <v>106.36200937579677</v>
      </c>
      <c r="J490" s="1">
        <v>107.74509985782815</v>
      </c>
      <c r="K490" s="1">
        <v>214.10710923362493</v>
      </c>
      <c r="L490" s="1">
        <v>0.49677009678244216</v>
      </c>
      <c r="M490" s="1">
        <v>0.50322990321755778</v>
      </c>
      <c r="N490" s="19"/>
      <c r="O490" s="1">
        <v>109.16463458768133</v>
      </c>
      <c r="P490" s="1">
        <v>101.73311242433225</v>
      </c>
      <c r="Q490" s="1">
        <v>210.89774701201358</v>
      </c>
      <c r="R490" s="1">
        <v>0.51761878035360365</v>
      </c>
      <c r="S490" s="1">
        <v>0.4823812196463963</v>
      </c>
      <c r="T490" s="19"/>
      <c r="U490" s="1">
        <v>0.53688203539286861</v>
      </c>
      <c r="V490" s="1">
        <v>0.46311796460713139</v>
      </c>
      <c r="W490" s="1">
        <v>0.55600000000000005</v>
      </c>
      <c r="X490" s="1">
        <v>0.44400000000000001</v>
      </c>
      <c r="Y490" s="17"/>
      <c r="Z490" s="12">
        <v>0.19117964607131444</v>
      </c>
      <c r="AA490" s="12">
        <v>-0.19117964607131388</v>
      </c>
      <c r="AB490" s="12">
        <v>9.6207314789634513E-2</v>
      </c>
      <c r="AC490" s="12">
        <v>9.4972331281679923E-2</v>
      </c>
      <c r="AD490" s="12">
        <v>-9.895817522786711E-2</v>
      </c>
      <c r="AE490" s="12">
        <v>-9.2221470843446771E-2</v>
      </c>
      <c r="AF490" s="17"/>
      <c r="AG490">
        <v>488</v>
      </c>
      <c r="AH490">
        <v>19</v>
      </c>
      <c r="AI490">
        <v>38</v>
      </c>
      <c r="AJ490">
        <v>35</v>
      </c>
      <c r="AK490">
        <v>2</v>
      </c>
    </row>
    <row r="491" spans="1:37" x14ac:dyDescent="0.25">
      <c r="A491">
        <v>489</v>
      </c>
      <c r="B491" t="s">
        <v>207</v>
      </c>
      <c r="C491" t="s">
        <v>231</v>
      </c>
      <c r="D491" t="s">
        <v>220</v>
      </c>
      <c r="E491" t="s">
        <v>190</v>
      </c>
      <c r="F491">
        <v>9</v>
      </c>
      <c r="G491">
        <v>10</v>
      </c>
      <c r="H491" s="17"/>
      <c r="I491" s="1">
        <v>106.45821669058641</v>
      </c>
      <c r="J491" s="1">
        <v>107.84007218910983</v>
      </c>
      <c r="K491" s="1">
        <v>214.29828887969626</v>
      </c>
      <c r="L491" s="1">
        <v>0.49677585970063626</v>
      </c>
      <c r="M491" s="1">
        <v>0.50322414029936369</v>
      </c>
      <c r="N491" s="19"/>
      <c r="O491" s="1">
        <v>109.06567641245347</v>
      </c>
      <c r="P491" s="1">
        <v>101.64089095348881</v>
      </c>
      <c r="Q491" s="1">
        <v>210.70656736594228</v>
      </c>
      <c r="R491" s="1">
        <v>0.51761878035360365</v>
      </c>
      <c r="S491" s="1">
        <v>0.48238121964639635</v>
      </c>
      <c r="T491" s="19"/>
      <c r="U491" s="1">
        <v>0.54125720272363065</v>
      </c>
      <c r="V491" s="1">
        <v>0.45874279727636935</v>
      </c>
      <c r="W491" s="1">
        <v>0.47425</v>
      </c>
      <c r="X491" s="1">
        <v>0.52575000000000005</v>
      </c>
      <c r="Y491" s="17"/>
      <c r="Z491" s="12">
        <v>-0.67007202723630643</v>
      </c>
      <c r="AA491" s="12">
        <v>0.67007202723630699</v>
      </c>
      <c r="AB491" s="12">
        <v>-0.33287560739166427</v>
      </c>
      <c r="AC491" s="12">
        <v>-0.3371964198446421</v>
      </c>
      <c r="AD491" s="12">
        <v>0.32323016174918306</v>
      </c>
      <c r="AE491" s="12">
        <v>0.34684186548712392</v>
      </c>
      <c r="AF491" s="17"/>
      <c r="AG491">
        <v>489</v>
      </c>
      <c r="AH491">
        <v>19</v>
      </c>
      <c r="AI491">
        <v>38</v>
      </c>
      <c r="AJ491">
        <v>35</v>
      </c>
      <c r="AK491">
        <v>2</v>
      </c>
    </row>
    <row r="492" spans="1:37" x14ac:dyDescent="0.25">
      <c r="A492">
        <v>490</v>
      </c>
      <c r="B492" t="s">
        <v>204</v>
      </c>
      <c r="C492" t="s">
        <v>231</v>
      </c>
      <c r="D492" t="s">
        <v>229</v>
      </c>
      <c r="E492" t="s">
        <v>210</v>
      </c>
      <c r="F492">
        <v>10</v>
      </c>
      <c r="G492">
        <v>8</v>
      </c>
      <c r="H492" s="17"/>
      <c r="I492" s="1">
        <v>88.308166834935975</v>
      </c>
      <c r="J492" s="1">
        <v>107.50287576926519</v>
      </c>
      <c r="K492" s="1">
        <v>195.81104260420116</v>
      </c>
      <c r="L492" s="1">
        <v>0.45098665356394618</v>
      </c>
      <c r="M492" s="1">
        <v>0.54901334643605382</v>
      </c>
      <c r="N492" s="19"/>
      <c r="O492" s="1">
        <v>96.08436590940407</v>
      </c>
      <c r="P492" s="1">
        <v>100.64923806780006</v>
      </c>
      <c r="Q492" s="1">
        <v>196.73360397720413</v>
      </c>
      <c r="R492" s="1">
        <v>0.48839834154889744</v>
      </c>
      <c r="S492" s="1">
        <v>0.5116016584511025</v>
      </c>
      <c r="T492" s="19"/>
      <c r="U492" s="1">
        <v>0.48938021703733114</v>
      </c>
      <c r="V492" s="1">
        <v>0.51061978296266886</v>
      </c>
      <c r="W492" s="1">
        <v>0.55600000000000005</v>
      </c>
      <c r="X492" s="1">
        <v>0.44400000000000001</v>
      </c>
      <c r="Y492" s="17"/>
      <c r="Z492" s="12">
        <v>0.66619782962668905</v>
      </c>
      <c r="AA492" s="12">
        <v>-0.6661978296266885</v>
      </c>
      <c r="AB492" s="12">
        <v>0.36575149983178462</v>
      </c>
      <c r="AC492" s="12">
        <v>0.30044632979490443</v>
      </c>
      <c r="AD492" s="12">
        <v>-0.32536991513314961</v>
      </c>
      <c r="AE492" s="12">
        <v>-0.34082791449353889</v>
      </c>
      <c r="AF492" s="17"/>
      <c r="AG492">
        <v>490</v>
      </c>
      <c r="AH492">
        <v>16</v>
      </c>
      <c r="AI492">
        <v>38</v>
      </c>
      <c r="AJ492">
        <v>25</v>
      </c>
      <c r="AK492">
        <v>22</v>
      </c>
    </row>
    <row r="493" spans="1:37" x14ac:dyDescent="0.25">
      <c r="A493">
        <v>491</v>
      </c>
      <c r="B493" t="s">
        <v>204</v>
      </c>
      <c r="C493" t="s">
        <v>231</v>
      </c>
      <c r="D493" t="s">
        <v>229</v>
      </c>
      <c r="E493" t="s">
        <v>210</v>
      </c>
      <c r="F493">
        <v>6</v>
      </c>
      <c r="G493">
        <v>10</v>
      </c>
      <c r="H493" s="17"/>
      <c r="I493" s="1">
        <v>88.673918334767762</v>
      </c>
      <c r="J493" s="1">
        <v>107.8033220990601</v>
      </c>
      <c r="K493" s="1">
        <v>196.47724043382786</v>
      </c>
      <c r="L493" s="1">
        <v>0.4513190338940683</v>
      </c>
      <c r="M493" s="1">
        <v>0.54868096610593164</v>
      </c>
      <c r="N493" s="19"/>
      <c r="O493" s="1">
        <v>95.758995994270919</v>
      </c>
      <c r="P493" s="1">
        <v>100.30841015330651</v>
      </c>
      <c r="Q493" s="1">
        <v>196.06740614757743</v>
      </c>
      <c r="R493" s="1">
        <v>0.48839834154889744</v>
      </c>
      <c r="S493" s="1">
        <v>0.5116016584511025</v>
      </c>
      <c r="T493" s="19"/>
      <c r="U493" s="1">
        <v>0.50471825153346439</v>
      </c>
      <c r="V493" s="1">
        <v>0.49528174846653555</v>
      </c>
      <c r="W493" s="1">
        <v>0.35199999999999998</v>
      </c>
      <c r="X493" s="1">
        <v>0.64800000000000002</v>
      </c>
      <c r="Y493" s="17"/>
      <c r="Z493" s="12">
        <v>-1.5271825153346441</v>
      </c>
      <c r="AA493" s="12">
        <v>1.5271825153346446</v>
      </c>
      <c r="AB493" s="12">
        <v>-0.68924653740074471</v>
      </c>
      <c r="AC493" s="12">
        <v>-0.83793597793389929</v>
      </c>
      <c r="AD493" s="12">
        <v>0.78130910760273042</v>
      </c>
      <c r="AE493" s="12">
        <v>0.74587340773191413</v>
      </c>
      <c r="AF493" s="17"/>
      <c r="AG493">
        <v>491</v>
      </c>
      <c r="AH493">
        <v>16</v>
      </c>
      <c r="AI493">
        <v>38</v>
      </c>
      <c r="AJ493">
        <v>25</v>
      </c>
      <c r="AK493">
        <v>22</v>
      </c>
    </row>
    <row r="494" spans="1:37" x14ac:dyDescent="0.25">
      <c r="A494">
        <v>492</v>
      </c>
      <c r="B494" t="s">
        <v>192</v>
      </c>
      <c r="C494" t="s">
        <v>222</v>
      </c>
      <c r="D494" t="s">
        <v>208</v>
      </c>
      <c r="E494" t="s">
        <v>196</v>
      </c>
      <c r="F494">
        <v>10</v>
      </c>
      <c r="G494">
        <v>3</v>
      </c>
      <c r="H494" s="17"/>
      <c r="I494" s="1">
        <v>113.80841523826528</v>
      </c>
      <c r="J494" s="1">
        <v>90.043430461731532</v>
      </c>
      <c r="K494" s="1">
        <v>203.85184569999683</v>
      </c>
      <c r="L494" s="1">
        <v>0.55828984450675034</v>
      </c>
      <c r="M494" s="1">
        <v>0.44171015549324966</v>
      </c>
      <c r="N494" s="19"/>
      <c r="O494" s="1">
        <v>99.118691551916584</v>
      </c>
      <c r="P494" s="1">
        <v>96.258375657674023</v>
      </c>
      <c r="Q494" s="1">
        <v>195.37706720959062</v>
      </c>
      <c r="R494" s="1">
        <v>0.50731998881724982</v>
      </c>
      <c r="S494" s="1">
        <v>0.49268001118275007</v>
      </c>
      <c r="T494" s="19"/>
      <c r="U494" s="1">
        <v>0.59634961369422101</v>
      </c>
      <c r="V494" s="1">
        <v>0.40365038630577893</v>
      </c>
      <c r="W494" s="1">
        <v>0.93224999999999991</v>
      </c>
      <c r="X494" s="1">
        <v>6.7749999999999977E-2</v>
      </c>
      <c r="Y494" s="17"/>
      <c r="Z494" s="12">
        <v>3.3590038630577892</v>
      </c>
      <c r="AA494" s="12">
        <v>-3.3590038630577896</v>
      </c>
      <c r="AB494" s="12">
        <v>1.4837061186536824</v>
      </c>
      <c r="AC494" s="12">
        <v>1.8752977444041068</v>
      </c>
      <c r="AD494" s="12">
        <v>-1.7040898022435769</v>
      </c>
      <c r="AE494" s="12">
        <v>-1.6549140608142126</v>
      </c>
      <c r="AF494" s="17"/>
      <c r="AG494">
        <v>492</v>
      </c>
      <c r="AH494">
        <v>5</v>
      </c>
      <c r="AI494">
        <v>37</v>
      </c>
      <c r="AJ494">
        <v>20</v>
      </c>
      <c r="AK494">
        <v>9</v>
      </c>
    </row>
    <row r="495" spans="1:37" x14ac:dyDescent="0.25">
      <c r="A495">
        <v>493</v>
      </c>
      <c r="B495" t="s">
        <v>192</v>
      </c>
      <c r="C495" t="s">
        <v>222</v>
      </c>
      <c r="D495" t="s">
        <v>208</v>
      </c>
      <c r="E495" t="s">
        <v>196</v>
      </c>
      <c r="F495">
        <v>10</v>
      </c>
      <c r="G495">
        <v>7</v>
      </c>
      <c r="H495" s="17"/>
      <c r="I495" s="1">
        <v>115.29212135691897</v>
      </c>
      <c r="J495" s="1">
        <v>91.91872820613564</v>
      </c>
      <c r="K495" s="1">
        <v>207.21084956305461</v>
      </c>
      <c r="L495" s="1">
        <v>0.55640002248934062</v>
      </c>
      <c r="M495" s="1">
        <v>0.44359997751065933</v>
      </c>
      <c r="N495" s="19"/>
      <c r="O495" s="1">
        <v>97.414601749673011</v>
      </c>
      <c r="P495" s="1">
        <v>94.603461596859816</v>
      </c>
      <c r="Q495" s="1">
        <v>192.01806334653281</v>
      </c>
      <c r="R495" s="1">
        <v>0.50731998881724993</v>
      </c>
      <c r="S495" s="1">
        <v>0.49268001118275018</v>
      </c>
      <c r="T495" s="19"/>
      <c r="U495" s="1">
        <v>0.66811097993953728</v>
      </c>
      <c r="V495" s="1">
        <v>0.33188902006046261</v>
      </c>
      <c r="W495" s="1">
        <v>0.59525000000000006</v>
      </c>
      <c r="X495" s="1">
        <v>0.40475</v>
      </c>
      <c r="Y495" s="17"/>
      <c r="Z495" s="12">
        <v>-0.72860979939537218</v>
      </c>
      <c r="AA495" s="12">
        <v>0.72860979939537385</v>
      </c>
      <c r="AB495" s="12">
        <v>-0.40539850876953903</v>
      </c>
      <c r="AC495" s="12">
        <v>-0.32321129062583309</v>
      </c>
      <c r="AD495" s="12">
        <v>0.35897148411397406</v>
      </c>
      <c r="AE495" s="12">
        <v>0.36963831528139968</v>
      </c>
      <c r="AF495" s="17"/>
      <c r="AG495">
        <v>493</v>
      </c>
      <c r="AH495">
        <v>5</v>
      </c>
      <c r="AI495">
        <v>37</v>
      </c>
      <c r="AJ495">
        <v>20</v>
      </c>
      <c r="AK495">
        <v>9</v>
      </c>
    </row>
    <row r="496" spans="1:37" x14ac:dyDescent="0.25">
      <c r="A496">
        <v>494</v>
      </c>
      <c r="B496" t="s">
        <v>192</v>
      </c>
      <c r="C496" t="s">
        <v>230</v>
      </c>
      <c r="D496" t="s">
        <v>222</v>
      </c>
      <c r="E496" t="s">
        <v>210</v>
      </c>
      <c r="F496">
        <v>10</v>
      </c>
      <c r="G496">
        <v>2</v>
      </c>
      <c r="H496" s="17"/>
      <c r="I496" s="1">
        <v>114.88672284814943</v>
      </c>
      <c r="J496" s="1">
        <v>96.477710238273431</v>
      </c>
      <c r="K496" s="1">
        <v>211.36443308642288</v>
      </c>
      <c r="L496" s="1">
        <v>0.54354803772105997</v>
      </c>
      <c r="M496" s="1">
        <v>0.45645196227893997</v>
      </c>
      <c r="N496" s="19"/>
      <c r="O496" s="1">
        <v>91.595516915509805</v>
      </c>
      <c r="P496" s="1">
        <v>101.05428356103843</v>
      </c>
      <c r="Q496" s="1">
        <v>192.64980047654825</v>
      </c>
      <c r="R496" s="1">
        <v>0.47545087868730995</v>
      </c>
      <c r="S496" s="1">
        <v>0.52454912131269005</v>
      </c>
      <c r="T496" s="19"/>
      <c r="U496" s="1">
        <v>0.70304508192177118</v>
      </c>
      <c r="V496" s="1">
        <v>0.29695491807822882</v>
      </c>
      <c r="W496" s="1">
        <v>1.0840000000000001</v>
      </c>
      <c r="X496" s="1">
        <v>-8.4000000000000075E-2</v>
      </c>
      <c r="Y496" s="17"/>
      <c r="Z496" s="12">
        <v>3.8095491807822892</v>
      </c>
      <c r="AA496" s="12">
        <v>-3.8095491807822892</v>
      </c>
      <c r="AB496" s="12">
        <v>1.7388761989662043</v>
      </c>
      <c r="AC496" s="12">
        <v>2.0706729818160849</v>
      </c>
      <c r="AD496" s="12">
        <v>-1.8112535054054613</v>
      </c>
      <c r="AE496" s="12">
        <v>-1.998295675376828</v>
      </c>
      <c r="AF496" s="17"/>
      <c r="AG496">
        <v>494</v>
      </c>
      <c r="AH496">
        <v>5</v>
      </c>
      <c r="AI496">
        <v>31</v>
      </c>
      <c r="AJ496">
        <v>37</v>
      </c>
      <c r="AK496">
        <v>22</v>
      </c>
    </row>
    <row r="497" spans="1:37" x14ac:dyDescent="0.25">
      <c r="A497">
        <v>495</v>
      </c>
      <c r="B497" t="s">
        <v>192</v>
      </c>
      <c r="C497" t="s">
        <v>230</v>
      </c>
      <c r="D497" t="s">
        <v>222</v>
      </c>
      <c r="E497" t="s">
        <v>210</v>
      </c>
      <c r="F497">
        <v>10</v>
      </c>
      <c r="G497">
        <v>7</v>
      </c>
      <c r="H497" s="17"/>
      <c r="I497" s="1">
        <v>116.62559904711564</v>
      </c>
      <c r="J497" s="1">
        <v>98.548383220089519</v>
      </c>
      <c r="K497" s="1">
        <v>215.17398226720516</v>
      </c>
      <c r="L497" s="1">
        <v>0.54200604468196734</v>
      </c>
      <c r="M497" s="1">
        <v>0.45799395531803266</v>
      </c>
      <c r="N497" s="19"/>
      <c r="O497" s="1">
        <v>89.784263410104344</v>
      </c>
      <c r="P497" s="1">
        <v>99.055987885661608</v>
      </c>
      <c r="Q497" s="1">
        <v>188.84025129576594</v>
      </c>
      <c r="R497" s="1">
        <v>0.47545087868731001</v>
      </c>
      <c r="S497" s="1">
        <v>0.52454912131269005</v>
      </c>
      <c r="T497" s="19"/>
      <c r="U497" s="1">
        <v>0.77077865361894005</v>
      </c>
      <c r="V497" s="1">
        <v>0.22922134638106001</v>
      </c>
      <c r="W497" s="1">
        <v>0.59525000000000006</v>
      </c>
      <c r="X497" s="1">
        <v>0.40475</v>
      </c>
      <c r="Y497" s="17"/>
      <c r="Z497" s="12">
        <v>-1.7552865361893999</v>
      </c>
      <c r="AA497" s="12">
        <v>1.7552865361893999</v>
      </c>
      <c r="AB497" s="12">
        <v>-0.95137591276352751</v>
      </c>
      <c r="AC497" s="12">
        <v>-0.80391062342587238</v>
      </c>
      <c r="AD497" s="12">
        <v>0.920734010210145</v>
      </c>
      <c r="AE497" s="12">
        <v>0.83455252597925489</v>
      </c>
      <c r="AF497" s="17"/>
      <c r="AG497">
        <v>495</v>
      </c>
      <c r="AH497">
        <v>5</v>
      </c>
      <c r="AI497">
        <v>31</v>
      </c>
      <c r="AJ497">
        <v>37</v>
      </c>
      <c r="AK497">
        <v>22</v>
      </c>
    </row>
    <row r="498" spans="1:37" x14ac:dyDescent="0.25">
      <c r="A498">
        <v>496</v>
      </c>
      <c r="B498" t="s">
        <v>192</v>
      </c>
      <c r="C498" t="s">
        <v>196</v>
      </c>
      <c r="D498" t="s">
        <v>227</v>
      </c>
      <c r="E498" t="s">
        <v>231</v>
      </c>
      <c r="F498">
        <v>10</v>
      </c>
      <c r="G498">
        <v>7</v>
      </c>
      <c r="H498" s="17"/>
      <c r="I498" s="1">
        <v>115.67422313435212</v>
      </c>
      <c r="J498" s="1">
        <v>94.973099912141222</v>
      </c>
      <c r="K498" s="1">
        <v>210.64732304649334</v>
      </c>
      <c r="L498" s="1">
        <v>0.54913692451159657</v>
      </c>
      <c r="M498" s="1">
        <v>0.45086307548840338</v>
      </c>
      <c r="N498" s="19"/>
      <c r="O498" s="1">
        <v>110.98958600736641</v>
      </c>
      <c r="P498" s="1">
        <v>106.9653861211262</v>
      </c>
      <c r="Q498" s="1">
        <v>217.95497212849261</v>
      </c>
      <c r="R498" s="1">
        <v>0.50923172306403686</v>
      </c>
      <c r="S498" s="1">
        <v>0.4907682769359632</v>
      </c>
      <c r="T498" s="19"/>
      <c r="U498" s="1">
        <v>0.41665270557386064</v>
      </c>
      <c r="V498" s="1">
        <v>0.58334729442613931</v>
      </c>
      <c r="W498" s="1">
        <v>0.59525000000000006</v>
      </c>
      <c r="X498" s="1">
        <v>0.40475</v>
      </c>
      <c r="Y498" s="17"/>
      <c r="Z498" s="12">
        <v>1.7859729442613941</v>
      </c>
      <c r="AA498" s="12">
        <v>-1.7859729442613932</v>
      </c>
      <c r="AB498" s="12">
        <v>0.80522925438877102</v>
      </c>
      <c r="AC498" s="12">
        <v>0.98074368987262328</v>
      </c>
      <c r="AD498" s="12">
        <v>-0.90947407975198036</v>
      </c>
      <c r="AE498" s="12">
        <v>-0.87649886450941294</v>
      </c>
      <c r="AF498" s="17"/>
      <c r="AG498">
        <v>496</v>
      </c>
      <c r="AH498">
        <v>5</v>
      </c>
      <c r="AI498">
        <v>9</v>
      </c>
      <c r="AJ498">
        <v>46</v>
      </c>
      <c r="AK498">
        <v>38</v>
      </c>
    </row>
    <row r="499" spans="1:37" x14ac:dyDescent="0.25">
      <c r="A499">
        <v>497</v>
      </c>
      <c r="B499" t="s">
        <v>192</v>
      </c>
      <c r="C499" t="s">
        <v>196</v>
      </c>
      <c r="D499" t="s">
        <v>227</v>
      </c>
      <c r="E499" t="s">
        <v>231</v>
      </c>
      <c r="F499">
        <v>1</v>
      </c>
      <c r="G499">
        <v>10</v>
      </c>
      <c r="H499" s="17"/>
      <c r="I499" s="1">
        <v>116.4794523887409</v>
      </c>
      <c r="J499" s="1">
        <v>95.953843602013848</v>
      </c>
      <c r="K499" s="1">
        <v>212.43329599075474</v>
      </c>
      <c r="L499" s="1">
        <v>0.54831071487875505</v>
      </c>
      <c r="M499" s="1">
        <v>0.45168928512124495</v>
      </c>
      <c r="N499" s="19"/>
      <c r="O499" s="1">
        <v>110.08011192761444</v>
      </c>
      <c r="P499" s="1">
        <v>106.08888725661679</v>
      </c>
      <c r="Q499" s="1">
        <v>216.16899918423121</v>
      </c>
      <c r="R499" s="1">
        <v>0.50923172306403686</v>
      </c>
      <c r="S499" s="1">
        <v>0.4907682769359632</v>
      </c>
      <c r="T499" s="19"/>
      <c r="U499" s="1">
        <v>0.45709688953729033</v>
      </c>
      <c r="V499" s="1">
        <v>0.54290311046270967</v>
      </c>
      <c r="W499" s="1">
        <v>-0.27175000000000005</v>
      </c>
      <c r="X499" s="1">
        <v>1.2717499999999999</v>
      </c>
      <c r="Y499" s="17"/>
      <c r="Z499" s="12">
        <v>-7.2884688953729038</v>
      </c>
      <c r="AA499" s="12">
        <v>7.2884688953729029</v>
      </c>
      <c r="AB499" s="12">
        <v>-3.9963455903934868</v>
      </c>
      <c r="AC499" s="12">
        <v>-3.292123304979417</v>
      </c>
      <c r="AD499" s="12">
        <v>3.5769493212835224</v>
      </c>
      <c r="AE499" s="12">
        <v>3.7115195740893805</v>
      </c>
      <c r="AF499" s="17"/>
      <c r="AG499">
        <v>497</v>
      </c>
      <c r="AH499">
        <v>5</v>
      </c>
      <c r="AI499">
        <v>9</v>
      </c>
      <c r="AJ499">
        <v>46</v>
      </c>
      <c r="AK499">
        <v>38</v>
      </c>
    </row>
    <row r="500" spans="1:37" x14ac:dyDescent="0.25">
      <c r="A500">
        <v>498</v>
      </c>
      <c r="B500" t="s">
        <v>225</v>
      </c>
      <c r="C500" t="s">
        <v>230</v>
      </c>
      <c r="D500" t="s">
        <v>190</v>
      </c>
      <c r="E500" t="s">
        <v>200</v>
      </c>
      <c r="F500">
        <v>7</v>
      </c>
      <c r="G500">
        <v>10</v>
      </c>
      <c r="H500" s="17"/>
      <c r="I500" s="1">
        <v>99.132751748821036</v>
      </c>
      <c r="J500" s="1">
        <v>97.744472596663641</v>
      </c>
      <c r="K500" s="1">
        <v>196.87722434548468</v>
      </c>
      <c r="L500" s="1">
        <v>0.50352574848810649</v>
      </c>
      <c r="M500" s="1">
        <v>0.49647425151189351</v>
      </c>
      <c r="N500" s="19"/>
      <c r="O500" s="1">
        <v>101.98773281897593</v>
      </c>
      <c r="P500" s="1">
        <v>99.646298751507061</v>
      </c>
      <c r="Q500" s="1">
        <v>201.63403157048299</v>
      </c>
      <c r="R500" s="1">
        <v>0.50580614802281132</v>
      </c>
      <c r="S500" s="1">
        <v>0.49419385197718868</v>
      </c>
      <c r="T500" s="19"/>
      <c r="U500" s="1">
        <v>0.44545318630777569</v>
      </c>
      <c r="V500" s="1">
        <v>0.55454681369222425</v>
      </c>
      <c r="W500" s="1">
        <v>0.40475</v>
      </c>
      <c r="X500" s="1">
        <v>0.59525000000000006</v>
      </c>
      <c r="Y500" s="17"/>
      <c r="Z500" s="12">
        <v>-0.40703186307775696</v>
      </c>
      <c r="AA500" s="12">
        <v>0.40703186307775807</v>
      </c>
      <c r="AB500" s="12">
        <v>-0.20495102351473604</v>
      </c>
      <c r="AC500" s="12">
        <v>-0.20208083956302092</v>
      </c>
      <c r="AD500" s="12">
        <v>0.2011526442918489</v>
      </c>
      <c r="AE500" s="12">
        <v>0.20587921878590917</v>
      </c>
      <c r="AF500" s="17"/>
      <c r="AG500">
        <v>498</v>
      </c>
      <c r="AH500">
        <v>41</v>
      </c>
      <c r="AI500">
        <v>31</v>
      </c>
      <c r="AJ500">
        <v>2</v>
      </c>
      <c r="AK500">
        <v>12</v>
      </c>
    </row>
    <row r="501" spans="1:37" x14ac:dyDescent="0.25">
      <c r="A501">
        <v>499</v>
      </c>
      <c r="B501" t="s">
        <v>225</v>
      </c>
      <c r="C501" t="s">
        <v>230</v>
      </c>
      <c r="D501" t="s">
        <v>190</v>
      </c>
      <c r="E501" t="s">
        <v>200</v>
      </c>
      <c r="F501">
        <v>6</v>
      </c>
      <c r="G501">
        <v>10</v>
      </c>
      <c r="H501" s="17"/>
      <c r="I501" s="1">
        <v>98.927800725306298</v>
      </c>
      <c r="J501" s="1">
        <v>97.542391757100617</v>
      </c>
      <c r="K501" s="1">
        <v>196.4701924824069</v>
      </c>
      <c r="L501" s="1">
        <v>0.50352574848810649</v>
      </c>
      <c r="M501" s="1">
        <v>0.49647425151189351</v>
      </c>
      <c r="N501" s="19"/>
      <c r="O501" s="1">
        <v>102.18888546326778</v>
      </c>
      <c r="P501" s="1">
        <v>99.852177970292971</v>
      </c>
      <c r="Q501" s="1">
        <v>202.04106343356074</v>
      </c>
      <c r="R501" s="1">
        <v>0.50578275389483685</v>
      </c>
      <c r="S501" s="1">
        <v>0.49421724610516315</v>
      </c>
      <c r="T501" s="19"/>
      <c r="U501" s="1">
        <v>0.43621245311881335</v>
      </c>
      <c r="V501" s="1">
        <v>0.56378754688118682</v>
      </c>
      <c r="W501" s="1">
        <v>0.35199999999999998</v>
      </c>
      <c r="X501" s="1">
        <v>0.64800000000000002</v>
      </c>
      <c r="Y501" s="17"/>
      <c r="Z501" s="12">
        <v>-0.84212453118813368</v>
      </c>
      <c r="AA501" s="12">
        <v>0.84212453118813202</v>
      </c>
      <c r="AB501" s="12">
        <v>-0.42403138488670078</v>
      </c>
      <c r="AC501" s="12">
        <v>-0.41809314630143291</v>
      </c>
      <c r="AD501" s="12">
        <v>0.4161924666814002</v>
      </c>
      <c r="AE501" s="12">
        <v>0.42593206450673182</v>
      </c>
      <c r="AF501" s="17"/>
      <c r="AG501">
        <v>499</v>
      </c>
      <c r="AH501">
        <v>41</v>
      </c>
      <c r="AI501">
        <v>31</v>
      </c>
      <c r="AJ501">
        <v>2</v>
      </c>
      <c r="AK501">
        <v>12</v>
      </c>
    </row>
    <row r="502" spans="1:37" x14ac:dyDescent="0.25">
      <c r="A502">
        <v>500</v>
      </c>
      <c r="B502" t="s">
        <v>231</v>
      </c>
      <c r="C502" t="s">
        <v>212</v>
      </c>
      <c r="D502" t="s">
        <v>200</v>
      </c>
      <c r="E502" t="s">
        <v>190</v>
      </c>
      <c r="F502">
        <v>5</v>
      </c>
      <c r="G502">
        <v>10</v>
      </c>
      <c r="H502" s="17"/>
      <c r="I502" s="1">
        <v>109.80040683070617</v>
      </c>
      <c r="J502" s="1">
        <v>88.223835716342776</v>
      </c>
      <c r="K502" s="1">
        <v>198.02424254704894</v>
      </c>
      <c r="L502" s="1">
        <v>0.55447962036576648</v>
      </c>
      <c r="M502" s="1">
        <v>0.44552037963423347</v>
      </c>
      <c r="N502" s="19"/>
      <c r="O502" s="1">
        <v>100.2781100347997</v>
      </c>
      <c r="P502" s="1">
        <v>102.60507792994918</v>
      </c>
      <c r="Q502" s="1">
        <v>202.88318796474886</v>
      </c>
      <c r="R502" s="1">
        <v>0.49426525204357058</v>
      </c>
      <c r="S502" s="1">
        <v>0.50573474795642948</v>
      </c>
      <c r="T502" s="19"/>
      <c r="U502" s="1">
        <v>0.44429157207438225</v>
      </c>
      <c r="V502" s="1">
        <v>0.5557084279256177</v>
      </c>
      <c r="W502" s="1">
        <v>0.28125</v>
      </c>
      <c r="X502" s="1">
        <v>0.71875</v>
      </c>
      <c r="Y502" s="17"/>
      <c r="Z502" s="12">
        <v>-1.6304157207438226</v>
      </c>
      <c r="AA502" s="12">
        <v>1.630415720743823</v>
      </c>
      <c r="AB502" s="12">
        <v>-0.90403228987641226</v>
      </c>
      <c r="AC502" s="12">
        <v>-0.7263834308674102</v>
      </c>
      <c r="AD502" s="12">
        <v>0.82455788359457749</v>
      </c>
      <c r="AE502" s="12">
        <v>0.80585783714924542</v>
      </c>
      <c r="AF502" s="17"/>
      <c r="AG502">
        <v>500</v>
      </c>
      <c r="AH502">
        <v>38</v>
      </c>
      <c r="AI502">
        <v>26</v>
      </c>
      <c r="AJ502">
        <v>12</v>
      </c>
      <c r="AK502">
        <v>2</v>
      </c>
    </row>
    <row r="503" spans="1:37" x14ac:dyDescent="0.25">
      <c r="A503">
        <v>501</v>
      </c>
      <c r="B503" t="str">
        <f>Tabelle6[[#This Row],[player_A1]]</f>
        <v>Richard_D</v>
      </c>
      <c r="C503" t="str">
        <f>Tabelle6[[#This Row],[player_A2]]</f>
        <v>Marvin_W</v>
      </c>
      <c r="D503" t="str">
        <f>Tabelle6[[#This Row],[player_B1]]</f>
        <v>Daniel_D</v>
      </c>
      <c r="E503" t="str">
        <f>Tabelle6[[#This Row],[player_B2]]</f>
        <v>Hannes_S</v>
      </c>
      <c r="F503">
        <f>Tabelle6[[#This Row],[Tore A]]</f>
        <v>4</v>
      </c>
      <c r="G503">
        <f>Tabelle6[[#This Row],[Tore B]]</f>
        <v>10</v>
      </c>
      <c r="H503" s="17"/>
      <c r="I503" s="1">
        <f>INDEX(Tabelle11[#All],(Tabelle12[[#This Row],[Spiel]]+13),Tabelle12[[#This Row],[ID A1]])</f>
        <v>108.89637454082975</v>
      </c>
      <c r="J503" s="1">
        <f>INDEX(Tabelle11[#All],(Tabelle12[[#This Row],[Spiel]]+13),Tabelle12[[#This Row],[ID A2]])</f>
        <v>97.124298610799187</v>
      </c>
      <c r="K503" s="1">
        <f>SUM(Tabelle12[[#This Row],[ELO vorher A1]:[ELO vorher A2]])</f>
        <v>206.02067315162896</v>
      </c>
      <c r="L503" s="1">
        <f>Tabelle12[[#This Row],[ELO vorher A1]]/Tabelle12[[#This Row],[ELO A gesamt]]</f>
        <v>0.52857013267150732</v>
      </c>
      <c r="M503" s="1">
        <f>Tabelle12[[#This Row],[ELO vorher A2]]/Tabelle12[[#This Row],[ELO A gesamt]]</f>
        <v>0.47142986732849268</v>
      </c>
      <c r="N503" s="19"/>
      <c r="O503" s="1">
        <f>INDEX(Tabelle11[#All],(Tabelle12[[#This Row],[Spiel]]+13),Tabelle12[[#This Row],[ID B1]])</f>
        <v>101.10266791839427</v>
      </c>
      <c r="P503" s="1">
        <f>INDEX(Tabelle11[#All],(Tabelle12[[#This Row],[Spiel]]+13),Tabelle12[[#This Row],[ID B2]])</f>
        <v>106.12534108319474</v>
      </c>
      <c r="Q503" s="1">
        <f>SUM(Tabelle12[[#This Row],[ELO vorher B1]:[ELO vorher B2]])</f>
        <v>207.22800900158902</v>
      </c>
      <c r="R503" s="1">
        <f>Tabelle12[[#This Row],[ELO vorher B1]]/Tabelle12[[#This Row],[ELO B gesamt]]</f>
        <v>0.48788128788912422</v>
      </c>
      <c r="S503" s="1">
        <f>Tabelle12[[#This Row],[ELO vorher B2]]/Tabelle12[[#This Row],[ELO B gesamt]]</f>
        <v>0.51211871211087578</v>
      </c>
      <c r="T503" s="19"/>
      <c r="U503" s="1">
        <f>1/(1+Ergebnisvorhersage!$C$5^((Q503-K503)/Ergebnisvorhersage!$C$6))</f>
        <v>0.48610361204195374</v>
      </c>
      <c r="V503" s="1">
        <f>1/(1+Ergebnisvorhersage!$C$5^((K503-Q503)/Ergebnisvorhersage!$C$6))</f>
        <v>0.51389638795804626</v>
      </c>
      <c r="W503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0.18799999999999994</v>
      </c>
      <c r="X503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0.81200000000000006</v>
      </c>
      <c r="Y503" s="17"/>
      <c r="Z503" s="12">
        <f>Ergebnisbewertung!$C$5*(W503-U503)</f>
        <v>-2.9810361204195379</v>
      </c>
      <c r="AA503" s="12">
        <f>Ergebnisbewertung!$C$5*(X503-V503)</f>
        <v>2.9810361204195379</v>
      </c>
      <c r="AB503" s="12">
        <f>IF(SIGN(Tabelle12[[#This Row],[Änderung A]])=-1,Tabelle12[[#This Row],[Änderung A]]*(Tabelle12[[#This Row],[Anteil A1]]),Tabelle12[[#This Row],[Änderung A]]*(1-Tabelle12[[#This Row],[Anteil A1]]))</f>
        <v>-1.5756866576687105</v>
      </c>
      <c r="AC503" s="12">
        <f>IF(SIGN(Tabelle12[[#This Row],[Änderung A]])=-1,Tabelle12[[#This Row],[Änderung A]]*(Tabelle12[[#This Row],[Anteil A2]]),Tabelle12[[#This Row],[Änderung A]]*(1-Tabelle12[[#This Row],[Anteil A2]]))</f>
        <v>-1.4053494627508274</v>
      </c>
      <c r="AD503" s="12">
        <f>IF(SIGN(Tabelle12[[#This Row],[Änderung B]])=-1,Tabelle12[[#This Row],[Änderung B]]*(Tabelle12[[#This Row],[Anteil B1]]),Tabelle12[[#This Row],[Änderung B]]*(1-Tabelle12[[#This Row],[Anteil B1]]))</f>
        <v>1.5266443787452553</v>
      </c>
      <c r="AE503" s="12">
        <f>IF(SIGN(Tabelle12[[#This Row],[Änderung B]])=-1,Tabelle12[[#This Row],[Änderung B]]*(Tabelle12[[#This Row],[Anteil B2]]),Tabelle12[[#This Row],[Änderung B]]*(1-Tabelle12[[#This Row],[Anteil B2]]))</f>
        <v>1.4543917416742826</v>
      </c>
      <c r="AF503" s="17"/>
      <c r="AG503">
        <f>IF(IFERROR(Tabelle12[[#This Row],[Änderung B2]],0)=0,0,Tabelle12[[#This Row],[Spiel]])</f>
        <v>501</v>
      </c>
      <c r="AH503">
        <f>MATCH(Tabelle12[[#This Row],[Team A]],SpielerDaten!$1:$1,0)</f>
        <v>38</v>
      </c>
      <c r="AI503">
        <f>MATCH(Tabelle12[[#This Row],[Team A2]],SpielerDaten!$1:$1,0)</f>
        <v>31</v>
      </c>
      <c r="AJ503">
        <f>MATCH(Tabelle12[[#This Row],[Team B]],SpielerDaten!$1:$1,0)</f>
        <v>12</v>
      </c>
      <c r="AK503">
        <f>MATCH(Tabelle12[[#This Row],[Team B3]],SpielerDaten!$1:$1,0)</f>
        <v>19</v>
      </c>
    </row>
    <row r="504" spans="1:37" x14ac:dyDescent="0.25">
      <c r="A504">
        <v>502</v>
      </c>
      <c r="B504" t="str">
        <f>Tabelle6[[#This Row],[player_A1]]</f>
        <v>Richard_D</v>
      </c>
      <c r="C504" t="str">
        <f>Tabelle6[[#This Row],[player_A2]]</f>
        <v>Marvin_W</v>
      </c>
      <c r="D504" t="str">
        <f>Tabelle6[[#This Row],[player_B1]]</f>
        <v>Daniel_D</v>
      </c>
      <c r="E504" t="str">
        <f>Tabelle6[[#This Row],[player_B2]]</f>
        <v>Hannes_S</v>
      </c>
      <c r="F504">
        <f>Tabelle6[[#This Row],[Tore A]]</f>
        <v>10</v>
      </c>
      <c r="G504">
        <f>Tabelle6[[#This Row],[Tore B]]</f>
        <v>4</v>
      </c>
      <c r="H504" s="17"/>
      <c r="I504" s="1">
        <f>INDEX(Tabelle11[#All],(Tabelle12[[#This Row],[Spiel]]+13),Tabelle12[[#This Row],[ID A1]])</f>
        <v>107.32068788316104</v>
      </c>
      <c r="J504" s="1">
        <f>INDEX(Tabelle11[#All],(Tabelle12[[#This Row],[Spiel]]+13),Tabelle12[[#This Row],[ID A2]])</f>
        <v>95.718949148048353</v>
      </c>
      <c r="K504" s="1">
        <f>SUM(Tabelle12[[#This Row],[ELO vorher A1]:[ELO vorher A2]])</f>
        <v>203.03963703120939</v>
      </c>
      <c r="L504" s="1">
        <f>Tabelle12[[#This Row],[ELO vorher A1]]/Tabelle12[[#This Row],[ELO A gesamt]]</f>
        <v>0.52857013267150732</v>
      </c>
      <c r="M504" s="1">
        <f>Tabelle12[[#This Row],[ELO vorher A2]]/Tabelle12[[#This Row],[ELO A gesamt]]</f>
        <v>0.47142986732849268</v>
      </c>
      <c r="N504" s="19"/>
      <c r="O504" s="1">
        <f>INDEX(Tabelle11[#All],(Tabelle12[[#This Row],[Spiel]]+13),Tabelle12[[#This Row],[ID B1]])</f>
        <v>102.62931229713953</v>
      </c>
      <c r="P504" s="1">
        <f>INDEX(Tabelle11[#All],(Tabelle12[[#This Row],[Spiel]]+13),Tabelle12[[#This Row],[ID B2]])</f>
        <v>107.57973282486903</v>
      </c>
      <c r="Q504" s="1">
        <f>SUM(Tabelle12[[#This Row],[ELO vorher B1]:[ELO vorher B2]])</f>
        <v>210.20904512200855</v>
      </c>
      <c r="R504" s="1">
        <f>Tabelle12[[#This Row],[ELO vorher B1]]/Tabelle12[[#This Row],[ELO B gesamt]]</f>
        <v>0.4882250059105302</v>
      </c>
      <c r="S504" s="1">
        <f>Tabelle12[[#This Row],[ELO vorher B2]]/Tabelle12[[#This Row],[ELO B gesamt]]</f>
        <v>0.5117749940894698</v>
      </c>
      <c r="T504" s="19"/>
      <c r="U504" s="1">
        <f>1/(1+Ergebnisvorhersage!$C$5^((Q504-K504)/Ergebnisvorhersage!$C$6))</f>
        <v>0.41820085526880185</v>
      </c>
      <c r="V504" s="1">
        <f>1/(1+Ergebnisvorhersage!$C$5^((K504-Q504)/Ergebnisvorhersage!$C$6))</f>
        <v>0.58179914473119809</v>
      </c>
      <c r="W504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0.81200000000000006</v>
      </c>
      <c r="X504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0.18799999999999994</v>
      </c>
      <c r="Y504" s="17"/>
      <c r="Z504" s="12">
        <f>Ergebnisbewertung!$C$5*(W504-U504)</f>
        <v>3.9379914473119819</v>
      </c>
      <c r="AA504" s="12">
        <f>Ergebnisbewertung!$C$5*(X504-V504)</f>
        <v>-3.9379914473119815</v>
      </c>
      <c r="AB504" s="12">
        <f>IF(SIGN(Tabelle12[[#This Row],[Änderung A]])=-1,Tabelle12[[#This Row],[Änderung A]]*(Tabelle12[[#This Row],[Anteil A1]]),Tabelle12[[#This Row],[Änderung A]]*(1-Tabelle12[[#This Row],[Anteil A1]]))</f>
        <v>1.8564867855470264</v>
      </c>
      <c r="AC504" s="12">
        <f>IF(SIGN(Tabelle12[[#This Row],[Änderung A]])=-1,Tabelle12[[#This Row],[Änderung A]]*(Tabelle12[[#This Row],[Anteil A2]]),Tabelle12[[#This Row],[Änderung A]]*(1-Tabelle12[[#This Row],[Anteil A2]]))</f>
        <v>2.0815046617649555</v>
      </c>
      <c r="AD504" s="12">
        <f>IF(SIGN(Tabelle12[[#This Row],[Änderung B]])=-1,Tabelle12[[#This Row],[Änderung B]]*(Tabelle12[[#This Row],[Anteil B1]]),Tabelle12[[#This Row],[Änderung B]]*(1-Tabelle12[[#This Row],[Anteil B1]]))</f>
        <v>-1.9226258976395094</v>
      </c>
      <c r="AE504" s="12">
        <f>IF(SIGN(Tabelle12[[#This Row],[Änderung B]])=-1,Tabelle12[[#This Row],[Änderung B]]*(Tabelle12[[#This Row],[Anteil B2]]),Tabelle12[[#This Row],[Änderung B]]*(1-Tabelle12[[#This Row],[Anteil B2]]))</f>
        <v>-2.0153655496724721</v>
      </c>
      <c r="AF504" s="17"/>
      <c r="AG504">
        <f>IF(IFERROR(Tabelle12[[#This Row],[Änderung B2]],0)=0,0,Tabelle12[[#This Row],[Spiel]])</f>
        <v>502</v>
      </c>
      <c r="AH504">
        <f>MATCH(Tabelle12[[#This Row],[Team A]],SpielerDaten!$1:$1,0)</f>
        <v>38</v>
      </c>
      <c r="AI504">
        <f>MATCH(Tabelle12[[#This Row],[Team A2]],SpielerDaten!$1:$1,0)</f>
        <v>31</v>
      </c>
      <c r="AJ504">
        <f>MATCH(Tabelle12[[#This Row],[Team B]],SpielerDaten!$1:$1,0)</f>
        <v>12</v>
      </c>
      <c r="AK504">
        <f>MATCH(Tabelle12[[#This Row],[Team B3]],SpielerDaten!$1:$1,0)</f>
        <v>19</v>
      </c>
    </row>
    <row r="505" spans="1:37" x14ac:dyDescent="0.25">
      <c r="A505">
        <v>503</v>
      </c>
      <c r="B505" t="str">
        <f>Tabelle6[[#This Row],[player_A1]]</f>
        <v>Anton_K</v>
      </c>
      <c r="C505" t="str">
        <f>Tabelle6[[#This Row],[player_A2]]</f>
        <v>Dmitrij_M</v>
      </c>
      <c r="D505" t="str">
        <f>Tabelle6[[#This Row],[player_B1]]</f>
        <v>Lukas_L</v>
      </c>
      <c r="E505" t="str">
        <f>Tabelle6[[#This Row],[player_B2]]</f>
        <v>Michael_D</v>
      </c>
      <c r="F505">
        <f>Tabelle6[[#This Row],[Tore A]]</f>
        <v>10</v>
      </c>
      <c r="G505">
        <f>Tabelle6[[#This Row],[Tore B]]</f>
        <v>6</v>
      </c>
      <c r="H505" s="17"/>
      <c r="I505" s="1">
        <f>INDEX(Tabelle11[#All],(Tabelle12[[#This Row],[Spiel]]+13),Tabelle12[[#This Row],[ID A1]])</f>
        <v>97.69521325787963</v>
      </c>
      <c r="J505" s="1">
        <f>INDEX(Tabelle11[#All],(Tabelle12[[#This Row],[Spiel]]+13),Tabelle12[[#This Row],[ID A2]])</f>
        <v>100</v>
      </c>
      <c r="K505" s="1">
        <f>SUM(Tabelle12[[#This Row],[ELO vorher A1]:[ELO vorher A2]])</f>
        <v>197.69521325787963</v>
      </c>
      <c r="L505" s="1">
        <f>Tabelle12[[#This Row],[ELO vorher A1]]/Tabelle12[[#This Row],[ELO A gesamt]]</f>
        <v>0.49417085850451536</v>
      </c>
      <c r="M505" s="1">
        <f>Tabelle12[[#This Row],[ELO vorher A2]]/Tabelle12[[#This Row],[ELO A gesamt]]</f>
        <v>0.50582914149548464</v>
      </c>
      <c r="N505" s="19"/>
      <c r="O505" s="1">
        <f>INDEX(Tabelle11[#All],(Tabelle12[[#This Row],[Spiel]]+13),Tabelle12[[#This Row],[ID B1]])</f>
        <v>98.266050774928644</v>
      </c>
      <c r="P505" s="1">
        <f>INDEX(Tabelle11[#All],(Tabelle12[[#This Row],[Spiel]]+13),Tabelle12[[#This Row],[ID B2]])</f>
        <v>98.032421129119911</v>
      </c>
      <c r="Q505" s="1">
        <f>SUM(Tabelle12[[#This Row],[ELO vorher B1]:[ELO vorher B2]])</f>
        <v>196.29847190404854</v>
      </c>
      <c r="R505" s="1">
        <f>Tabelle12[[#This Row],[ELO vorher B1]]/Tabelle12[[#This Row],[ELO B gesamt]]</f>
        <v>0.50059508778530626</v>
      </c>
      <c r="S505" s="1">
        <f>Tabelle12[[#This Row],[ELO vorher B2]]/Tabelle12[[#This Row],[ELO B gesamt]]</f>
        <v>0.49940491221469385</v>
      </c>
      <c r="T505" s="19"/>
      <c r="U505" s="1">
        <f>1/(1+Ergebnisvorhersage!$C$5^((Q505-K505)/Ergebnisvorhersage!$C$6))</f>
        <v>0.51607503713081893</v>
      </c>
      <c r="V505" s="1">
        <f>1/(1+Ergebnisvorhersage!$C$5^((K505-Q505)/Ergebnisvorhersage!$C$6))</f>
        <v>0.48392496286918113</v>
      </c>
      <c r="W505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0.64800000000000002</v>
      </c>
      <c r="X505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0.35199999999999998</v>
      </c>
      <c r="Y505" s="17"/>
      <c r="Z505" s="12">
        <f>Ergebnisbewertung!$C$5*(W505-U505)</f>
        <v>1.3192496286918109</v>
      </c>
      <c r="AA505" s="12">
        <f>Ergebnisbewertung!$C$5*(X505-V505)</f>
        <v>-1.3192496286918116</v>
      </c>
      <c r="AB505" s="12">
        <f>IF(SIGN(Tabelle12[[#This Row],[Änderung A]])=-1,Tabelle12[[#This Row],[Änderung A]]*(Tabelle12[[#This Row],[Anteil A1]]),Tabelle12[[#This Row],[Änderung A]]*(1-Tabelle12[[#This Row],[Anteil A1]]))</f>
        <v>0.66731490709941566</v>
      </c>
      <c r="AC505" s="12">
        <f>IF(SIGN(Tabelle12[[#This Row],[Änderung A]])=-1,Tabelle12[[#This Row],[Änderung A]]*(Tabelle12[[#This Row],[Anteil A2]]),Tabelle12[[#This Row],[Änderung A]]*(1-Tabelle12[[#This Row],[Anteil A2]]))</f>
        <v>0.65193472159239529</v>
      </c>
      <c r="AD505" s="12">
        <f>IF(SIGN(Tabelle12[[#This Row],[Änderung B]])=-1,Tabelle12[[#This Row],[Änderung B]]*(Tabelle12[[#This Row],[Anteil B1]]),Tabelle12[[#This Row],[Änderung B]]*(1-Tabelle12[[#This Row],[Anteil B1]]))</f>
        <v>-0.66040988368571008</v>
      </c>
      <c r="AE505" s="12">
        <f>IF(SIGN(Tabelle12[[#This Row],[Änderung B]])=-1,Tabelle12[[#This Row],[Änderung B]]*(Tabelle12[[#This Row],[Anteil B2]]),Tabelle12[[#This Row],[Änderung B]]*(1-Tabelle12[[#This Row],[Anteil B2]]))</f>
        <v>-0.65883974500610165</v>
      </c>
      <c r="AF505" s="17"/>
      <c r="AG505">
        <f>IF(IFERROR(Tabelle12[[#This Row],[Änderung B2]],0)=0,0,Tabelle12[[#This Row],[Spiel]])</f>
        <v>503</v>
      </c>
      <c r="AH505">
        <f>MATCH(Tabelle12[[#This Row],[Team A]],SpielerDaten!$1:$1,0)</f>
        <v>4</v>
      </c>
      <c r="AI505">
        <f>MATCH(Tabelle12[[#This Row],[Team A2]],SpielerDaten!$1:$1,0)</f>
        <v>17</v>
      </c>
      <c r="AJ505">
        <f>MATCH(Tabelle12[[#This Row],[Team B]],SpielerDaten!$1:$1,0)</f>
        <v>27</v>
      </c>
      <c r="AK505">
        <f>MATCH(Tabelle12[[#This Row],[Team B3]],SpielerDaten!$1:$1,0)</f>
        <v>33</v>
      </c>
    </row>
    <row r="506" spans="1:37" x14ac:dyDescent="0.25">
      <c r="A506">
        <v>504</v>
      </c>
      <c r="B506" t="str">
        <f>Tabelle6[[#This Row],[player_A1]]</f>
        <v>Anton_K</v>
      </c>
      <c r="C506" t="str">
        <f>Tabelle6[[#This Row],[player_A2]]</f>
        <v>Dmitrij_M</v>
      </c>
      <c r="D506" t="str">
        <f>Tabelle6[[#This Row],[player_B1]]</f>
        <v>Lukas_L</v>
      </c>
      <c r="E506" t="str">
        <f>Tabelle6[[#This Row],[player_B2]]</f>
        <v>Michael_D</v>
      </c>
      <c r="F506">
        <f>Tabelle6[[#This Row],[Tore A]]</f>
        <v>6</v>
      </c>
      <c r="G506">
        <f>Tabelle6[[#This Row],[Tore B]]</f>
        <v>4</v>
      </c>
      <c r="H506" s="17"/>
      <c r="I506" s="1">
        <f>INDEX(Tabelle11[#All],(Tabelle12[[#This Row],[Spiel]]+13),Tabelle12[[#This Row],[ID A1]])</f>
        <v>98.36252816497904</v>
      </c>
      <c r="J506" s="1">
        <f>INDEX(Tabelle11[#All],(Tabelle12[[#This Row],[Spiel]]+13),Tabelle12[[#This Row],[ID A2]])</f>
        <v>100.6519347215924</v>
      </c>
      <c r="K506" s="1">
        <f>SUM(Tabelle12[[#This Row],[ELO vorher A1]:[ELO vorher A2]])</f>
        <v>199.01446288657144</v>
      </c>
      <c r="L506" s="1">
        <f>Tabelle12[[#This Row],[ELO vorher A1]]/Tabelle12[[#This Row],[ELO A gesamt]]</f>
        <v>0.49424814025220315</v>
      </c>
      <c r="M506" s="1">
        <f>Tabelle12[[#This Row],[ELO vorher A2]]/Tabelle12[[#This Row],[ELO A gesamt]]</f>
        <v>0.50575185974779679</v>
      </c>
      <c r="N506" s="19"/>
      <c r="O506" s="1">
        <f>INDEX(Tabelle11[#All],(Tabelle12[[#This Row],[Spiel]]+13),Tabelle12[[#This Row],[ID B1]])</f>
        <v>97.605640891242928</v>
      </c>
      <c r="P506" s="1">
        <f>INDEX(Tabelle11[#All],(Tabelle12[[#This Row],[Spiel]]+13),Tabelle12[[#This Row],[ID B2]])</f>
        <v>97.373581384113805</v>
      </c>
      <c r="Q506" s="1">
        <f>SUM(Tabelle12[[#This Row],[ELO vorher B1]:[ELO vorher B2]])</f>
        <v>194.97922227535673</v>
      </c>
      <c r="R506" s="1">
        <f>Tabelle12[[#This Row],[ELO vorher B1]]/Tabelle12[[#This Row],[ELO B gesamt]]</f>
        <v>0.50059508778530615</v>
      </c>
      <c r="S506" s="1">
        <f>Tabelle12[[#This Row],[ELO vorher B2]]/Tabelle12[[#This Row],[ELO B gesamt]]</f>
        <v>0.49940491221469385</v>
      </c>
      <c r="T506" s="19"/>
      <c r="U506" s="1">
        <f>1/(1+Ergebnisvorhersage!$C$5^((Q506-K506)/Ergebnisvorhersage!$C$6))</f>
        <v>0.54632419285477352</v>
      </c>
      <c r="V506" s="1">
        <f>1/(1+Ergebnisvorhersage!$C$5^((K506-Q506)/Ergebnisvorhersage!$C$6))</f>
        <v>0.45367580714522654</v>
      </c>
      <c r="W506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0.55600000000000005</v>
      </c>
      <c r="X506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0.44400000000000001</v>
      </c>
      <c r="Y506" s="17"/>
      <c r="Z506" s="12">
        <f>Ergebnisbewertung!$C$5*(W506-U506)</f>
        <v>9.6758071452265337E-2</v>
      </c>
      <c r="AA506" s="12">
        <f>Ergebnisbewertung!$C$5*(X506-V506)</f>
        <v>-9.6758071452265337E-2</v>
      </c>
      <c r="AB506" s="12">
        <f>IF(SIGN(Tabelle12[[#This Row],[Änderung A]])=-1,Tabelle12[[#This Row],[Änderung A]]*(Tabelle12[[#This Row],[Anteil A1]]),Tabelle12[[#This Row],[Änderung A]]*(1-Tabelle12[[#This Row],[Anteil A1]]))</f>
        <v>4.89355745825934E-2</v>
      </c>
      <c r="AC506" s="12">
        <f>IF(SIGN(Tabelle12[[#This Row],[Änderung A]])=-1,Tabelle12[[#This Row],[Änderung A]]*(Tabelle12[[#This Row],[Anteil A2]]),Tabelle12[[#This Row],[Änderung A]]*(1-Tabelle12[[#This Row],[Anteil A2]]))</f>
        <v>4.7822496869671938E-2</v>
      </c>
      <c r="AD506" s="12">
        <f>IF(SIGN(Tabelle12[[#This Row],[Änderung B]])=-1,Tabelle12[[#This Row],[Änderung B]]*(Tabelle12[[#This Row],[Anteil B1]]),Tabelle12[[#This Row],[Änderung B]]*(1-Tabelle12[[#This Row],[Anteil B1]]))</f>
        <v>-4.8436615272583694E-2</v>
      </c>
      <c r="AE506" s="12">
        <f>IF(SIGN(Tabelle12[[#This Row],[Änderung B]])=-1,Tabelle12[[#This Row],[Änderung B]]*(Tabelle12[[#This Row],[Anteil B2]]),Tabelle12[[#This Row],[Änderung B]]*(1-Tabelle12[[#This Row],[Anteil B2]]))</f>
        <v>-4.8321456179681643E-2</v>
      </c>
      <c r="AF506" s="17"/>
      <c r="AG506">
        <f>IF(IFERROR(Tabelle12[[#This Row],[Änderung B2]],0)=0,0,Tabelle12[[#This Row],[Spiel]])</f>
        <v>504</v>
      </c>
      <c r="AH506">
        <f>MATCH(Tabelle12[[#This Row],[Team A]],SpielerDaten!$1:$1,0)</f>
        <v>4</v>
      </c>
      <c r="AI506">
        <f>MATCH(Tabelle12[[#This Row],[Team A2]],SpielerDaten!$1:$1,0)</f>
        <v>17</v>
      </c>
      <c r="AJ506">
        <f>MATCH(Tabelle12[[#This Row],[Team B]],SpielerDaten!$1:$1,0)</f>
        <v>27</v>
      </c>
      <c r="AK506">
        <f>MATCH(Tabelle12[[#This Row],[Team B3]],SpielerDaten!$1:$1,0)</f>
        <v>33</v>
      </c>
    </row>
    <row r="507" spans="1:37" x14ac:dyDescent="0.25">
      <c r="A507">
        <v>505</v>
      </c>
      <c r="B507" t="str">
        <f>Tabelle6[[#This Row],[player_A1]]</f>
        <v>Jan_B</v>
      </c>
      <c r="C507" t="str">
        <f>Tabelle6[[#This Row],[player_A2]]</f>
        <v>Sebastian_St</v>
      </c>
      <c r="D507" t="str">
        <f>Tabelle6[[#This Row],[player_B1]]</f>
        <v>Jens_N</v>
      </c>
      <c r="E507" t="str">
        <f>Tabelle6[[#This Row],[player_B2]]</f>
        <v>Aleix_V</v>
      </c>
      <c r="F507">
        <f>Tabelle6[[#This Row],[Tore A]]</f>
        <v>7</v>
      </c>
      <c r="G507">
        <f>Tabelle6[[#This Row],[Tore B]]</f>
        <v>10</v>
      </c>
      <c r="H507" s="17"/>
      <c r="I507" s="1">
        <f>INDEX(Tabelle11[#All],(Tabelle12[[#This Row],[Spiel]]+13),Tabelle12[[#This Row],[ID A1]])</f>
        <v>97.77357323378699</v>
      </c>
      <c r="J507" s="1">
        <f>INDEX(Tabelle11[#All],(Tabelle12[[#This Row],[Spiel]]+13),Tabelle12[[#This Row],[ID A2]])</f>
        <v>98.503769340419595</v>
      </c>
      <c r="K507" s="1">
        <f>SUM(Tabelle12[[#This Row],[ELO vorher A1]:[ELO vorher A2]])</f>
        <v>196.27734257420659</v>
      </c>
      <c r="L507" s="1">
        <f>Tabelle12[[#This Row],[ELO vorher A1]]/Tabelle12[[#This Row],[ELO A gesamt]]</f>
        <v>0.49813988691446509</v>
      </c>
      <c r="M507" s="1">
        <f>Tabelle12[[#This Row],[ELO vorher A2]]/Tabelle12[[#This Row],[ELO A gesamt]]</f>
        <v>0.50186011308553491</v>
      </c>
      <c r="N507" s="19"/>
      <c r="O507" s="1">
        <f>INDEX(Tabelle11[#All],(Tabelle12[[#This Row],[Spiel]]+13),Tabelle12[[#This Row],[ID B1]])</f>
        <v>99.890540411640856</v>
      </c>
      <c r="P507" s="1">
        <f>INDEX(Tabelle11[#All],(Tabelle12[[#This Row],[Spiel]]+13),Tabelle12[[#This Row],[ID B2]])</f>
        <v>103.41093576709842</v>
      </c>
      <c r="Q507" s="1">
        <f>SUM(Tabelle12[[#This Row],[ELO vorher B1]:[ELO vorher B2]])</f>
        <v>203.30147617873928</v>
      </c>
      <c r="R507" s="1">
        <f>Tabelle12[[#This Row],[ELO vorher B1]]/Tabelle12[[#This Row],[ELO B gesamt]]</f>
        <v>0.49134193361104156</v>
      </c>
      <c r="S507" s="1">
        <f>Tabelle12[[#This Row],[ELO vorher B2]]/Tabelle12[[#This Row],[ELO B gesamt]]</f>
        <v>0.5086580663889585</v>
      </c>
      <c r="T507" s="19"/>
      <c r="U507" s="1">
        <f>1/(1+Ergebnisvorhersage!$C$5^((Q507-K507)/Ergebnisvorhersage!$C$6))</f>
        <v>0.41982951042562056</v>
      </c>
      <c r="V507" s="1">
        <f>1/(1+Ergebnisvorhersage!$C$5^((K507-Q507)/Ergebnisvorhersage!$C$6))</f>
        <v>0.58017048957437944</v>
      </c>
      <c r="W507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0.40475</v>
      </c>
      <c r="X507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0.59525000000000006</v>
      </c>
      <c r="Y507" s="17"/>
      <c r="Z507" s="12">
        <f>Ergebnisbewertung!$C$5*(W507-U507)</f>
        <v>-0.15079510425620557</v>
      </c>
      <c r="AA507" s="12">
        <f>Ergebnisbewertung!$C$5*(X507-V507)</f>
        <v>0.15079510425620613</v>
      </c>
      <c r="AB507" s="12">
        <f>IF(SIGN(Tabelle12[[#This Row],[Änderung A]])=-1,Tabelle12[[#This Row],[Änderung A]]*(Tabelle12[[#This Row],[Anteil A1]]),Tabelle12[[#This Row],[Änderung A]]*(1-Tabelle12[[#This Row],[Anteil A1]]))</f>
        <v>-7.5117056181441211E-2</v>
      </c>
      <c r="AC507" s="12">
        <f>IF(SIGN(Tabelle12[[#This Row],[Änderung A]])=-1,Tabelle12[[#This Row],[Änderung A]]*(Tabelle12[[#This Row],[Anteil A2]]),Tabelle12[[#This Row],[Änderung A]]*(1-Tabelle12[[#This Row],[Anteil A2]]))</f>
        <v>-7.5678048074764359E-2</v>
      </c>
      <c r="AD507" s="12">
        <f>IF(SIGN(Tabelle12[[#This Row],[Änderung B]])=-1,Tabelle12[[#This Row],[Änderung B]]*(Tabelle12[[#This Row],[Anteil B1]]),Tabelle12[[#This Row],[Änderung B]]*(1-Tabelle12[[#This Row],[Anteil B1]]))</f>
        <v>7.67031461518832E-2</v>
      </c>
      <c r="AE507" s="12">
        <f>IF(SIGN(Tabelle12[[#This Row],[Änderung B]])=-1,Tabelle12[[#This Row],[Änderung B]]*(Tabelle12[[#This Row],[Anteil B2]]),Tabelle12[[#This Row],[Änderung B]]*(1-Tabelle12[[#This Row],[Anteil B2]]))</f>
        <v>7.4091958104322911E-2</v>
      </c>
      <c r="AF507" s="17"/>
      <c r="AG507">
        <f>IF(IFERROR(Tabelle12[[#This Row],[Änderung B2]],0)=0,0,Tabelle12[[#This Row],[Spiel]])</f>
        <v>505</v>
      </c>
      <c r="AH507">
        <f>MATCH(Tabelle12[[#This Row],[Team A]],SpielerDaten!$1:$1,0)</f>
        <v>20</v>
      </c>
      <c r="AI507">
        <f>MATCH(Tabelle12[[#This Row],[Team A2]],SpielerDaten!$1:$1,0)</f>
        <v>41</v>
      </c>
      <c r="AJ507">
        <f>MATCH(Tabelle12[[#This Row],[Team B]],SpielerDaten!$1:$1,0)</f>
        <v>22</v>
      </c>
      <c r="AK507">
        <f>MATCH(Tabelle12[[#This Row],[Team B3]],SpielerDaten!$1:$1,0)</f>
        <v>2</v>
      </c>
    </row>
    <row r="508" spans="1:37" x14ac:dyDescent="0.25">
      <c r="A508">
        <v>506</v>
      </c>
      <c r="B508" t="str">
        <f>Tabelle6[[#This Row],[player_A1]]</f>
        <v>Jan_B</v>
      </c>
      <c r="C508" t="str">
        <f>Tabelle6[[#This Row],[player_A2]]</f>
        <v>Sebastian_St</v>
      </c>
      <c r="D508" t="str">
        <f>Tabelle6[[#This Row],[player_B1]]</f>
        <v>Jens_N</v>
      </c>
      <c r="E508" t="str">
        <f>Tabelle6[[#This Row],[player_B2]]</f>
        <v>Aleix_V</v>
      </c>
      <c r="F508">
        <f>Tabelle6[[#This Row],[Tore A]]</f>
        <v>5</v>
      </c>
      <c r="G508">
        <f>Tabelle6[[#This Row],[Tore B]]</f>
        <v>10</v>
      </c>
      <c r="H508" s="17"/>
      <c r="I508" s="1">
        <f>INDEX(Tabelle11[#All],(Tabelle12[[#This Row],[Spiel]]+13),Tabelle12[[#This Row],[ID A1]])</f>
        <v>97.69845617760555</v>
      </c>
      <c r="J508" s="1">
        <f>INDEX(Tabelle11[#All],(Tabelle12[[#This Row],[Spiel]]+13),Tabelle12[[#This Row],[ID A2]])</f>
        <v>98.428091292344831</v>
      </c>
      <c r="K508" s="1">
        <f>SUM(Tabelle12[[#This Row],[ELO vorher A1]:[ELO vorher A2]])</f>
        <v>196.12654746995037</v>
      </c>
      <c r="L508" s="1">
        <f>Tabelle12[[#This Row],[ELO vorher A1]]/Tabelle12[[#This Row],[ELO A gesamt]]</f>
        <v>0.49813988691446509</v>
      </c>
      <c r="M508" s="1">
        <f>Tabelle12[[#This Row],[ELO vorher A2]]/Tabelle12[[#This Row],[ELO A gesamt]]</f>
        <v>0.50186011308553491</v>
      </c>
      <c r="N508" s="19"/>
      <c r="O508" s="1">
        <f>INDEX(Tabelle11[#All],(Tabelle12[[#This Row],[Spiel]]+13),Tabelle12[[#This Row],[ID B1]])</f>
        <v>99.967243557792742</v>
      </c>
      <c r="P508" s="1">
        <f>INDEX(Tabelle11[#All],(Tabelle12[[#This Row],[Spiel]]+13),Tabelle12[[#This Row],[ID B2]])</f>
        <v>103.48502772520274</v>
      </c>
      <c r="Q508" s="1">
        <f>SUM(Tabelle12[[#This Row],[ELO vorher B1]:[ELO vorher B2]])</f>
        <v>203.45227128299547</v>
      </c>
      <c r="R508" s="1">
        <f>Tabelle12[[#This Row],[ELO vorher B1]]/Tabelle12[[#This Row],[ELO B gesamt]]</f>
        <v>0.4913547680121082</v>
      </c>
      <c r="S508" s="1">
        <f>Tabelle12[[#This Row],[ELO vorher B2]]/Tabelle12[[#This Row],[ELO B gesamt]]</f>
        <v>0.50864523198789191</v>
      </c>
      <c r="T508" s="19"/>
      <c r="U508" s="1">
        <f>1/(1+Ergebnisvorhersage!$C$5^((Q508-K508)/Ergebnisvorhersage!$C$6))</f>
        <v>0.41645040888768609</v>
      </c>
      <c r="V508" s="1">
        <f>1/(1+Ergebnisvorhersage!$C$5^((K508-Q508)/Ergebnisvorhersage!$C$6))</f>
        <v>0.58354959111231397</v>
      </c>
      <c r="W508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0.28125</v>
      </c>
      <c r="X508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0.71875</v>
      </c>
      <c r="Y508" s="17"/>
      <c r="Z508" s="12">
        <f>Ergebnisbewertung!$C$5*(W508-U508)</f>
        <v>-1.352004088876861</v>
      </c>
      <c r="AA508" s="12">
        <f>Ergebnisbewertung!$C$5*(X508-V508)</f>
        <v>1.3520040888768603</v>
      </c>
      <c r="AB508" s="12">
        <f>IF(SIGN(Tabelle12[[#This Row],[Änderung A]])=-1,Tabelle12[[#This Row],[Änderung A]]*(Tabelle12[[#This Row],[Anteil A1]]),Tabelle12[[#This Row],[Änderung A]]*(1-Tabelle12[[#This Row],[Anteil A1]]))</f>
        <v>-0.67348716394101393</v>
      </c>
      <c r="AC508" s="12">
        <f>IF(SIGN(Tabelle12[[#This Row],[Änderung A]])=-1,Tabelle12[[#This Row],[Änderung A]]*(Tabelle12[[#This Row],[Anteil A2]]),Tabelle12[[#This Row],[Änderung A]]*(1-Tabelle12[[#This Row],[Anteil A2]]))</f>
        <v>-0.67851692493584703</v>
      </c>
      <c r="AD508" s="12">
        <f>IF(SIGN(Tabelle12[[#This Row],[Änderung B]])=-1,Tabelle12[[#This Row],[Änderung B]]*(Tabelle12[[#This Row],[Anteil B1]]),Tabelle12[[#This Row],[Änderung B]]*(1-Tabelle12[[#This Row],[Anteil B1]]))</f>
        <v>0.68769043343534886</v>
      </c>
      <c r="AE508" s="12">
        <f>IF(SIGN(Tabelle12[[#This Row],[Änderung B]])=-1,Tabelle12[[#This Row],[Änderung B]]*(Tabelle12[[#This Row],[Anteil B2]]),Tabelle12[[#This Row],[Änderung B]]*(1-Tabelle12[[#This Row],[Anteil B2]]))</f>
        <v>0.66431365544151122</v>
      </c>
      <c r="AF508" s="17"/>
      <c r="AG508">
        <f>IF(IFERROR(Tabelle12[[#This Row],[Änderung B2]],0)=0,0,Tabelle12[[#This Row],[Spiel]])</f>
        <v>506</v>
      </c>
      <c r="AH508">
        <f>MATCH(Tabelle12[[#This Row],[Team A]],SpielerDaten!$1:$1,0)</f>
        <v>20</v>
      </c>
      <c r="AI508">
        <f>MATCH(Tabelle12[[#This Row],[Team A2]],SpielerDaten!$1:$1,0)</f>
        <v>41</v>
      </c>
      <c r="AJ508">
        <f>MATCH(Tabelle12[[#This Row],[Team B]],SpielerDaten!$1:$1,0)</f>
        <v>22</v>
      </c>
      <c r="AK508">
        <f>MATCH(Tabelle12[[#This Row],[Team B3]],SpielerDaten!$1:$1,0)</f>
        <v>2</v>
      </c>
    </row>
    <row r="509" spans="1:37" x14ac:dyDescent="0.25">
      <c r="A509">
        <v>507</v>
      </c>
      <c r="B509" t="str">
        <f>Tabelle6[[#This Row],[player_A1]]</f>
        <v>Carsten_H</v>
      </c>
      <c r="C509" t="str">
        <f>Tabelle6[[#This Row],[player_A2]]</f>
        <v>Bastian_G</v>
      </c>
      <c r="D509" t="str">
        <f>Tabelle6[[#This Row],[player_B1]]</f>
        <v>Daniel_D</v>
      </c>
      <c r="E509" t="str">
        <f>Tabelle6[[#This Row],[player_B2]]</f>
        <v>Marvin_W</v>
      </c>
      <c r="F509">
        <f>Tabelle6[[#This Row],[Tore A]]</f>
        <v>10</v>
      </c>
      <c r="G509">
        <f>Tabelle6[[#This Row],[Tore B]]</f>
        <v>8</v>
      </c>
      <c r="H509" s="17"/>
      <c r="I509" s="1">
        <f>INDEX(Tabelle11[#All],(Tabelle12[[#This Row],[Spiel]]+13),Tabelle12[[#This Row],[ID A1]])</f>
        <v>92.661720297034435</v>
      </c>
      <c r="J509" s="1">
        <f>INDEX(Tabelle11[#All],(Tabelle12[[#This Row],[Spiel]]+13),Tabelle12[[#This Row],[ID A2]])</f>
        <v>112.48310679834741</v>
      </c>
      <c r="K509" s="1">
        <f>SUM(Tabelle12[[#This Row],[ELO vorher A1]:[ELO vorher A2]])</f>
        <v>205.14482709538186</v>
      </c>
      <c r="L509" s="1">
        <f>Tabelle12[[#This Row],[ELO vorher A1]]/Tabelle12[[#This Row],[ELO A gesamt]]</f>
        <v>0.45168928512124495</v>
      </c>
      <c r="M509" s="1">
        <f>Tabelle12[[#This Row],[ELO vorher A2]]/Tabelle12[[#This Row],[ELO A gesamt]]</f>
        <v>0.54831071487875493</v>
      </c>
      <c r="N509" s="19"/>
      <c r="O509" s="1">
        <f>INDEX(Tabelle11[#All],(Tabelle12[[#This Row],[Spiel]]+13),Tabelle12[[#This Row],[ID B1]])</f>
        <v>100.70668639950003</v>
      </c>
      <c r="P509" s="1">
        <f>INDEX(Tabelle11[#All],(Tabelle12[[#This Row],[Spiel]]+13),Tabelle12[[#This Row],[ID B2]])</f>
        <v>97.800453809813305</v>
      </c>
      <c r="Q509" s="1">
        <f>SUM(Tabelle12[[#This Row],[ELO vorher B1]:[ELO vorher B2]])</f>
        <v>198.50714020931332</v>
      </c>
      <c r="R509" s="1">
        <f>Tabelle12[[#This Row],[ELO vorher B1]]/Tabelle12[[#This Row],[ELO B gesamt]]</f>
        <v>0.50732022179812353</v>
      </c>
      <c r="S509" s="1">
        <f>Tabelle12[[#This Row],[ELO vorher B2]]/Tabelle12[[#This Row],[ELO B gesamt]]</f>
        <v>0.49267977820187658</v>
      </c>
      <c r="T509" s="19"/>
      <c r="U509" s="1">
        <f>1/(1+Ergebnisvorhersage!$C$5^((Q509-K509)/Ergebnisvorhersage!$C$6))</f>
        <v>0.57582966233519628</v>
      </c>
      <c r="V509" s="1">
        <f>1/(1+Ergebnisvorhersage!$C$5^((K509-Q509)/Ergebnisvorhersage!$C$6))</f>
        <v>0.42417033766480389</v>
      </c>
      <c r="W509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0.55600000000000005</v>
      </c>
      <c r="X509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0.44400000000000001</v>
      </c>
      <c r="Y509" s="17"/>
      <c r="Z509" s="12">
        <f>Ergebnisbewertung!$C$5*(W509-U509)</f>
        <v>-0.1982966233519623</v>
      </c>
      <c r="AA509" s="12">
        <f>Ergebnisbewertung!$C$5*(X509-V509)</f>
        <v>0.19829662335196119</v>
      </c>
      <c r="AB509" s="12">
        <f>IF(SIGN(Tabelle12[[#This Row],[Änderung A]])=-1,Tabelle12[[#This Row],[Änderung A]]*(Tabelle12[[#This Row],[Anteil A1]]),Tabelle12[[#This Row],[Änderung A]]*(1-Tabelle12[[#This Row],[Anteil A1]]))</f>
        <v>-8.9568460043804615E-2</v>
      </c>
      <c r="AC509" s="12">
        <f>IF(SIGN(Tabelle12[[#This Row],[Änderung A]])=-1,Tabelle12[[#This Row],[Änderung A]]*(Tabelle12[[#This Row],[Anteil A2]]),Tabelle12[[#This Row],[Änderung A]]*(1-Tabelle12[[#This Row],[Anteil A2]]))</f>
        <v>-0.10872816330815765</v>
      </c>
      <c r="AD509" s="12">
        <f>IF(SIGN(Tabelle12[[#This Row],[Änderung B]])=-1,Tabelle12[[#This Row],[Änderung B]]*(Tabelle12[[#This Row],[Anteil B1]]),Tabelle12[[#This Row],[Änderung B]]*(1-Tabelle12[[#This Row],[Anteil B1]]))</f>
        <v>9.7696736411225282E-2</v>
      </c>
      <c r="AE509" s="12">
        <f>IF(SIGN(Tabelle12[[#This Row],[Änderung B]])=-1,Tabelle12[[#This Row],[Änderung B]]*(Tabelle12[[#This Row],[Anteil B2]]),Tabelle12[[#This Row],[Änderung B]]*(1-Tabelle12[[#This Row],[Anteil B2]]))</f>
        <v>0.10059988694073589</v>
      </c>
      <c r="AF509" s="17"/>
      <c r="AG509">
        <f>IF(IFERROR(Tabelle12[[#This Row],[Änderung B2]],0)=0,0,Tabelle12[[#This Row],[Spiel]])</f>
        <v>507</v>
      </c>
      <c r="AH509">
        <f>MATCH(Tabelle12[[#This Row],[Team A]],SpielerDaten!$1:$1,0)</f>
        <v>9</v>
      </c>
      <c r="AI509">
        <f>MATCH(Tabelle12[[#This Row],[Team A2]],SpielerDaten!$1:$1,0)</f>
        <v>5</v>
      </c>
      <c r="AJ509">
        <f>MATCH(Tabelle12[[#This Row],[Team B]],SpielerDaten!$1:$1,0)</f>
        <v>12</v>
      </c>
      <c r="AK509">
        <f>MATCH(Tabelle12[[#This Row],[Team B3]],SpielerDaten!$1:$1,0)</f>
        <v>31</v>
      </c>
    </row>
    <row r="510" spans="1:37" x14ac:dyDescent="0.25">
      <c r="A510">
        <v>508</v>
      </c>
      <c r="B510" t="str">
        <f>Tabelle6[[#This Row],[player_A1]]</f>
        <v>Carsten_H</v>
      </c>
      <c r="C510" t="str">
        <f>Tabelle6[[#This Row],[player_A2]]</f>
        <v>Bastian_G</v>
      </c>
      <c r="D510" t="str">
        <f>Tabelle6[[#This Row],[player_B1]]</f>
        <v>Daniel_D</v>
      </c>
      <c r="E510" t="str">
        <f>Tabelle6[[#This Row],[player_B2]]</f>
        <v>Marvin_W</v>
      </c>
      <c r="F510">
        <f>Tabelle6[[#This Row],[Tore A]]</f>
        <v>10</v>
      </c>
      <c r="G510">
        <f>Tabelle6[[#This Row],[Tore B]]</f>
        <v>4</v>
      </c>
      <c r="H510" s="17"/>
      <c r="I510" s="1">
        <f>INDEX(Tabelle11[#All],(Tabelle12[[#This Row],[Spiel]]+13),Tabelle12[[#This Row],[ID A1]])</f>
        <v>92.572151836990628</v>
      </c>
      <c r="J510" s="1">
        <f>INDEX(Tabelle11[#All],(Tabelle12[[#This Row],[Spiel]]+13),Tabelle12[[#This Row],[ID A2]])</f>
        <v>112.37437863503925</v>
      </c>
      <c r="K510" s="1">
        <f>SUM(Tabelle12[[#This Row],[ELO vorher A1]:[ELO vorher A2]])</f>
        <v>204.94653047202988</v>
      </c>
      <c r="L510" s="1">
        <f>Tabelle12[[#This Row],[ELO vorher A1]]/Tabelle12[[#This Row],[ELO A gesamt]]</f>
        <v>0.45168928512124501</v>
      </c>
      <c r="M510" s="1">
        <f>Tabelle12[[#This Row],[ELO vorher A2]]/Tabelle12[[#This Row],[ELO A gesamt]]</f>
        <v>0.54831071487875505</v>
      </c>
      <c r="N510" s="19"/>
      <c r="O510" s="1">
        <f>INDEX(Tabelle11[#All],(Tabelle12[[#This Row],[Spiel]]+13),Tabelle12[[#This Row],[ID B1]])</f>
        <v>100.80438313591125</v>
      </c>
      <c r="P510" s="1">
        <f>INDEX(Tabelle11[#All],(Tabelle12[[#This Row],[Spiel]]+13),Tabelle12[[#This Row],[ID B2]])</f>
        <v>97.901053696754047</v>
      </c>
      <c r="Q510" s="1">
        <f>SUM(Tabelle12[[#This Row],[ELO vorher B1]:[ELO vorher B2]])</f>
        <v>198.7054368326653</v>
      </c>
      <c r="R510" s="1">
        <f>Tabelle12[[#This Row],[ELO vorher B1]]/Tabelle12[[#This Row],[ELO B gesamt]]</f>
        <v>0.50730561147554853</v>
      </c>
      <c r="S510" s="1">
        <f>Tabelle12[[#This Row],[ELO vorher B2]]/Tabelle12[[#This Row],[ELO B gesamt]]</f>
        <v>0.49269438852445147</v>
      </c>
      <c r="T510" s="19"/>
      <c r="U510" s="1">
        <f>1/(1+Ergebnisvorhersage!$C$5^((Q510-K510)/Ergebnisvorhersage!$C$6))</f>
        <v>0.57136267084178793</v>
      </c>
      <c r="V510" s="1">
        <f>1/(1+Ergebnisvorhersage!$C$5^((K510-Q510)/Ergebnisvorhersage!$C$6))</f>
        <v>0.42863732915821207</v>
      </c>
      <c r="W510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0.81200000000000006</v>
      </c>
      <c r="X510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0.18799999999999994</v>
      </c>
      <c r="Y510" s="17"/>
      <c r="Z510" s="12">
        <f>Ergebnisbewertung!$C$5*(W510-U510)</f>
        <v>2.4063732915821214</v>
      </c>
      <c r="AA510" s="12">
        <f>Ergebnisbewertung!$C$5*(X510-V510)</f>
        <v>-2.4063732915821214</v>
      </c>
      <c r="AB510" s="12">
        <f>IF(SIGN(Tabelle12[[#This Row],[Änderung A]])=-1,Tabelle12[[#This Row],[Änderung A]]*(Tabelle12[[#This Row],[Anteil A1]]),Tabelle12[[#This Row],[Änderung A]]*(1-Tabelle12[[#This Row],[Anteil A1]]))</f>
        <v>1.3194402597725357</v>
      </c>
      <c r="AC510" s="12">
        <f>IF(SIGN(Tabelle12[[#This Row],[Änderung A]])=-1,Tabelle12[[#This Row],[Änderung A]]*(Tabelle12[[#This Row],[Anteil A2]]),Tabelle12[[#This Row],[Änderung A]]*(1-Tabelle12[[#This Row],[Anteil A2]]))</f>
        <v>1.0869330318095856</v>
      </c>
      <c r="AD510" s="12">
        <f>IF(SIGN(Tabelle12[[#This Row],[Änderung B]])=-1,Tabelle12[[#This Row],[Änderung B]]*(Tabelle12[[#This Row],[Anteil B1]]),Tabelle12[[#This Row],[Änderung B]]*(1-Tabelle12[[#This Row],[Anteil B1]]))</f>
        <v>-1.2207666741244965</v>
      </c>
      <c r="AE510" s="12">
        <f>IF(SIGN(Tabelle12[[#This Row],[Änderung B]])=-1,Tabelle12[[#This Row],[Änderung B]]*(Tabelle12[[#This Row],[Anteil B2]]),Tabelle12[[#This Row],[Änderung B]]*(1-Tabelle12[[#This Row],[Anteil B2]]))</f>
        <v>-1.185606617457625</v>
      </c>
      <c r="AF510" s="17"/>
      <c r="AG510">
        <f>IF(IFERROR(Tabelle12[[#This Row],[Änderung B2]],0)=0,0,Tabelle12[[#This Row],[Spiel]])</f>
        <v>508</v>
      </c>
      <c r="AH510">
        <f>MATCH(Tabelle12[[#This Row],[Team A]],SpielerDaten!$1:$1,0)</f>
        <v>9</v>
      </c>
      <c r="AI510">
        <f>MATCH(Tabelle12[[#This Row],[Team A2]],SpielerDaten!$1:$1,0)</f>
        <v>5</v>
      </c>
      <c r="AJ510">
        <f>MATCH(Tabelle12[[#This Row],[Team B]],SpielerDaten!$1:$1,0)</f>
        <v>12</v>
      </c>
      <c r="AK510">
        <f>MATCH(Tabelle12[[#This Row],[Team B3]],SpielerDaten!$1:$1,0)</f>
        <v>31</v>
      </c>
    </row>
    <row r="511" spans="1:37" x14ac:dyDescent="0.25">
      <c r="A511">
        <v>509</v>
      </c>
      <c r="B511" t="str">
        <f>Tabelle6[[#This Row],[player_A1]]</f>
        <v>Jan_B</v>
      </c>
      <c r="C511" t="str">
        <f>Tabelle6[[#This Row],[player_A2]]</f>
        <v>Sebastian_A</v>
      </c>
      <c r="D511" t="str">
        <f>Tabelle6[[#This Row],[player_B1]]</f>
        <v>Daniel_D</v>
      </c>
      <c r="E511" t="str">
        <f>Tabelle6[[#This Row],[player_B2]]</f>
        <v>Marcin_S</v>
      </c>
      <c r="F511">
        <f>Tabelle6[[#This Row],[Tore A]]</f>
        <v>10</v>
      </c>
      <c r="G511">
        <f>Tabelle6[[#This Row],[Tore B]]</f>
        <v>7</v>
      </c>
      <c r="H511" s="17"/>
      <c r="I511" s="1">
        <f>INDEX(Tabelle11[#All],(Tabelle12[[#This Row],[Spiel]]+13),Tabelle12[[#This Row],[ID A1]])</f>
        <v>97.024969013664531</v>
      </c>
      <c r="J511" s="1">
        <f>INDEX(Tabelle11[#All],(Tabelle12[[#This Row],[Spiel]]+13),Tabelle12[[#This Row],[ID A2]])</f>
        <v>102.8225889582061</v>
      </c>
      <c r="K511" s="1">
        <f>SUM(Tabelle12[[#This Row],[ELO vorher A1]:[ELO vorher A2]])</f>
        <v>199.84755797187063</v>
      </c>
      <c r="L511" s="1">
        <f>Tabelle12[[#This Row],[ELO vorher A1]]/Tabelle12[[#This Row],[ELO A gesamt]]</f>
        <v>0.4854948941999141</v>
      </c>
      <c r="M511" s="1">
        <f>Tabelle12[[#This Row],[ELO vorher A2]]/Tabelle12[[#This Row],[ELO A gesamt]]</f>
        <v>0.5145051058000859</v>
      </c>
      <c r="N511" s="19"/>
      <c r="O511" s="1">
        <f>INDEX(Tabelle11[#All],(Tabelle12[[#This Row],[Spiel]]+13),Tabelle12[[#This Row],[ID B1]])</f>
        <v>99.583616461786761</v>
      </c>
      <c r="P511" s="1">
        <f>INDEX(Tabelle11[#All],(Tabelle12[[#This Row],[Spiel]]+13),Tabelle12[[#This Row],[ID B2]])</f>
        <v>81.492991903760696</v>
      </c>
      <c r="Q511" s="1">
        <f>SUM(Tabelle12[[#This Row],[ELO vorher B1]:[ELO vorher B2]])</f>
        <v>181.07660836554746</v>
      </c>
      <c r="R511" s="1">
        <f>Tabelle12[[#This Row],[ELO vorher B1]]/Tabelle12[[#This Row],[ELO B gesamt]]</f>
        <v>0.54995295836750413</v>
      </c>
      <c r="S511" s="1">
        <f>Tabelle12[[#This Row],[ELO vorher B2]]/Tabelle12[[#This Row],[ELO B gesamt]]</f>
        <v>0.45004704163249593</v>
      </c>
      <c r="T511" s="19"/>
      <c r="U511" s="1">
        <f>1/(1+Ergebnisvorhersage!$C$5^((Q511-K511)/Ergebnisvorhersage!$C$6))</f>
        <v>0.70358624727585384</v>
      </c>
      <c r="V511" s="1">
        <f>1/(1+Ergebnisvorhersage!$C$5^((K511-Q511)/Ergebnisvorhersage!$C$6))</f>
        <v>0.29641375272414616</v>
      </c>
      <c r="W511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0.59525000000000006</v>
      </c>
      <c r="X511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0.40475</v>
      </c>
      <c r="Y511" s="17"/>
      <c r="Z511" s="12">
        <f>Ergebnisbewertung!$C$5*(W511-U511)</f>
        <v>-1.0833624727585378</v>
      </c>
      <c r="AA511" s="12">
        <f>Ergebnisbewertung!$C$5*(X511-V511)</f>
        <v>1.0833624727585383</v>
      </c>
      <c r="AB511" s="12">
        <f>IF(SIGN(Tabelle12[[#This Row],[Änderung A]])=-1,Tabelle12[[#This Row],[Änderung A]]*(Tabelle12[[#This Row],[Anteil A1]]),Tabelle12[[#This Row],[Änderung A]]*(1-Tabelle12[[#This Row],[Anteil A1]]))</f>
        <v>-0.52596694909206365</v>
      </c>
      <c r="AC511" s="12">
        <f>IF(SIGN(Tabelle12[[#This Row],[Änderung A]])=-1,Tabelle12[[#This Row],[Änderung A]]*(Tabelle12[[#This Row],[Anteil A2]]),Tabelle12[[#This Row],[Änderung A]]*(1-Tabelle12[[#This Row],[Anteil A2]]))</f>
        <v>-0.55739552366647416</v>
      </c>
      <c r="AD511" s="12">
        <f>IF(SIGN(Tabelle12[[#This Row],[Änderung B]])=-1,Tabelle12[[#This Row],[Änderung B]]*(Tabelle12[[#This Row],[Anteil B1]]),Tabelle12[[#This Row],[Änderung B]]*(1-Tabelle12[[#This Row],[Anteil B1]]))</f>
        <v>0.48756407588064554</v>
      </c>
      <c r="AE511" s="12">
        <f>IF(SIGN(Tabelle12[[#This Row],[Änderung B]])=-1,Tabelle12[[#This Row],[Änderung B]]*(Tabelle12[[#This Row],[Anteil B2]]),Tabelle12[[#This Row],[Änderung B]]*(1-Tabelle12[[#This Row],[Anteil B2]]))</f>
        <v>0.5957983968778926</v>
      </c>
      <c r="AF511" s="17"/>
      <c r="AG511">
        <f>IF(IFERROR(Tabelle12[[#This Row],[Änderung B2]],0)=0,0,Tabelle12[[#This Row],[Spiel]])</f>
        <v>509</v>
      </c>
      <c r="AH511">
        <f>MATCH(Tabelle12[[#This Row],[Team A]],SpielerDaten!$1:$1,0)</f>
        <v>20</v>
      </c>
      <c r="AI511">
        <f>MATCH(Tabelle12[[#This Row],[Team A2]],SpielerDaten!$1:$1,0)</f>
        <v>40</v>
      </c>
      <c r="AJ511">
        <f>MATCH(Tabelle12[[#This Row],[Team B]],SpielerDaten!$1:$1,0)</f>
        <v>12</v>
      </c>
      <c r="AK511">
        <f>MATCH(Tabelle12[[#This Row],[Team B3]],SpielerDaten!$1:$1,0)</f>
        <v>28</v>
      </c>
    </row>
    <row r="512" spans="1:37" x14ac:dyDescent="0.25">
      <c r="A512">
        <v>510</v>
      </c>
      <c r="B512" t="str">
        <f>Tabelle6[[#This Row],[player_A1]]</f>
        <v>Jan_B</v>
      </c>
      <c r="C512" t="str">
        <f>Tabelle6[[#This Row],[player_A2]]</f>
        <v>Sebastian_A</v>
      </c>
      <c r="D512" t="str">
        <f>Tabelle6[[#This Row],[player_B1]]</f>
        <v>Daniel_D</v>
      </c>
      <c r="E512" t="str">
        <f>Tabelle6[[#This Row],[player_B2]]</f>
        <v>Marcin_S</v>
      </c>
      <c r="F512">
        <f>Tabelle6[[#This Row],[Tore A]]</f>
        <v>10</v>
      </c>
      <c r="G512">
        <f>Tabelle6[[#This Row],[Tore B]]</f>
        <v>4</v>
      </c>
      <c r="H512" s="17"/>
      <c r="I512" s="1">
        <f>INDEX(Tabelle11[#All],(Tabelle12[[#This Row],[Spiel]]+13),Tabelle12[[#This Row],[ID A1]])</f>
        <v>96.499002064572466</v>
      </c>
      <c r="J512" s="1">
        <f>INDEX(Tabelle11[#All],(Tabelle12[[#This Row],[Spiel]]+13),Tabelle12[[#This Row],[ID A2]])</f>
        <v>102.26519343453963</v>
      </c>
      <c r="K512" s="1">
        <f>SUM(Tabelle12[[#This Row],[ELO vorher A1]:[ELO vorher A2]])</f>
        <v>198.76419549911208</v>
      </c>
      <c r="L512" s="1">
        <f>Tabelle12[[#This Row],[ELO vorher A1]]/Tabelle12[[#This Row],[ELO A gesamt]]</f>
        <v>0.48549489419991415</v>
      </c>
      <c r="M512" s="1">
        <f>Tabelle12[[#This Row],[ELO vorher A2]]/Tabelle12[[#This Row],[ELO A gesamt]]</f>
        <v>0.5145051058000859</v>
      </c>
      <c r="N512" s="19"/>
      <c r="O512" s="1">
        <f>INDEX(Tabelle11[#All],(Tabelle12[[#This Row],[Spiel]]+13),Tabelle12[[#This Row],[ID B1]])</f>
        <v>100.0711805376674</v>
      </c>
      <c r="P512" s="1">
        <f>INDEX(Tabelle11[#All],(Tabelle12[[#This Row],[Spiel]]+13),Tabelle12[[#This Row],[ID B2]])</f>
        <v>82.088790300638593</v>
      </c>
      <c r="Q512" s="1">
        <f>SUM(Tabelle12[[#This Row],[ELO vorher B1]:[ELO vorher B2]])</f>
        <v>182.15997083830598</v>
      </c>
      <c r="R512" s="1">
        <f>Tabelle12[[#This Row],[ELO vorher B1]]/Tabelle12[[#This Row],[ELO B gesamt]]</f>
        <v>0.5493587865497378</v>
      </c>
      <c r="S512" s="1">
        <f>Tabelle12[[#This Row],[ELO vorher B2]]/Tabelle12[[#This Row],[ELO B gesamt]]</f>
        <v>0.45064121345026226</v>
      </c>
      <c r="T512" s="19"/>
      <c r="U512" s="1">
        <f>1/(1+Ergebnisvorhersage!$C$5^((Q512-K512)/Ergebnisvorhersage!$C$6))</f>
        <v>0.68236305434049394</v>
      </c>
      <c r="V512" s="1">
        <f>1/(1+Ergebnisvorhersage!$C$5^((K512-Q512)/Ergebnisvorhersage!$C$6))</f>
        <v>0.31763694565950606</v>
      </c>
      <c r="W512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0.81200000000000006</v>
      </c>
      <c r="X512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0.18799999999999994</v>
      </c>
      <c r="Y512" s="17"/>
      <c r="Z512" s="12">
        <f>Ergebnisbewertung!$C$5*(W512-U512)</f>
        <v>1.2963694565950612</v>
      </c>
      <c r="AA512" s="12">
        <f>Ergebnisbewertung!$C$5*(X512-V512)</f>
        <v>-1.2963694565950612</v>
      </c>
      <c r="AB512" s="12">
        <f>IF(SIGN(Tabelle12[[#This Row],[Änderung A]])=-1,Tabelle12[[#This Row],[Änderung A]]*(Tabelle12[[#This Row],[Anteil A1]]),Tabelle12[[#This Row],[Änderung A]]*(1-Tabelle12[[#This Row],[Anteil A1]]))</f>
        <v>0.66698870442144165</v>
      </c>
      <c r="AC512" s="12">
        <f>IF(SIGN(Tabelle12[[#This Row],[Änderung A]])=-1,Tabelle12[[#This Row],[Änderung A]]*(Tabelle12[[#This Row],[Anteil A2]]),Tabelle12[[#This Row],[Änderung A]]*(1-Tabelle12[[#This Row],[Anteil A2]]))</f>
        <v>0.62938075217361933</v>
      </c>
      <c r="AD512" s="12">
        <f>IF(SIGN(Tabelle12[[#This Row],[Änderung B]])=-1,Tabelle12[[#This Row],[Änderung B]]*(Tabelle12[[#This Row],[Anteil B1]]),Tabelle12[[#This Row],[Änderung B]]*(1-Tabelle12[[#This Row],[Anteil B1]]))</f>
        <v>-0.71217195159520585</v>
      </c>
      <c r="AE512" s="12">
        <f>IF(SIGN(Tabelle12[[#This Row],[Änderung B]])=-1,Tabelle12[[#This Row],[Änderung B]]*(Tabelle12[[#This Row],[Anteil B2]]),Tabelle12[[#This Row],[Änderung B]]*(1-Tabelle12[[#This Row],[Anteil B2]]))</f>
        <v>-0.58419750499985545</v>
      </c>
      <c r="AF512" s="17"/>
      <c r="AG512">
        <f>IF(IFERROR(Tabelle12[[#This Row],[Änderung B2]],0)=0,0,Tabelle12[[#This Row],[Spiel]])</f>
        <v>510</v>
      </c>
      <c r="AH512">
        <f>MATCH(Tabelle12[[#This Row],[Team A]],SpielerDaten!$1:$1,0)</f>
        <v>20</v>
      </c>
      <c r="AI512">
        <f>MATCH(Tabelle12[[#This Row],[Team A2]],SpielerDaten!$1:$1,0)</f>
        <v>40</v>
      </c>
      <c r="AJ512">
        <f>MATCH(Tabelle12[[#This Row],[Team B]],SpielerDaten!$1:$1,0)</f>
        <v>12</v>
      </c>
      <c r="AK512">
        <f>MATCH(Tabelle12[[#This Row],[Team B3]],SpielerDaten!$1:$1,0)</f>
        <v>28</v>
      </c>
    </row>
    <row r="513" spans="1:37" x14ac:dyDescent="0.25">
      <c r="A513">
        <v>511</v>
      </c>
      <c r="B513" t="str">
        <f>Tabelle6[[#This Row],[player_A1]]</f>
        <v>Hannes_S</v>
      </c>
      <c r="C513" t="str">
        <f>Tabelle6[[#This Row],[player_A2]]</f>
        <v>Simon_U</v>
      </c>
      <c r="D513" t="str">
        <f>Tabelle6[[#This Row],[player_B1]]</f>
        <v>Rene_N</v>
      </c>
      <c r="E513" t="str">
        <f>Tabelle6[[#This Row],[player_B2]]</f>
        <v>Steffen_R</v>
      </c>
      <c r="F513">
        <f>Tabelle6[[#This Row],[Tore A]]</f>
        <v>10</v>
      </c>
      <c r="G513">
        <f>Tabelle6[[#This Row],[Tore B]]</f>
        <v>5</v>
      </c>
      <c r="H513" s="17"/>
      <c r="I513" s="1">
        <f>INDEX(Tabelle11[#All],(Tabelle12[[#This Row],[Spiel]]+13),Tabelle12[[#This Row],[ID A1]])</f>
        <v>105.56436727519656</v>
      </c>
      <c r="J513" s="1">
        <f>INDEX(Tabelle11[#All],(Tabelle12[[#This Row],[Spiel]]+13),Tabelle12[[#This Row],[ID A2]])</f>
        <v>99.259488992076584</v>
      </c>
      <c r="K513" s="1">
        <f>SUM(Tabelle12[[#This Row],[ELO vorher A1]:[ELO vorher A2]])</f>
        <v>204.82385626727313</v>
      </c>
      <c r="L513" s="1">
        <f>Tabelle12[[#This Row],[ELO vorher A1]]/Tabelle12[[#This Row],[ELO A gesamt]]</f>
        <v>0.51539097641754383</v>
      </c>
      <c r="M513" s="1">
        <f>Tabelle12[[#This Row],[ELO vorher A2]]/Tabelle12[[#This Row],[ELO A gesamt]]</f>
        <v>0.48460902358245622</v>
      </c>
      <c r="N513" s="19"/>
      <c r="O513" s="1">
        <f>INDEX(Tabelle11[#All],(Tabelle12[[#This Row],[Spiel]]+13),Tabelle12[[#This Row],[ID B1]])</f>
        <v>101.4355028770963</v>
      </c>
      <c r="P513" s="1">
        <f>INDEX(Tabelle11[#All],(Tabelle12[[#This Row],[Spiel]]+13),Tabelle12[[#This Row],[ID B2]])</f>
        <v>93.558901743626024</v>
      </c>
      <c r="Q513" s="1">
        <f>SUM(Tabelle12[[#This Row],[ELO vorher B1]:[ELO vorher B2]])</f>
        <v>194.99440462072232</v>
      </c>
      <c r="R513" s="1">
        <f>Tabelle12[[#This Row],[ELO vorher B1]]/Tabelle12[[#This Row],[ELO B gesamt]]</f>
        <v>0.52019699270035669</v>
      </c>
      <c r="S513" s="1">
        <f>Tabelle12[[#This Row],[ELO vorher B2]]/Tabelle12[[#This Row],[ELO B gesamt]]</f>
        <v>0.47980300729964326</v>
      </c>
      <c r="T513" s="19"/>
      <c r="U513" s="1">
        <f>1/(1+Ergebnisvorhersage!$C$5^((Q513-K513)/Ergebnisvorhersage!$C$6))</f>
        <v>0.61127219365050334</v>
      </c>
      <c r="V513" s="1">
        <f>1/(1+Ergebnisvorhersage!$C$5^((K513-Q513)/Ergebnisvorhersage!$C$6))</f>
        <v>0.38872780634949672</v>
      </c>
      <c r="W513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0.71875</v>
      </c>
      <c r="X513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0.28125</v>
      </c>
      <c r="Y513" s="17"/>
      <c r="Z513" s="12">
        <f>Ergebnisbewertung!$C$5*(W513-U513)</f>
        <v>1.0747780634949666</v>
      </c>
      <c r="AA513" s="12">
        <f>Ergebnisbewertung!$C$5*(X513-V513)</f>
        <v>-1.0747780634949673</v>
      </c>
      <c r="AB513" s="12">
        <f>IF(SIGN(Tabelle12[[#This Row],[Änderung A]])=-1,Tabelle12[[#This Row],[Änderung A]]*(Tabelle12[[#This Row],[Anteil A1]]),Tabelle12[[#This Row],[Änderung A]]*(1-Tabelle12[[#This Row],[Anteil A1]]))</f>
        <v>0.52084714791813891</v>
      </c>
      <c r="AC513" s="12">
        <f>IF(SIGN(Tabelle12[[#This Row],[Änderung A]])=-1,Tabelle12[[#This Row],[Änderung A]]*(Tabelle12[[#This Row],[Anteil A2]]),Tabelle12[[#This Row],[Änderung A]]*(1-Tabelle12[[#This Row],[Anteil A2]]))</f>
        <v>0.55393091557682761</v>
      </c>
      <c r="AD513" s="12">
        <f>IF(SIGN(Tabelle12[[#This Row],[Änderung B]])=-1,Tabelle12[[#This Row],[Änderung B]]*(Tabelle12[[#This Row],[Anteil B1]]),Tabelle12[[#This Row],[Änderung B]]*(1-Tabelle12[[#This Row],[Anteil B1]]))</f>
        <v>-0.55909631645039504</v>
      </c>
      <c r="AE513" s="12">
        <f>IF(SIGN(Tabelle12[[#This Row],[Änderung B]])=-1,Tabelle12[[#This Row],[Änderung B]]*(Tabelle12[[#This Row],[Anteil B2]]),Tabelle12[[#This Row],[Änderung B]]*(1-Tabelle12[[#This Row],[Anteil B2]]))</f>
        <v>-0.51568174704457226</v>
      </c>
      <c r="AF513" s="17"/>
      <c r="AG513">
        <f>IF(IFERROR(Tabelle12[[#This Row],[Änderung B2]],0)=0,0,Tabelle12[[#This Row],[Spiel]])</f>
        <v>511</v>
      </c>
      <c r="AH513">
        <f>MATCH(Tabelle12[[#This Row],[Team A]],SpielerDaten!$1:$1,0)</f>
        <v>19</v>
      </c>
      <c r="AI513">
        <f>MATCH(Tabelle12[[#This Row],[Team A2]],SpielerDaten!$1:$1,0)</f>
        <v>42</v>
      </c>
      <c r="AJ513">
        <f>MATCH(Tabelle12[[#This Row],[Team B]],SpielerDaten!$1:$1,0)</f>
        <v>36</v>
      </c>
      <c r="AK513">
        <f>MATCH(Tabelle12[[#This Row],[Team B3]],SpielerDaten!$1:$1,0)</f>
        <v>43</v>
      </c>
    </row>
    <row r="514" spans="1:37" x14ac:dyDescent="0.25">
      <c r="A514">
        <v>512</v>
      </c>
      <c r="B514" t="str">
        <f>Tabelle6[[#This Row],[player_A1]]</f>
        <v>Hannes_S</v>
      </c>
      <c r="C514" t="str">
        <f>Tabelle6[[#This Row],[player_A2]]</f>
        <v>Simon_U</v>
      </c>
      <c r="D514" t="str">
        <f>Tabelle6[[#This Row],[player_B1]]</f>
        <v>Rene_N</v>
      </c>
      <c r="E514" t="str">
        <f>Tabelle6[[#This Row],[player_B2]]</f>
        <v>Steffen_R</v>
      </c>
      <c r="F514">
        <f>Tabelle6[[#This Row],[Tore A]]</f>
        <v>10</v>
      </c>
      <c r="G514">
        <f>Tabelle6[[#This Row],[Tore B]]</f>
        <v>7</v>
      </c>
      <c r="H514" s="17"/>
      <c r="I514" s="1">
        <f>INDEX(Tabelle11[#All],(Tabelle12[[#This Row],[Spiel]]+13),Tabelle12[[#This Row],[ID A1]])</f>
        <v>106.08521442311469</v>
      </c>
      <c r="J514" s="1">
        <f>INDEX(Tabelle11[#All],(Tabelle12[[#This Row],[Spiel]]+13),Tabelle12[[#This Row],[ID A2]])</f>
        <v>99.813419907653412</v>
      </c>
      <c r="K514" s="1">
        <f>SUM(Tabelle12[[#This Row],[ELO vorher A1]:[ELO vorher A2]])</f>
        <v>205.89863433076812</v>
      </c>
      <c r="L514" s="1">
        <f>Tabelle12[[#This Row],[ELO vorher A1]]/Tabelle12[[#This Row],[ELO A gesamt]]</f>
        <v>0.51523029653850416</v>
      </c>
      <c r="M514" s="1">
        <f>Tabelle12[[#This Row],[ELO vorher A2]]/Tabelle12[[#This Row],[ELO A gesamt]]</f>
        <v>0.48476970346149578</v>
      </c>
      <c r="N514" s="19"/>
      <c r="O514" s="1">
        <f>INDEX(Tabelle11[#All],(Tabelle12[[#This Row],[Spiel]]+13),Tabelle12[[#This Row],[ID B1]])</f>
        <v>100.8764065606459</v>
      </c>
      <c r="P514" s="1">
        <f>INDEX(Tabelle11[#All],(Tabelle12[[#This Row],[Spiel]]+13),Tabelle12[[#This Row],[ID B2]])</f>
        <v>93.043219996581456</v>
      </c>
      <c r="Q514" s="1">
        <f>SUM(Tabelle12[[#This Row],[ELO vorher B1]:[ELO vorher B2]])</f>
        <v>193.91962655722736</v>
      </c>
      <c r="R514" s="1">
        <f>Tabelle12[[#This Row],[ELO vorher B1]]/Tabelle12[[#This Row],[ELO B gesamt]]</f>
        <v>0.52019699270035669</v>
      </c>
      <c r="S514" s="1">
        <f>Tabelle12[[#This Row],[ELO vorher B2]]/Tabelle12[[#This Row],[ELO B gesamt]]</f>
        <v>0.47980300729964326</v>
      </c>
      <c r="T514" s="19"/>
      <c r="U514" s="1">
        <f>1/(1+Ergebnisvorhersage!$C$5^((Q514-K514)/Ergebnisvorhersage!$C$6))</f>
        <v>0.63451917561539195</v>
      </c>
      <c r="V514" s="1">
        <f>1/(1+Ergebnisvorhersage!$C$5^((K514-Q514)/Ergebnisvorhersage!$C$6))</f>
        <v>0.36548082438460816</v>
      </c>
      <c r="W514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0.59525000000000006</v>
      </c>
      <c r="X514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0.40475</v>
      </c>
      <c r="Y514" s="17"/>
      <c r="Z514" s="12">
        <f>Ergebnisbewertung!$C$5*(W514-U514)</f>
        <v>-0.39269175615391894</v>
      </c>
      <c r="AA514" s="12">
        <f>Ergebnisbewertung!$C$5*(X514-V514)</f>
        <v>0.39269175615391838</v>
      </c>
      <c r="AB514" s="12">
        <f>IF(SIGN(Tabelle12[[#This Row],[Änderung A]])=-1,Tabelle12[[#This Row],[Änderung A]]*(Tabelle12[[#This Row],[Anteil A1]]),Tabelle12[[#This Row],[Änderung A]]*(1-Tabelle12[[#This Row],[Anteil A1]]))</f>
        <v>-0.20232668997140962</v>
      </c>
      <c r="AC514" s="12">
        <f>IF(SIGN(Tabelle12[[#This Row],[Änderung A]])=-1,Tabelle12[[#This Row],[Änderung A]]*(Tabelle12[[#This Row],[Anteil A2]]),Tabelle12[[#This Row],[Änderung A]]*(1-Tabelle12[[#This Row],[Anteil A2]]))</f>
        <v>-0.19036506618250928</v>
      </c>
      <c r="AD514" s="12">
        <f>IF(SIGN(Tabelle12[[#This Row],[Änderung B]])=-1,Tabelle12[[#This Row],[Änderung B]]*(Tabelle12[[#This Row],[Anteil B1]]),Tabelle12[[#This Row],[Änderung B]]*(1-Tabelle12[[#This Row],[Anteil B1]]))</f>
        <v>0.18841468554442825</v>
      </c>
      <c r="AE514" s="12">
        <f>IF(SIGN(Tabelle12[[#This Row],[Änderung B]])=-1,Tabelle12[[#This Row],[Änderung B]]*(Tabelle12[[#This Row],[Anteil B2]]),Tabelle12[[#This Row],[Änderung B]]*(1-Tabelle12[[#This Row],[Anteil B2]]))</f>
        <v>0.20427707060949013</v>
      </c>
      <c r="AF514" s="17"/>
      <c r="AG514">
        <f>IF(IFERROR(Tabelle12[[#This Row],[Änderung B2]],0)=0,0,Tabelle12[[#This Row],[Spiel]])</f>
        <v>512</v>
      </c>
      <c r="AH514">
        <f>MATCH(Tabelle12[[#This Row],[Team A]],SpielerDaten!$1:$1,0)</f>
        <v>19</v>
      </c>
      <c r="AI514">
        <f>MATCH(Tabelle12[[#This Row],[Team A2]],SpielerDaten!$1:$1,0)</f>
        <v>42</v>
      </c>
      <c r="AJ514">
        <f>MATCH(Tabelle12[[#This Row],[Team B]],SpielerDaten!$1:$1,0)</f>
        <v>36</v>
      </c>
      <c r="AK514">
        <f>MATCH(Tabelle12[[#This Row],[Team B3]],SpielerDaten!$1:$1,0)</f>
        <v>43</v>
      </c>
    </row>
    <row r="515" spans="1:37" x14ac:dyDescent="0.25">
      <c r="A515">
        <v>513</v>
      </c>
      <c r="B515" t="str">
        <f>Tabelle6[[#This Row],[player_A1]]</f>
        <v>Hannes_S</v>
      </c>
      <c r="C515" t="str">
        <f>Tabelle6[[#This Row],[player_A2]]</f>
        <v>Jens_N</v>
      </c>
      <c r="D515" t="str">
        <f>Tabelle6[[#This Row],[player_B1]]</f>
        <v>Bastian_G</v>
      </c>
      <c r="E515" t="str">
        <f>Tabelle6[[#This Row],[player_B2]]</f>
        <v>Marvin_W</v>
      </c>
      <c r="F515">
        <f>Tabelle6[[#This Row],[Tore A]]</f>
        <v>4</v>
      </c>
      <c r="G515">
        <f>Tabelle6[[#This Row],[Tore B]]</f>
        <v>10</v>
      </c>
      <c r="H515" s="17"/>
      <c r="I515" s="1">
        <f>INDEX(Tabelle11[#All],(Tabelle12[[#This Row],[Spiel]]+13),Tabelle12[[#This Row],[ID A1]])</f>
        <v>105.88288773314328</v>
      </c>
      <c r="J515" s="1">
        <f>INDEX(Tabelle11[#All],(Tabelle12[[#This Row],[Spiel]]+13),Tabelle12[[#This Row],[ID A2]])</f>
        <v>100.65493399122809</v>
      </c>
      <c r="K515" s="1">
        <f>SUM(Tabelle12[[#This Row],[ELO vorher A1]:[ELO vorher A2]])</f>
        <v>206.53782172437138</v>
      </c>
      <c r="L515" s="1">
        <f>Tabelle12[[#This Row],[ELO vorher A1]]/Tabelle12[[#This Row],[ELO A gesamt]]</f>
        <v>0.51265616558329929</v>
      </c>
      <c r="M515" s="1">
        <f>Tabelle12[[#This Row],[ELO vorher A2]]/Tabelle12[[#This Row],[ELO A gesamt]]</f>
        <v>0.48734383441670065</v>
      </c>
      <c r="N515" s="19"/>
      <c r="O515" s="1">
        <f>INDEX(Tabelle11[#All],(Tabelle12[[#This Row],[Spiel]]+13),Tabelle12[[#This Row],[ID B1]])</f>
        <v>113.46131166684883</v>
      </c>
      <c r="P515" s="1">
        <f>INDEX(Tabelle11[#All],(Tabelle12[[#This Row],[Spiel]]+13),Tabelle12[[#This Row],[ID B2]])</f>
        <v>96.715447079296425</v>
      </c>
      <c r="Q515" s="1">
        <f>SUM(Tabelle12[[#This Row],[ELO vorher B1]:[ELO vorher B2]])</f>
        <v>210.17675874614525</v>
      </c>
      <c r="R515" s="1">
        <f>Tabelle12[[#This Row],[ELO vorher B1]]/Tabelle12[[#This Row],[ELO B gesamt]]</f>
        <v>0.53983757454309755</v>
      </c>
      <c r="S515" s="1">
        <f>Tabelle12[[#This Row],[ELO vorher B2]]/Tabelle12[[#This Row],[ELO B gesamt]]</f>
        <v>0.46016242545690239</v>
      </c>
      <c r="T515" s="19"/>
      <c r="U515" s="1">
        <f>1/(1+Ergebnisvorhersage!$C$5^((Q515-K515)/Ergebnisvorhersage!$C$6))</f>
        <v>0.45820295838442909</v>
      </c>
      <c r="V515" s="1">
        <f>1/(1+Ergebnisvorhersage!$C$5^((K515-Q515)/Ergebnisvorhersage!$C$6))</f>
        <v>0.54179704161557096</v>
      </c>
      <c r="W515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0.18799999999999994</v>
      </c>
      <c r="X515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0.81200000000000006</v>
      </c>
      <c r="Y515" s="17"/>
      <c r="Z515" s="12">
        <f>Ergebnisbewertung!$C$5*(W515-U515)</f>
        <v>-2.7020295838442916</v>
      </c>
      <c r="AA515" s="12">
        <f>Ergebnisbewertung!$C$5*(X515-V515)</f>
        <v>2.7020295838442907</v>
      </c>
      <c r="AB515" s="12">
        <f>IF(SIGN(Tabelle12[[#This Row],[Änderung A]])=-1,Tabelle12[[#This Row],[Änderung A]]*(Tabelle12[[#This Row],[Anteil A1]]),Tabelle12[[#This Row],[Änderung A]]*(1-Tabelle12[[#This Row],[Anteil A1]]))</f>
        <v>-1.3852121257462524</v>
      </c>
      <c r="AC515" s="12">
        <f>IF(SIGN(Tabelle12[[#This Row],[Änderung A]])=-1,Tabelle12[[#This Row],[Änderung A]]*(Tabelle12[[#This Row],[Anteil A2]]),Tabelle12[[#This Row],[Änderung A]]*(1-Tabelle12[[#This Row],[Anteil A2]]))</f>
        <v>-1.316817458098039</v>
      </c>
      <c r="AD515" s="12">
        <f>IF(SIGN(Tabelle12[[#This Row],[Änderung B]])=-1,Tabelle12[[#This Row],[Änderung B]]*(Tabelle12[[#This Row],[Anteil B1]]),Tabelle12[[#This Row],[Änderung B]]*(1-Tabelle12[[#This Row],[Anteil B1]]))</f>
        <v>1.2433724869580935</v>
      </c>
      <c r="AE515" s="12">
        <f>IF(SIGN(Tabelle12[[#This Row],[Änderung B]])=-1,Tabelle12[[#This Row],[Änderung B]]*(Tabelle12[[#This Row],[Anteil B2]]),Tabelle12[[#This Row],[Änderung B]]*(1-Tabelle12[[#This Row],[Anteil B2]]))</f>
        <v>1.4586570968861974</v>
      </c>
      <c r="AF515" s="17"/>
      <c r="AG515">
        <f>IF(IFERROR(Tabelle12[[#This Row],[Änderung B2]],0)=0,0,Tabelle12[[#This Row],[Spiel]])</f>
        <v>513</v>
      </c>
      <c r="AH515">
        <f>MATCH(Tabelle12[[#This Row],[Team A]],SpielerDaten!$1:$1,0)</f>
        <v>19</v>
      </c>
      <c r="AI515">
        <f>MATCH(Tabelle12[[#This Row],[Team A2]],SpielerDaten!$1:$1,0)</f>
        <v>22</v>
      </c>
      <c r="AJ515">
        <f>MATCH(Tabelle12[[#This Row],[Team B]],SpielerDaten!$1:$1,0)</f>
        <v>5</v>
      </c>
      <c r="AK515">
        <f>MATCH(Tabelle12[[#This Row],[Team B3]],SpielerDaten!$1:$1,0)</f>
        <v>31</v>
      </c>
    </row>
    <row r="516" spans="1:37" x14ac:dyDescent="0.25">
      <c r="A516">
        <v>514</v>
      </c>
      <c r="B516" t="str">
        <f>Tabelle6[[#This Row],[player_A1]]</f>
        <v>Hannes_S</v>
      </c>
      <c r="C516" t="str">
        <f>Tabelle6[[#This Row],[player_A2]]</f>
        <v>Jens_N</v>
      </c>
      <c r="D516" t="str">
        <f>Tabelle6[[#This Row],[player_B1]]</f>
        <v>Bastian_G</v>
      </c>
      <c r="E516" t="str">
        <f>Tabelle6[[#This Row],[player_B2]]</f>
        <v>Marvin_W</v>
      </c>
      <c r="F516">
        <f>Tabelle6[[#This Row],[Tore A]]</f>
        <v>5</v>
      </c>
      <c r="G516">
        <f>Tabelle6[[#This Row],[Tore B]]</f>
        <v>10</v>
      </c>
      <c r="H516" s="17"/>
      <c r="I516" s="1">
        <f>INDEX(Tabelle11[#All],(Tabelle12[[#This Row],[Spiel]]+13),Tabelle12[[#This Row],[ID A1]])</f>
        <v>104.49767560739703</v>
      </c>
      <c r="J516" s="1">
        <f>INDEX(Tabelle11[#All],(Tabelle12[[#This Row],[Spiel]]+13),Tabelle12[[#This Row],[ID A2]])</f>
        <v>99.338116533130048</v>
      </c>
      <c r="K516" s="1">
        <f>SUM(Tabelle12[[#This Row],[ELO vorher A1]:[ELO vorher A2]])</f>
        <v>203.83579214052708</v>
      </c>
      <c r="L516" s="1">
        <f>Tabelle12[[#This Row],[ELO vorher A1]]/Tabelle12[[#This Row],[ELO A gesamt]]</f>
        <v>0.51265616558329929</v>
      </c>
      <c r="M516" s="1">
        <f>Tabelle12[[#This Row],[ELO vorher A2]]/Tabelle12[[#This Row],[ELO A gesamt]]</f>
        <v>0.48734383441670071</v>
      </c>
      <c r="N516" s="19"/>
      <c r="O516" s="1">
        <f>INDEX(Tabelle11[#All],(Tabelle12[[#This Row],[Spiel]]+13),Tabelle12[[#This Row],[ID B1]])</f>
        <v>114.70468415380692</v>
      </c>
      <c r="P516" s="1">
        <f>INDEX(Tabelle11[#All],(Tabelle12[[#This Row],[Spiel]]+13),Tabelle12[[#This Row],[ID B2]])</f>
        <v>98.174104176182624</v>
      </c>
      <c r="Q516" s="1">
        <f>SUM(Tabelle12[[#This Row],[ELO vorher B1]:[ELO vorher B2]])</f>
        <v>212.87878832998956</v>
      </c>
      <c r="R516" s="1">
        <f>Tabelle12[[#This Row],[ELO vorher B1]]/Tabelle12[[#This Row],[ELO B gesamt]]</f>
        <v>0.53882627317476028</v>
      </c>
      <c r="S516" s="1">
        <f>Tabelle12[[#This Row],[ELO vorher B2]]/Tabelle12[[#This Row],[ELO B gesamt]]</f>
        <v>0.46117372682523966</v>
      </c>
      <c r="T516" s="19"/>
      <c r="U516" s="1">
        <f>1/(1+Ergebnisvorhersage!$C$5^((Q516-K516)/Ergebnisvorhersage!$C$6))</f>
        <v>0.39736765531054247</v>
      </c>
      <c r="V516" s="1">
        <f>1/(1+Ergebnisvorhersage!$C$5^((K516-Q516)/Ergebnisvorhersage!$C$6))</f>
        <v>0.60263234468945748</v>
      </c>
      <c r="W516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0.28125</v>
      </c>
      <c r="X516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0.71875</v>
      </c>
      <c r="Y516" s="17"/>
      <c r="Z516" s="12">
        <f>Ergebnisbewertung!$C$5*(W516-U516)</f>
        <v>-1.1611765531054248</v>
      </c>
      <c r="AA516" s="12">
        <f>Ergebnisbewertung!$C$5*(X516-V516)</f>
        <v>1.1611765531054252</v>
      </c>
      <c r="AB516" s="12">
        <f>IF(SIGN(Tabelle12[[#This Row],[Änderung A]])=-1,Tabelle12[[#This Row],[Änderung A]]*(Tabelle12[[#This Row],[Anteil A1]]),Tabelle12[[#This Row],[Änderung A]]*(1-Tabelle12[[#This Row],[Anteil A1]]))</f>
        <v>-0.59528431928025938</v>
      </c>
      <c r="AC516" s="12">
        <f>IF(SIGN(Tabelle12[[#This Row],[Änderung A]])=-1,Tabelle12[[#This Row],[Änderung A]]*(Tabelle12[[#This Row],[Anteil A2]]),Tabelle12[[#This Row],[Änderung A]]*(1-Tabelle12[[#This Row],[Anteil A2]]))</f>
        <v>-0.5658922338251654</v>
      </c>
      <c r="AD516" s="12">
        <f>IF(SIGN(Tabelle12[[#This Row],[Änderung B]])=-1,Tabelle12[[#This Row],[Änderung B]]*(Tabelle12[[#This Row],[Anteil B1]]),Tabelle12[[#This Row],[Änderung B]]*(1-Tabelle12[[#This Row],[Anteil B1]]))</f>
        <v>0.53550411849771484</v>
      </c>
      <c r="AE516" s="12">
        <f>IF(SIGN(Tabelle12[[#This Row],[Änderung B]])=-1,Tabelle12[[#This Row],[Änderung B]]*(Tabelle12[[#This Row],[Anteil B2]]),Tabelle12[[#This Row],[Änderung B]]*(1-Tabelle12[[#This Row],[Anteil B2]]))</f>
        <v>0.62567243460771049</v>
      </c>
      <c r="AF516" s="17"/>
      <c r="AG516">
        <f>IF(IFERROR(Tabelle12[[#This Row],[Änderung B2]],0)=0,0,Tabelle12[[#This Row],[Spiel]])</f>
        <v>514</v>
      </c>
      <c r="AH516">
        <f>MATCH(Tabelle12[[#This Row],[Team A]],SpielerDaten!$1:$1,0)</f>
        <v>19</v>
      </c>
      <c r="AI516">
        <f>MATCH(Tabelle12[[#This Row],[Team A2]],SpielerDaten!$1:$1,0)</f>
        <v>22</v>
      </c>
      <c r="AJ516">
        <f>MATCH(Tabelle12[[#This Row],[Team B]],SpielerDaten!$1:$1,0)</f>
        <v>5</v>
      </c>
      <c r="AK516">
        <f>MATCH(Tabelle12[[#This Row],[Team B3]],SpielerDaten!$1:$1,0)</f>
        <v>31</v>
      </c>
    </row>
    <row r="517" spans="1:37" x14ac:dyDescent="0.25">
      <c r="A517">
        <v>515</v>
      </c>
      <c r="B517" t="str">
        <f>Tabelle6[[#This Row],[player_A1]]</f>
        <v>Carsten_H</v>
      </c>
      <c r="C517" t="str">
        <f>Tabelle6[[#This Row],[player_A2]]</f>
        <v>Daniel_D</v>
      </c>
      <c r="D517" t="str">
        <f>Tabelle6[[#This Row],[player_B1]]</f>
        <v>Bastian_G</v>
      </c>
      <c r="E517" t="str">
        <f>Tabelle6[[#This Row],[player_B2]]</f>
        <v>Richard_D</v>
      </c>
      <c r="F517">
        <f>Tabelle6[[#This Row],[Tore A]]</f>
        <v>6</v>
      </c>
      <c r="G517">
        <f>Tabelle6[[#This Row],[Tore B]]</f>
        <v>10</v>
      </c>
      <c r="H517" s="17"/>
      <c r="I517" s="1">
        <f>INDEX(Tabelle11[#All],(Tabelle12[[#This Row],[Spiel]]+13),Tabelle12[[#This Row],[ID A1]])</f>
        <v>93.891592096763162</v>
      </c>
      <c r="J517" s="1">
        <f>INDEX(Tabelle11[#All],(Tabelle12[[#This Row],[Spiel]]+13),Tabelle12[[#This Row],[ID A2]])</f>
        <v>99.359008586072193</v>
      </c>
      <c r="K517" s="1">
        <f>SUM(Tabelle12[[#This Row],[ELO vorher A1]:[ELO vorher A2]])</f>
        <v>193.25060068283534</v>
      </c>
      <c r="L517" s="1">
        <f>Tabelle12[[#This Row],[ELO vorher A1]]/Tabelle12[[#This Row],[ELO A gesamt]]</f>
        <v>0.48585407633924466</v>
      </c>
      <c r="M517" s="1">
        <f>Tabelle12[[#This Row],[ELO vorher A2]]/Tabelle12[[#This Row],[ELO A gesamt]]</f>
        <v>0.5141459236607554</v>
      </c>
      <c r="N517" s="19"/>
      <c r="O517" s="1">
        <f>INDEX(Tabelle11[#All],(Tabelle12[[#This Row],[Spiel]]+13),Tabelle12[[#This Row],[ID B1]])</f>
        <v>115.24018827230464</v>
      </c>
      <c r="P517" s="1">
        <f>INDEX(Tabelle11[#All],(Tabelle12[[#This Row],[Spiel]]+13),Tabelle12[[#This Row],[ID B2]])</f>
        <v>109.17717466870806</v>
      </c>
      <c r="Q517" s="1">
        <f>SUM(Tabelle12[[#This Row],[ELO vorher B1]:[ELO vorher B2]])</f>
        <v>224.4173629410127</v>
      </c>
      <c r="R517" s="1">
        <f>Tabelle12[[#This Row],[ELO vorher B1]]/Tabelle12[[#This Row],[ELO B gesamt]]</f>
        <v>0.51350834339228513</v>
      </c>
      <c r="S517" s="1">
        <f>Tabelle12[[#This Row],[ELO vorher B2]]/Tabelle12[[#This Row],[ELO B gesamt]]</f>
        <v>0.48649165660771487</v>
      </c>
      <c r="T517" s="19"/>
      <c r="U517" s="1">
        <f>1/(1+Ergebnisvorhersage!$C$5^((Q517-K517)/Ergebnisvorhersage!$C$6))</f>
        <v>0.19227695245343118</v>
      </c>
      <c r="V517" s="1">
        <f>1/(1+Ergebnisvorhersage!$C$5^((K517-Q517)/Ergebnisvorhersage!$C$6))</f>
        <v>0.80772304754656887</v>
      </c>
      <c r="W517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0.35199999999999998</v>
      </c>
      <c r="X517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0.64800000000000002</v>
      </c>
      <c r="Y517" s="17"/>
      <c r="Z517" s="12">
        <f>Ergebnisbewertung!$C$5*(W517-U517)</f>
        <v>1.5972304754656879</v>
      </c>
      <c r="AA517" s="12">
        <f>Ergebnisbewertung!$C$5*(X517-V517)</f>
        <v>-1.5972304754656885</v>
      </c>
      <c r="AB517" s="12">
        <f>IF(SIGN(Tabelle12[[#This Row],[Änderung A]])=-1,Tabelle12[[#This Row],[Änderung A]]*(Tabelle12[[#This Row],[Anteil A1]]),Tabelle12[[#This Row],[Änderung A]]*(1-Tabelle12[[#This Row],[Anteil A1]]))</f>
        <v>0.82120953810741337</v>
      </c>
      <c r="AC517" s="12">
        <f>IF(SIGN(Tabelle12[[#This Row],[Änderung A]])=-1,Tabelle12[[#This Row],[Änderung A]]*(Tabelle12[[#This Row],[Anteil A2]]),Tabelle12[[#This Row],[Änderung A]]*(1-Tabelle12[[#This Row],[Anteil A2]]))</f>
        <v>0.77602093735827427</v>
      </c>
      <c r="AD517" s="12">
        <f>IF(SIGN(Tabelle12[[#This Row],[Änderung B]])=-1,Tabelle12[[#This Row],[Änderung B]]*(Tabelle12[[#This Row],[Anteil B1]]),Tabelle12[[#This Row],[Änderung B]]*(1-Tabelle12[[#This Row],[Anteil B1]]))</f>
        <v>-0.82019117547205767</v>
      </c>
      <c r="AE517" s="12">
        <f>IF(SIGN(Tabelle12[[#This Row],[Änderung B]])=-1,Tabelle12[[#This Row],[Änderung B]]*(Tabelle12[[#This Row],[Anteil B2]]),Tabelle12[[#This Row],[Änderung B]]*(1-Tabelle12[[#This Row],[Anteil B2]]))</f>
        <v>-0.77703929999363086</v>
      </c>
      <c r="AF517" s="17"/>
      <c r="AG517">
        <f>IF(IFERROR(Tabelle12[[#This Row],[Änderung B2]],0)=0,0,Tabelle12[[#This Row],[Spiel]])</f>
        <v>515</v>
      </c>
      <c r="AH517">
        <f>MATCH(Tabelle12[[#This Row],[Team A]],SpielerDaten!$1:$1,0)</f>
        <v>9</v>
      </c>
      <c r="AI517">
        <f>MATCH(Tabelle12[[#This Row],[Team A2]],SpielerDaten!$1:$1,0)</f>
        <v>12</v>
      </c>
      <c r="AJ517">
        <f>MATCH(Tabelle12[[#This Row],[Team B]],SpielerDaten!$1:$1,0)</f>
        <v>5</v>
      </c>
      <c r="AK517">
        <f>MATCH(Tabelle12[[#This Row],[Team B3]],SpielerDaten!$1:$1,0)</f>
        <v>38</v>
      </c>
    </row>
    <row r="518" spans="1:37" x14ac:dyDescent="0.25">
      <c r="A518">
        <v>516</v>
      </c>
      <c r="B518" t="str">
        <f>Tabelle6[[#This Row],[player_A1]]</f>
        <v>Carsten_H</v>
      </c>
      <c r="C518" t="str">
        <f>Tabelle6[[#This Row],[player_A2]]</f>
        <v>Daniel_D</v>
      </c>
      <c r="D518" t="str">
        <f>Tabelle6[[#This Row],[player_B1]]</f>
        <v>Bastian_G</v>
      </c>
      <c r="E518" t="str">
        <f>Tabelle6[[#This Row],[player_B2]]</f>
        <v>Richard_D</v>
      </c>
      <c r="F518">
        <f>Tabelle6[[#This Row],[Tore A]]</f>
        <v>4</v>
      </c>
      <c r="G518">
        <f>Tabelle6[[#This Row],[Tore B]]</f>
        <v>10</v>
      </c>
      <c r="H518" s="17"/>
      <c r="I518" s="1">
        <f>INDEX(Tabelle11[#All],(Tabelle12[[#This Row],[Spiel]]+13),Tabelle12[[#This Row],[ID A1]])</f>
        <v>94.712801634870573</v>
      </c>
      <c r="J518" s="1">
        <f>INDEX(Tabelle11[#All],(Tabelle12[[#This Row],[Spiel]]+13),Tabelle12[[#This Row],[ID A2]])</f>
        <v>100.13502952343046</v>
      </c>
      <c r="K518" s="1">
        <f>SUM(Tabelle12[[#This Row],[ELO vorher A1]:[ELO vorher A2]])</f>
        <v>194.84783115830103</v>
      </c>
      <c r="L518" s="1">
        <f>Tabelle12[[#This Row],[ELO vorher A1]]/Tabelle12[[#This Row],[ELO A gesamt]]</f>
        <v>0.48608599373078298</v>
      </c>
      <c r="M518" s="1">
        <f>Tabelle12[[#This Row],[ELO vorher A2]]/Tabelle12[[#This Row],[ELO A gesamt]]</f>
        <v>0.51391400626921702</v>
      </c>
      <c r="N518" s="19"/>
      <c r="O518" s="1">
        <f>INDEX(Tabelle11[#All],(Tabelle12[[#This Row],[Spiel]]+13),Tabelle12[[#This Row],[ID B1]])</f>
        <v>114.41999709683257</v>
      </c>
      <c r="P518" s="1">
        <f>INDEX(Tabelle11[#All],(Tabelle12[[#This Row],[Spiel]]+13),Tabelle12[[#This Row],[ID B2]])</f>
        <v>108.40013536871443</v>
      </c>
      <c r="Q518" s="1">
        <f>SUM(Tabelle12[[#This Row],[ELO vorher B1]:[ELO vorher B2]])</f>
        <v>222.820132465547</v>
      </c>
      <c r="R518" s="1">
        <f>Tabelle12[[#This Row],[ELO vorher B1]]/Tabelle12[[#This Row],[ELO B gesamt]]</f>
        <v>0.51350834339228513</v>
      </c>
      <c r="S518" s="1">
        <f>Tabelle12[[#This Row],[ELO vorher B2]]/Tabelle12[[#This Row],[ELO B gesamt]]</f>
        <v>0.48649165660771487</v>
      </c>
      <c r="T518" s="19"/>
      <c r="U518" s="1">
        <f>1/(1+Ergebnisvorhersage!$C$5^((Q518-K518)/Ergebnisvorhersage!$C$6))</f>
        <v>0.21616236592013818</v>
      </c>
      <c r="V518" s="1">
        <f>1/(1+Ergebnisvorhersage!$C$5^((K518-Q518)/Ergebnisvorhersage!$C$6))</f>
        <v>0.78383763407986184</v>
      </c>
      <c r="W518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0.18799999999999994</v>
      </c>
      <c r="X518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0.81200000000000006</v>
      </c>
      <c r="Y518" s="17"/>
      <c r="Z518" s="12">
        <f>Ergebnisbewertung!$C$5*(W518-U518)</f>
        <v>-0.28162365920138238</v>
      </c>
      <c r="AA518" s="12">
        <f>Ergebnisbewertung!$C$5*(X518-V518)</f>
        <v>0.2816236592013821</v>
      </c>
      <c r="AB518" s="12">
        <f>IF(SIGN(Tabelle12[[#This Row],[Änderung A]])=-1,Tabelle12[[#This Row],[Änderung A]]*(Tabelle12[[#This Row],[Anteil A1]]),Tabelle12[[#This Row],[Änderung A]]*(1-Tabelle12[[#This Row],[Anteil A1]]))</f>
        <v>-0.13689331624100332</v>
      </c>
      <c r="AC518" s="12">
        <f>IF(SIGN(Tabelle12[[#This Row],[Änderung A]])=-1,Tabelle12[[#This Row],[Änderung A]]*(Tabelle12[[#This Row],[Anteil A2]]),Tabelle12[[#This Row],[Änderung A]]*(1-Tabelle12[[#This Row],[Anteil A2]]))</f>
        <v>-0.14473034296037907</v>
      </c>
      <c r="AD518" s="12">
        <f>IF(SIGN(Tabelle12[[#This Row],[Änderung B]])=-1,Tabelle12[[#This Row],[Änderung B]]*(Tabelle12[[#This Row],[Anteil B1]]),Tabelle12[[#This Row],[Änderung B]]*(1-Tabelle12[[#This Row],[Anteil B1]]))</f>
        <v>0.13700756050480689</v>
      </c>
      <c r="AE518" s="12">
        <f>IF(SIGN(Tabelle12[[#This Row],[Änderung B]])=-1,Tabelle12[[#This Row],[Änderung B]]*(Tabelle12[[#This Row],[Anteil B2]]),Tabelle12[[#This Row],[Änderung B]]*(1-Tabelle12[[#This Row],[Anteil B2]]))</f>
        <v>0.14461609869657521</v>
      </c>
      <c r="AF518" s="17"/>
      <c r="AG518">
        <f>IF(IFERROR(Tabelle12[[#This Row],[Änderung B2]],0)=0,0,Tabelle12[[#This Row],[Spiel]])</f>
        <v>516</v>
      </c>
      <c r="AH518">
        <f>MATCH(Tabelle12[[#This Row],[Team A]],SpielerDaten!$1:$1,0)</f>
        <v>9</v>
      </c>
      <c r="AI518">
        <f>MATCH(Tabelle12[[#This Row],[Team A2]],SpielerDaten!$1:$1,0)</f>
        <v>12</v>
      </c>
      <c r="AJ518">
        <f>MATCH(Tabelle12[[#This Row],[Team B]],SpielerDaten!$1:$1,0)</f>
        <v>5</v>
      </c>
      <c r="AK518">
        <f>MATCH(Tabelle12[[#This Row],[Team B3]],SpielerDaten!$1:$1,0)</f>
        <v>38</v>
      </c>
    </row>
    <row r="519" spans="1:37" x14ac:dyDescent="0.25">
      <c r="A519">
        <v>517</v>
      </c>
      <c r="B519" t="str">
        <f>Tabelle6[[#This Row],[player_A1]]</f>
        <v>Lukas_L</v>
      </c>
      <c r="C519" t="str">
        <f>Tabelle6[[#This Row],[player_A2]]</f>
        <v>Anton_K</v>
      </c>
      <c r="D519" t="str">
        <f>Tabelle6[[#This Row],[player_B1]]</f>
        <v>Michael_D</v>
      </c>
      <c r="E519" t="str">
        <f>Tabelle6[[#This Row],[player_B2]]</f>
        <v>Fabian_M</v>
      </c>
      <c r="F519">
        <f>Tabelle6[[#This Row],[Tore A]]</f>
        <v>8</v>
      </c>
      <c r="G519">
        <f>Tabelle6[[#This Row],[Tore B]]</f>
        <v>10</v>
      </c>
      <c r="H519" s="17"/>
      <c r="I519" s="1">
        <f>INDEX(Tabelle11[#All],(Tabelle12[[#This Row],[Spiel]]+13),Tabelle12[[#This Row],[ID A1]])</f>
        <v>97.557204275970349</v>
      </c>
      <c r="J519" s="1">
        <f>INDEX(Tabelle11[#All],(Tabelle12[[#This Row],[Spiel]]+13),Tabelle12[[#This Row],[ID A2]])</f>
        <v>98.41146373956164</v>
      </c>
      <c r="K519" s="1">
        <f>SUM(Tabelle12[[#This Row],[ELO vorher A1]:[ELO vorher A2]])</f>
        <v>195.96866801553199</v>
      </c>
      <c r="L519" s="1">
        <f>Tabelle12[[#This Row],[ELO vorher A1]]/Tabelle12[[#This Row],[ELO A gesamt]]</f>
        <v>0.49782041825297402</v>
      </c>
      <c r="M519" s="1">
        <f>Tabelle12[[#This Row],[ELO vorher A2]]/Tabelle12[[#This Row],[ELO A gesamt]]</f>
        <v>0.50217958174702593</v>
      </c>
      <c r="N519" s="19"/>
      <c r="O519" s="1">
        <f>INDEX(Tabelle11[#All],(Tabelle12[[#This Row],[Spiel]]+13),Tabelle12[[#This Row],[ID B1]])</f>
        <v>97.325259927934127</v>
      </c>
      <c r="P519" s="1">
        <f>INDEX(Tabelle11[#All],(Tabelle12[[#This Row],[Spiel]]+13),Tabelle12[[#This Row],[ID B2]])</f>
        <v>96.683396186978783</v>
      </c>
      <c r="Q519" s="1">
        <f>SUM(Tabelle12[[#This Row],[ELO vorher B1]:[ELO vorher B2]])</f>
        <v>194.00865611491292</v>
      </c>
      <c r="R519" s="1">
        <f>Tabelle12[[#This Row],[ELO vorher B1]]/Tabelle12[[#This Row],[ELO B gesamt]]</f>
        <v>0.50165421418252376</v>
      </c>
      <c r="S519" s="1">
        <f>Tabelle12[[#This Row],[ELO vorher B2]]/Tabelle12[[#This Row],[ELO B gesamt]]</f>
        <v>0.49834578581747618</v>
      </c>
      <c r="T519" s="19"/>
      <c r="U519" s="1">
        <f>1/(1+Ergebnisvorhersage!$C$5^((Q519-K519)/Ergebnisvorhersage!$C$6))</f>
        <v>0.52255016292912926</v>
      </c>
      <c r="V519" s="1">
        <f>1/(1+Ergebnisvorhersage!$C$5^((K519-Q519)/Ergebnisvorhersage!$C$6))</f>
        <v>0.47744983707087069</v>
      </c>
      <c r="W519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0.44400000000000001</v>
      </c>
      <c r="X519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0.55600000000000005</v>
      </c>
      <c r="Y519" s="17"/>
      <c r="Z519" s="12">
        <f>Ergebnisbewertung!$C$5*(W519-U519)</f>
        <v>-0.78550162929129252</v>
      </c>
      <c r="AA519" s="12">
        <f>Ergebnisbewertung!$C$5*(X519-V519)</f>
        <v>0.78550162929129363</v>
      </c>
      <c r="AB519" s="12">
        <f>IF(SIGN(Tabelle12[[#This Row],[Änderung A]])=-1,Tabelle12[[#This Row],[Änderung A]]*(Tabelle12[[#This Row],[Anteil A1]]),Tabelle12[[#This Row],[Änderung A]]*(1-Tabelle12[[#This Row],[Anteil A1]]))</f>
        <v>-0.39103874963218377</v>
      </c>
      <c r="AC519" s="12">
        <f>IF(SIGN(Tabelle12[[#This Row],[Änderung A]])=-1,Tabelle12[[#This Row],[Änderung A]]*(Tabelle12[[#This Row],[Anteil A2]]),Tabelle12[[#This Row],[Änderung A]]*(1-Tabelle12[[#This Row],[Anteil A2]]))</f>
        <v>-0.3944628796591087</v>
      </c>
      <c r="AD519" s="12">
        <f>IF(SIGN(Tabelle12[[#This Row],[Änderung B]])=-1,Tabelle12[[#This Row],[Änderung B]]*(Tabelle12[[#This Row],[Anteil B1]]),Tabelle12[[#This Row],[Änderung B]]*(1-Tabelle12[[#This Row],[Anteil B1]]))</f>
        <v>0.39145142671007765</v>
      </c>
      <c r="AE519" s="12">
        <f>IF(SIGN(Tabelle12[[#This Row],[Änderung B]])=-1,Tabelle12[[#This Row],[Änderung B]]*(Tabelle12[[#This Row],[Anteil B2]]),Tabelle12[[#This Row],[Änderung B]]*(1-Tabelle12[[#This Row],[Anteil B2]]))</f>
        <v>0.39405020258121598</v>
      </c>
      <c r="AF519" s="17"/>
      <c r="AG519">
        <f>IF(IFERROR(Tabelle12[[#This Row],[Änderung B2]],0)=0,0,Tabelle12[[#This Row],[Spiel]])</f>
        <v>517</v>
      </c>
      <c r="AH519">
        <f>MATCH(Tabelle12[[#This Row],[Team A]],SpielerDaten!$1:$1,0)</f>
        <v>27</v>
      </c>
      <c r="AI519">
        <f>MATCH(Tabelle12[[#This Row],[Team A2]],SpielerDaten!$1:$1,0)</f>
        <v>4</v>
      </c>
      <c r="AJ519">
        <f>MATCH(Tabelle12[[#This Row],[Team B]],SpielerDaten!$1:$1,0)</f>
        <v>33</v>
      </c>
      <c r="AK519">
        <f>MATCH(Tabelle12[[#This Row],[Team B3]],SpielerDaten!$1:$1,0)</f>
        <v>18</v>
      </c>
    </row>
    <row r="520" spans="1:37" x14ac:dyDescent="0.25">
      <c r="A520">
        <v>518</v>
      </c>
      <c r="B520" t="str">
        <f>Tabelle6[[#This Row],[player_A1]]</f>
        <v>Lukas_L</v>
      </c>
      <c r="C520" t="str">
        <f>Tabelle6[[#This Row],[player_A2]]</f>
        <v>Anton_K</v>
      </c>
      <c r="D520" t="str">
        <f>Tabelle6[[#This Row],[player_B1]]</f>
        <v>Michael_D</v>
      </c>
      <c r="E520" t="str">
        <f>Tabelle6[[#This Row],[player_B2]]</f>
        <v>Fabian_M</v>
      </c>
      <c r="F520">
        <f>Tabelle6[[#This Row],[Tore A]]</f>
        <v>10</v>
      </c>
      <c r="G520">
        <f>Tabelle6[[#This Row],[Tore B]]</f>
        <v>7</v>
      </c>
      <c r="H520" s="17"/>
      <c r="I520" s="1">
        <f>INDEX(Tabelle11[#All],(Tabelle12[[#This Row],[Spiel]]+13),Tabelle12[[#This Row],[ID A1]])</f>
        <v>97.166165526338162</v>
      </c>
      <c r="J520" s="1">
        <f>INDEX(Tabelle11[#All],(Tabelle12[[#This Row],[Spiel]]+13),Tabelle12[[#This Row],[ID A2]])</f>
        <v>98.017000859902538</v>
      </c>
      <c r="K520" s="1">
        <f>SUM(Tabelle12[[#This Row],[ELO vorher A1]:[ELO vorher A2]])</f>
        <v>195.18316638624071</v>
      </c>
      <c r="L520" s="1">
        <f>Tabelle12[[#This Row],[ELO vorher A1]]/Tabelle12[[#This Row],[ELO A gesamt]]</f>
        <v>0.49782041825297396</v>
      </c>
      <c r="M520" s="1">
        <f>Tabelle12[[#This Row],[ELO vorher A2]]/Tabelle12[[#This Row],[ELO A gesamt]]</f>
        <v>0.50217958174702593</v>
      </c>
      <c r="N520" s="19"/>
      <c r="O520" s="1">
        <f>INDEX(Tabelle11[#All],(Tabelle12[[#This Row],[Spiel]]+13),Tabelle12[[#This Row],[ID B1]])</f>
        <v>97.716711354644204</v>
      </c>
      <c r="P520" s="1">
        <f>INDEX(Tabelle11[#All],(Tabelle12[[#This Row],[Spiel]]+13),Tabelle12[[#This Row],[ID B2]])</f>
        <v>97.077446389559995</v>
      </c>
      <c r="Q520" s="1">
        <f>SUM(Tabelle12[[#This Row],[ELO vorher B1]:[ELO vorher B2]])</f>
        <v>194.7941577442042</v>
      </c>
      <c r="R520" s="1">
        <f>Tabelle12[[#This Row],[ELO vorher B1]]/Tabelle12[[#This Row],[ELO B gesamt]]</f>
        <v>0.50164087304385085</v>
      </c>
      <c r="S520" s="1">
        <f>Tabelle12[[#This Row],[ELO vorher B2]]/Tabelle12[[#This Row],[ELO B gesamt]]</f>
        <v>0.49835912695614909</v>
      </c>
      <c r="T520" s="19"/>
      <c r="U520" s="1">
        <f>1/(1+Ergebnisvorhersage!$C$5^((Q520-K520)/Ergebnisvorhersage!$C$6))</f>
        <v>0.50447850772780289</v>
      </c>
      <c r="V520" s="1">
        <f>1/(1+Ergebnisvorhersage!$C$5^((K520-Q520)/Ergebnisvorhersage!$C$6))</f>
        <v>0.49552149227219711</v>
      </c>
      <c r="W520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0.59525000000000006</v>
      </c>
      <c r="X520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0.40475</v>
      </c>
      <c r="Y520" s="17"/>
      <c r="Z520" s="12">
        <f>Ergebnisbewertung!$C$5*(W520-U520)</f>
        <v>0.90771492272197163</v>
      </c>
      <c r="AA520" s="12">
        <f>Ergebnisbewertung!$C$5*(X520-V520)</f>
        <v>-0.90771492272197107</v>
      </c>
      <c r="AB520" s="12">
        <f>IF(SIGN(Tabelle12[[#This Row],[Änderung A]])=-1,Tabelle12[[#This Row],[Änderung A]]*(Tabelle12[[#This Row],[Anteil A1]]),Tabelle12[[#This Row],[Änderung A]]*(1-Tabelle12[[#This Row],[Anteil A1]]))</f>
        <v>0.45583590023805376</v>
      </c>
      <c r="AC520" s="12">
        <f>IF(SIGN(Tabelle12[[#This Row],[Änderung A]])=-1,Tabelle12[[#This Row],[Änderung A]]*(Tabelle12[[#This Row],[Anteil A2]]),Tabelle12[[#This Row],[Änderung A]]*(1-Tabelle12[[#This Row],[Anteil A2]]))</f>
        <v>0.45187902248391798</v>
      </c>
      <c r="AD520" s="12">
        <f>IF(SIGN(Tabelle12[[#This Row],[Änderung B]])=-1,Tabelle12[[#This Row],[Änderung B]]*(Tabelle12[[#This Row],[Anteil B1]]),Tabelle12[[#This Row],[Änderung B]]*(1-Tabelle12[[#This Row],[Anteil B1]]))</f>
        <v>-0.45534690630918118</v>
      </c>
      <c r="AE520" s="12">
        <f>IF(SIGN(Tabelle12[[#This Row],[Änderung B]])=-1,Tabelle12[[#This Row],[Änderung B]]*(Tabelle12[[#This Row],[Anteil B2]]),Tabelle12[[#This Row],[Änderung B]]*(1-Tabelle12[[#This Row],[Anteil B2]]))</f>
        <v>-0.45236801641278984</v>
      </c>
      <c r="AF520" s="17"/>
      <c r="AG520">
        <f>IF(IFERROR(Tabelle12[[#This Row],[Änderung B2]],0)=0,0,Tabelle12[[#This Row],[Spiel]])</f>
        <v>518</v>
      </c>
      <c r="AH520">
        <f>MATCH(Tabelle12[[#This Row],[Team A]],SpielerDaten!$1:$1,0)</f>
        <v>27</v>
      </c>
      <c r="AI520">
        <f>MATCH(Tabelle12[[#This Row],[Team A2]],SpielerDaten!$1:$1,0)</f>
        <v>4</v>
      </c>
      <c r="AJ520">
        <f>MATCH(Tabelle12[[#This Row],[Team B]],SpielerDaten!$1:$1,0)</f>
        <v>33</v>
      </c>
      <c r="AK520">
        <f>MATCH(Tabelle12[[#This Row],[Team B3]],SpielerDaten!$1:$1,0)</f>
        <v>18</v>
      </c>
    </row>
    <row r="521" spans="1:37" x14ac:dyDescent="0.25">
      <c r="A521">
        <v>519</v>
      </c>
      <c r="B521" t="str">
        <f>Tabelle6[[#This Row],[player_A1]]</f>
        <v>Aleix_V</v>
      </c>
      <c r="C521" t="str">
        <f>Tabelle6[[#This Row],[player_A2]]</f>
        <v>Marcin_S</v>
      </c>
      <c r="D521" t="str">
        <f>Tabelle6[[#This Row],[player_B1]]</f>
        <v>Richard_D</v>
      </c>
      <c r="E521" t="str">
        <f>Tabelle6[[#This Row],[player_B2]]</f>
        <v>Carsten_H</v>
      </c>
      <c r="F521">
        <f>Tabelle6[[#This Row],[Tore A]]</f>
        <v>10</v>
      </c>
      <c r="G521">
        <f>Tabelle6[[#This Row],[Tore B]]</f>
        <v>3</v>
      </c>
      <c r="H521" s="17"/>
      <c r="I521" s="1">
        <f>INDEX(Tabelle11[#All],(Tabelle12[[#This Row],[Spiel]]+13),Tabelle12[[#This Row],[ID A1]])</f>
        <v>104.14934138064426</v>
      </c>
      <c r="J521" s="1">
        <f>INDEX(Tabelle11[#All],(Tabelle12[[#This Row],[Spiel]]+13),Tabelle12[[#This Row],[ID A2]])</f>
        <v>81.504592795638743</v>
      </c>
      <c r="K521" s="1">
        <f>SUM(Tabelle12[[#This Row],[ELO vorher A1]:[ELO vorher A2]])</f>
        <v>185.653934176283</v>
      </c>
      <c r="L521" s="1">
        <f>Tabelle12[[#This Row],[ELO vorher A1]]/Tabelle12[[#This Row],[ELO A gesamt]]</f>
        <v>0.56098644956132138</v>
      </c>
      <c r="M521" s="1">
        <f>Tabelle12[[#This Row],[ELO vorher A2]]/Tabelle12[[#This Row],[ELO A gesamt]]</f>
        <v>0.43901355043867862</v>
      </c>
      <c r="N521" s="19"/>
      <c r="O521" s="1">
        <f>INDEX(Tabelle11[#All],(Tabelle12[[#This Row],[Spiel]]+13),Tabelle12[[#This Row],[ID B1]])</f>
        <v>108.544751467411</v>
      </c>
      <c r="P521" s="1">
        <f>INDEX(Tabelle11[#All],(Tabelle12[[#This Row],[Spiel]]+13),Tabelle12[[#This Row],[ID B2]])</f>
        <v>94.575908318629573</v>
      </c>
      <c r="Q521" s="1">
        <f>SUM(Tabelle12[[#This Row],[ELO vorher B1]:[ELO vorher B2]])</f>
        <v>203.12065978604056</v>
      </c>
      <c r="R521" s="1">
        <f>Tabelle12[[#This Row],[ELO vorher B1]]/Tabelle12[[#This Row],[ELO B gesamt]]</f>
        <v>0.53438557939772269</v>
      </c>
      <c r="S521" s="1">
        <f>Tabelle12[[#This Row],[ELO vorher B2]]/Tabelle12[[#This Row],[ELO B gesamt]]</f>
        <v>0.46561442060227737</v>
      </c>
      <c r="T521" s="19"/>
      <c r="U521" s="1">
        <f>1/(1+Ergebnisvorhersage!$C$5^((Q521-K521)/Ergebnisvorhersage!$C$6))</f>
        <v>0.30909098926352274</v>
      </c>
      <c r="V521" s="1">
        <f>1/(1+Ergebnisvorhersage!$C$5^((K521-Q521)/Ergebnisvorhersage!$C$6))</f>
        <v>0.69090901073647726</v>
      </c>
      <c r="W521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0.93224999999999991</v>
      </c>
      <c r="X521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6.7749999999999977E-2</v>
      </c>
      <c r="Y521" s="17"/>
      <c r="Z521" s="12">
        <f>Ergebnisbewertung!$C$5*(W521-U521)</f>
        <v>6.2315901073647719</v>
      </c>
      <c r="AA521" s="12">
        <f>Ergebnisbewertung!$C$5*(X521-V521)</f>
        <v>-6.2315901073647728</v>
      </c>
      <c r="AB521" s="12">
        <f>IF(SIGN(Tabelle12[[#This Row],[Änderung A]])=-1,Tabelle12[[#This Row],[Änderung A]]*(Tabelle12[[#This Row],[Anteil A1]]),Tabelle12[[#This Row],[Änderung A]]*(1-Tabelle12[[#This Row],[Anteil A1]]))</f>
        <v>2.7357524979127552</v>
      </c>
      <c r="AC521" s="12">
        <f>IF(SIGN(Tabelle12[[#This Row],[Änderung A]])=-1,Tabelle12[[#This Row],[Änderung A]]*(Tabelle12[[#This Row],[Anteil A2]]),Tabelle12[[#This Row],[Änderung A]]*(1-Tabelle12[[#This Row],[Anteil A2]]))</f>
        <v>3.4958376094520167</v>
      </c>
      <c r="AD521" s="12">
        <f>IF(SIGN(Tabelle12[[#This Row],[Änderung B]])=-1,Tabelle12[[#This Row],[Änderung B]]*(Tabelle12[[#This Row],[Anteil B1]]),Tabelle12[[#This Row],[Änderung B]]*(1-Tabelle12[[#This Row],[Anteil B1]]))</f>
        <v>-3.3300718900932411</v>
      </c>
      <c r="AE521" s="12">
        <f>IF(SIGN(Tabelle12[[#This Row],[Änderung B]])=-1,Tabelle12[[#This Row],[Änderung B]]*(Tabelle12[[#This Row],[Anteil B2]]),Tabelle12[[#This Row],[Änderung B]]*(1-Tabelle12[[#This Row],[Anteil B2]]))</f>
        <v>-2.9015182172715321</v>
      </c>
      <c r="AF521" s="17"/>
      <c r="AG521">
        <f>IF(IFERROR(Tabelle12[[#This Row],[Änderung B2]],0)=0,0,Tabelle12[[#This Row],[Spiel]])</f>
        <v>519</v>
      </c>
      <c r="AH521">
        <f>MATCH(Tabelle12[[#This Row],[Team A]],SpielerDaten!$1:$1,0)</f>
        <v>2</v>
      </c>
      <c r="AI521">
        <f>MATCH(Tabelle12[[#This Row],[Team A2]],SpielerDaten!$1:$1,0)</f>
        <v>28</v>
      </c>
      <c r="AJ521">
        <f>MATCH(Tabelle12[[#This Row],[Team B]],SpielerDaten!$1:$1,0)</f>
        <v>38</v>
      </c>
      <c r="AK521">
        <f>MATCH(Tabelle12[[#This Row],[Team B3]],SpielerDaten!$1:$1,0)</f>
        <v>9</v>
      </c>
    </row>
    <row r="522" spans="1:37" x14ac:dyDescent="0.25">
      <c r="A522">
        <v>520</v>
      </c>
      <c r="B522" t="str">
        <f>Tabelle6[[#This Row],[player_A1]]</f>
        <v>Aleix_V</v>
      </c>
      <c r="C522" t="str">
        <f>Tabelle6[[#This Row],[player_A2]]</f>
        <v>Marcin_S</v>
      </c>
      <c r="D522" t="str">
        <f>Tabelle6[[#This Row],[player_B1]]</f>
        <v>Richard_D</v>
      </c>
      <c r="E522" t="str">
        <f>Tabelle6[[#This Row],[player_B2]]</f>
        <v>Carsten_H</v>
      </c>
      <c r="F522">
        <f>Tabelle6[[#This Row],[Tore A]]</f>
        <v>10</v>
      </c>
      <c r="G522">
        <f>Tabelle6[[#This Row],[Tore B]]</f>
        <v>9</v>
      </c>
      <c r="H522" s="17"/>
      <c r="I522" s="1">
        <f>INDEX(Tabelle11[#All],(Tabelle12[[#This Row],[Spiel]]+13),Tabelle12[[#This Row],[ID A1]])</f>
        <v>106.88509387855702</v>
      </c>
      <c r="J522" s="1">
        <f>INDEX(Tabelle11[#All],(Tabelle12[[#This Row],[Spiel]]+13),Tabelle12[[#This Row],[ID A2]])</f>
        <v>85.000430405090754</v>
      </c>
      <c r="K522" s="1">
        <f>SUM(Tabelle12[[#This Row],[ELO vorher A1]:[ELO vorher A2]])</f>
        <v>191.88552428364778</v>
      </c>
      <c r="L522" s="1">
        <f>Tabelle12[[#This Row],[ELO vorher A1]]/Tabelle12[[#This Row],[ELO A gesamt]]</f>
        <v>0.55702531119834775</v>
      </c>
      <c r="M522" s="1">
        <f>Tabelle12[[#This Row],[ELO vorher A2]]/Tabelle12[[#This Row],[ELO A gesamt]]</f>
        <v>0.44297468880165219</v>
      </c>
      <c r="N522" s="19"/>
      <c r="O522" s="1">
        <f>INDEX(Tabelle11[#All],(Tabelle12[[#This Row],[Spiel]]+13),Tabelle12[[#This Row],[ID B1]])</f>
        <v>105.21467957731777</v>
      </c>
      <c r="P522" s="1">
        <f>INDEX(Tabelle11[#All],(Tabelle12[[#This Row],[Spiel]]+13),Tabelle12[[#This Row],[ID B2]])</f>
        <v>91.674390101358043</v>
      </c>
      <c r="Q522" s="1">
        <f>SUM(Tabelle12[[#This Row],[ELO vorher B1]:[ELO vorher B2]])</f>
        <v>196.88906967867581</v>
      </c>
      <c r="R522" s="1">
        <f>Tabelle12[[#This Row],[ELO vorher B1]]/Tabelle12[[#This Row],[ELO B gesamt]]</f>
        <v>0.53438557939772269</v>
      </c>
      <c r="S522" s="1">
        <f>Tabelle12[[#This Row],[ELO vorher B2]]/Tabelle12[[#This Row],[ELO B gesamt]]</f>
        <v>0.46561442060227731</v>
      </c>
      <c r="T522" s="19"/>
      <c r="U522" s="1">
        <f>1/(1+Ergebnisvorhersage!$C$5^((Q522-K522)/Ergebnisvorhersage!$C$6))</f>
        <v>0.44264808503132169</v>
      </c>
      <c r="V522" s="1">
        <f>1/(1+Ergebnisvorhersage!$C$5^((K522-Q522)/Ergebnisvorhersage!$C$6))</f>
        <v>0.55735191496867831</v>
      </c>
      <c r="W522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0.52575000000000005</v>
      </c>
      <c r="X522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0.47425</v>
      </c>
      <c r="Y522" s="17"/>
      <c r="Z522" s="12">
        <f>Ergebnisbewertung!$C$5*(W522-U522)</f>
        <v>0.83101914968678359</v>
      </c>
      <c r="AA522" s="12">
        <f>Ergebnisbewertung!$C$5*(X522-V522)</f>
        <v>-0.83101914968678303</v>
      </c>
      <c r="AB522" s="12">
        <f>IF(SIGN(Tabelle12[[#This Row],[Änderung A]])=-1,Tabelle12[[#This Row],[Änderung A]]*(Tabelle12[[#This Row],[Anteil A1]]),Tabelle12[[#This Row],[Änderung A]]*(1-Tabelle12[[#This Row],[Anteil A1]]))</f>
        <v>0.36812044922071663</v>
      </c>
      <c r="AC522" s="12">
        <f>IF(SIGN(Tabelle12[[#This Row],[Änderung A]])=-1,Tabelle12[[#This Row],[Änderung A]]*(Tabelle12[[#This Row],[Anteil A2]]),Tabelle12[[#This Row],[Änderung A]]*(1-Tabelle12[[#This Row],[Anteil A2]]))</f>
        <v>0.46289870046606707</v>
      </c>
      <c r="AD522" s="12">
        <f>IF(SIGN(Tabelle12[[#This Row],[Änderung B]])=-1,Tabelle12[[#This Row],[Änderung B]]*(Tabelle12[[#This Row],[Anteil B1]]),Tabelle12[[#This Row],[Änderung B]]*(1-Tabelle12[[#This Row],[Anteil B1]]))</f>
        <v>-0.4440846497959744</v>
      </c>
      <c r="AE522" s="12">
        <f>IF(SIGN(Tabelle12[[#This Row],[Änderung B]])=-1,Tabelle12[[#This Row],[Änderung B]]*(Tabelle12[[#This Row],[Anteil B2]]),Tabelle12[[#This Row],[Änderung B]]*(1-Tabelle12[[#This Row],[Anteil B2]]))</f>
        <v>-0.38693449989080864</v>
      </c>
      <c r="AF522" s="17"/>
      <c r="AG522">
        <f>IF(IFERROR(Tabelle12[[#This Row],[Änderung B2]],0)=0,0,Tabelle12[[#This Row],[Spiel]])</f>
        <v>520</v>
      </c>
      <c r="AH522">
        <f>MATCH(Tabelle12[[#This Row],[Team A]],SpielerDaten!$1:$1,0)</f>
        <v>2</v>
      </c>
      <c r="AI522">
        <f>MATCH(Tabelle12[[#This Row],[Team A2]],SpielerDaten!$1:$1,0)</f>
        <v>28</v>
      </c>
      <c r="AJ522">
        <f>MATCH(Tabelle12[[#This Row],[Team B]],SpielerDaten!$1:$1,0)</f>
        <v>38</v>
      </c>
      <c r="AK522">
        <f>MATCH(Tabelle12[[#This Row],[Team B3]],SpielerDaten!$1:$1,0)</f>
        <v>9</v>
      </c>
    </row>
    <row r="523" spans="1:37" x14ac:dyDescent="0.25">
      <c r="A523">
        <v>521</v>
      </c>
      <c r="B523" t="str">
        <f>Tabelle6[[#This Row],[player_A1]]</f>
        <v>Aleix_V</v>
      </c>
      <c r="C523" t="str">
        <f>Tabelle6[[#This Row],[player_A2]]</f>
        <v>Rene_P</v>
      </c>
      <c r="D523" t="str">
        <f>Tabelle6[[#This Row],[player_B1]]</f>
        <v>Bastian_G</v>
      </c>
      <c r="E523" t="str">
        <f>Tabelle6[[#This Row],[player_B2]]</f>
        <v>Jan_B</v>
      </c>
      <c r="F523">
        <f>Tabelle6[[#This Row],[Tore A]]</f>
        <v>1</v>
      </c>
      <c r="G523">
        <f>Tabelle6[[#This Row],[Tore B]]</f>
        <v>10</v>
      </c>
      <c r="H523" s="17"/>
      <c r="I523" s="1">
        <f>INDEX(Tabelle11[#All],(Tabelle12[[#This Row],[Spiel]]+13),Tabelle12[[#This Row],[ID A1]])</f>
        <v>107.25321432777773</v>
      </c>
      <c r="J523" s="1">
        <f>INDEX(Tabelle11[#All],(Tabelle12[[#This Row],[Spiel]]+13),Tabelle12[[#This Row],[ID A2]])</f>
        <v>90.704997420314484</v>
      </c>
      <c r="K523" s="1">
        <f>SUM(Tabelle12[[#This Row],[ELO vorher A1]:[ELO vorher A2]])</f>
        <v>197.9582117480922</v>
      </c>
      <c r="L523" s="1">
        <f>Tabelle12[[#This Row],[ELO vorher A1]]/Tabelle12[[#This Row],[ELO A gesamt]]</f>
        <v>0.54179724791745787</v>
      </c>
      <c r="M523" s="1">
        <f>Tabelle12[[#This Row],[ELO vorher A2]]/Tabelle12[[#This Row],[ELO A gesamt]]</f>
        <v>0.45820275208254219</v>
      </c>
      <c r="N523" s="19"/>
      <c r="O523" s="1">
        <f>INDEX(Tabelle11[#All],(Tabelle12[[#This Row],[Spiel]]+13),Tabelle12[[#This Row],[ID B1]])</f>
        <v>114.55700465733739</v>
      </c>
      <c r="P523" s="1">
        <f>INDEX(Tabelle11[#All],(Tabelle12[[#This Row],[Spiel]]+13),Tabelle12[[#This Row],[ID B2]])</f>
        <v>97.165990768993908</v>
      </c>
      <c r="Q523" s="1">
        <f>SUM(Tabelle12[[#This Row],[ELO vorher B1]:[ELO vorher B2]])</f>
        <v>211.72299542633129</v>
      </c>
      <c r="R523" s="1">
        <f>Tabelle12[[#This Row],[ELO vorher B1]]/Tabelle12[[#This Row],[ELO B gesamt]]</f>
        <v>0.5410702055611023</v>
      </c>
      <c r="S523" s="1">
        <f>Tabelle12[[#This Row],[ELO vorher B2]]/Tabelle12[[#This Row],[ELO B gesamt]]</f>
        <v>0.45892979443889775</v>
      </c>
      <c r="T523" s="19"/>
      <c r="U523" s="1">
        <f>1/(1+Ergebnisvorhersage!$C$5^((Q523-K523)/Ergebnisvorhersage!$C$6))</f>
        <v>0.34662862792543403</v>
      </c>
      <c r="V523" s="1">
        <f>1/(1+Ergebnisvorhersage!$C$5^((K523-Q523)/Ergebnisvorhersage!$C$6))</f>
        <v>0.65337137207456597</v>
      </c>
      <c r="W523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-0.27175000000000005</v>
      </c>
      <c r="X523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1.2717499999999999</v>
      </c>
      <c r="Y523" s="17"/>
      <c r="Z523" s="12">
        <f>Ergebnisbewertung!$C$5*(W523-U523)</f>
        <v>-6.183786279254341</v>
      </c>
      <c r="AA523" s="12">
        <f>Ergebnisbewertung!$C$5*(X523-V523)</f>
        <v>6.1837862792543401</v>
      </c>
      <c r="AB523" s="12">
        <f>IF(SIGN(Tabelle12[[#This Row],[Änderung A]])=-1,Tabelle12[[#This Row],[Änderung A]]*(Tabelle12[[#This Row],[Anteil A1]]),Tabelle12[[#This Row],[Änderung A]]*(1-Tabelle12[[#This Row],[Anteil A1]]))</f>
        <v>-3.3503583878097385</v>
      </c>
      <c r="AC523" s="12">
        <f>IF(SIGN(Tabelle12[[#This Row],[Änderung A]])=-1,Tabelle12[[#This Row],[Änderung A]]*(Tabelle12[[#This Row],[Anteil A2]]),Tabelle12[[#This Row],[Änderung A]]*(1-Tabelle12[[#This Row],[Anteil A2]]))</f>
        <v>-2.8334278914446029</v>
      </c>
      <c r="AD523" s="12">
        <f>IF(SIGN(Tabelle12[[#This Row],[Änderung B]])=-1,Tabelle12[[#This Row],[Änderung B]]*(Tabelle12[[#This Row],[Anteil B1]]),Tabelle12[[#This Row],[Änderung B]]*(1-Tabelle12[[#This Row],[Anteil B1]]))</f>
        <v>2.8379237659922705</v>
      </c>
      <c r="AE523" s="12">
        <f>IF(SIGN(Tabelle12[[#This Row],[Änderung B]])=-1,Tabelle12[[#This Row],[Änderung B]]*(Tabelle12[[#This Row],[Anteil B2]]),Tabelle12[[#This Row],[Änderung B]]*(1-Tabelle12[[#This Row],[Anteil B2]]))</f>
        <v>3.3458625132620696</v>
      </c>
      <c r="AF523" s="17"/>
      <c r="AG523">
        <f>IF(IFERROR(Tabelle12[[#This Row],[Änderung B2]],0)=0,0,Tabelle12[[#This Row],[Spiel]])</f>
        <v>521</v>
      </c>
      <c r="AH523">
        <f>MATCH(Tabelle12[[#This Row],[Team A]],SpielerDaten!$1:$1,0)</f>
        <v>2</v>
      </c>
      <c r="AI523">
        <f>MATCH(Tabelle12[[#This Row],[Team A2]],SpielerDaten!$1:$1,0)</f>
        <v>37</v>
      </c>
      <c r="AJ523">
        <f>MATCH(Tabelle12[[#This Row],[Team B]],SpielerDaten!$1:$1,0)</f>
        <v>5</v>
      </c>
      <c r="AK523">
        <f>MATCH(Tabelle12[[#This Row],[Team B3]],SpielerDaten!$1:$1,0)</f>
        <v>20</v>
      </c>
    </row>
    <row r="524" spans="1:37" x14ac:dyDescent="0.25">
      <c r="A524">
        <v>522</v>
      </c>
      <c r="B524" t="str">
        <f>Tabelle6[[#This Row],[player_A1]]</f>
        <v>Aleix_V</v>
      </c>
      <c r="C524" t="str">
        <f>Tabelle6[[#This Row],[player_A2]]</f>
        <v>Rene_P</v>
      </c>
      <c r="D524" t="str">
        <f>Tabelle6[[#This Row],[player_B1]]</f>
        <v>Bastian_G</v>
      </c>
      <c r="E524" t="str">
        <f>Tabelle6[[#This Row],[player_B2]]</f>
        <v>Jan_B</v>
      </c>
      <c r="F524">
        <f>Tabelle6[[#This Row],[Tore A]]</f>
        <v>5</v>
      </c>
      <c r="G524">
        <f>Tabelle6[[#This Row],[Tore B]]</f>
        <v>10</v>
      </c>
      <c r="H524" s="17"/>
      <c r="I524" s="1">
        <f>INDEX(Tabelle11[#All],(Tabelle12[[#This Row],[Spiel]]+13),Tabelle12[[#This Row],[ID A1]])</f>
        <v>103.90285593996799</v>
      </c>
      <c r="J524" s="1">
        <f>INDEX(Tabelle11[#All],(Tabelle12[[#This Row],[Spiel]]+13),Tabelle12[[#This Row],[ID A2]])</f>
        <v>87.871569528869884</v>
      </c>
      <c r="K524" s="1">
        <f>SUM(Tabelle12[[#This Row],[ELO vorher A1]:[ELO vorher A2]])</f>
        <v>191.77442546883788</v>
      </c>
      <c r="L524" s="1">
        <f>Tabelle12[[#This Row],[ELO vorher A1]]/Tabelle12[[#This Row],[ELO A gesamt]]</f>
        <v>0.54179724791745787</v>
      </c>
      <c r="M524" s="1">
        <f>Tabelle12[[#This Row],[ELO vorher A2]]/Tabelle12[[#This Row],[ELO A gesamt]]</f>
        <v>0.45820275208254219</v>
      </c>
      <c r="N524" s="19"/>
      <c r="O524" s="1">
        <f>INDEX(Tabelle11[#All],(Tabelle12[[#This Row],[Spiel]]+13),Tabelle12[[#This Row],[ID B1]])</f>
        <v>117.39492842332966</v>
      </c>
      <c r="P524" s="1">
        <f>INDEX(Tabelle11[#All],(Tabelle12[[#This Row],[Spiel]]+13),Tabelle12[[#This Row],[ID B2]])</f>
        <v>100.51185328225597</v>
      </c>
      <c r="Q524" s="1">
        <f>SUM(Tabelle12[[#This Row],[ELO vorher B1]:[ELO vorher B2]])</f>
        <v>217.90678170558562</v>
      </c>
      <c r="R524" s="1">
        <f>Tabelle12[[#This Row],[ELO vorher B1]]/Tabelle12[[#This Row],[ELO B gesamt]]</f>
        <v>0.53873921455983975</v>
      </c>
      <c r="S524" s="1">
        <f>Tabelle12[[#This Row],[ELO vorher B2]]/Tabelle12[[#This Row],[ELO B gesamt]]</f>
        <v>0.4612607854401603</v>
      </c>
      <c r="T524" s="19"/>
      <c r="U524" s="1">
        <f>1/(1+Ergebnisvorhersage!$C$5^((Q524-K524)/Ergebnisvorhersage!$C$6))</f>
        <v>0.23086391761996627</v>
      </c>
      <c r="V524" s="1">
        <f>1/(1+Ergebnisvorhersage!$C$5^((K524-Q524)/Ergebnisvorhersage!$C$6))</f>
        <v>0.76913608238003373</v>
      </c>
      <c r="W524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0.28125</v>
      </c>
      <c r="X524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0.71875</v>
      </c>
      <c r="Y524" s="17"/>
      <c r="Z524" s="12">
        <f>Ergebnisbewertung!$C$5*(W524-U524)</f>
        <v>0.50386082380033725</v>
      </c>
      <c r="AA524" s="12">
        <f>Ergebnisbewertung!$C$5*(X524-V524)</f>
        <v>-0.50386082380033725</v>
      </c>
      <c r="AB524" s="12">
        <f>IF(SIGN(Tabelle12[[#This Row],[Änderung A]])=-1,Tabelle12[[#This Row],[Änderung A]]*(Tabelle12[[#This Row],[Anteil A1]]),Tabelle12[[#This Row],[Änderung A]]*(1-Tabelle12[[#This Row],[Anteil A1]]))</f>
        <v>0.23087041613189138</v>
      </c>
      <c r="AC524" s="12">
        <f>IF(SIGN(Tabelle12[[#This Row],[Änderung A]])=-1,Tabelle12[[#This Row],[Änderung A]]*(Tabelle12[[#This Row],[Anteil A2]]),Tabelle12[[#This Row],[Änderung A]]*(1-Tabelle12[[#This Row],[Anteil A2]]))</f>
        <v>0.27299040766844584</v>
      </c>
      <c r="AD524" s="12">
        <f>IF(SIGN(Tabelle12[[#This Row],[Änderung B]])=-1,Tabelle12[[#This Row],[Änderung B]]*(Tabelle12[[#This Row],[Anteil B1]]),Tabelle12[[#This Row],[Änderung B]]*(1-Tabelle12[[#This Row],[Anteil B1]]))</f>
        <v>-0.2714495844616675</v>
      </c>
      <c r="AE524" s="12">
        <f>IF(SIGN(Tabelle12[[#This Row],[Änderung B]])=-1,Tabelle12[[#This Row],[Änderung B]]*(Tabelle12[[#This Row],[Anteil B2]]),Tabelle12[[#This Row],[Änderung B]]*(1-Tabelle12[[#This Row],[Anteil B2]]))</f>
        <v>-0.23241123933866978</v>
      </c>
      <c r="AF524" s="17"/>
      <c r="AG524">
        <f>IF(IFERROR(Tabelle12[[#This Row],[Änderung B2]],0)=0,0,Tabelle12[[#This Row],[Spiel]])</f>
        <v>522</v>
      </c>
      <c r="AH524">
        <f>MATCH(Tabelle12[[#This Row],[Team A]],SpielerDaten!$1:$1,0)</f>
        <v>2</v>
      </c>
      <c r="AI524">
        <f>MATCH(Tabelle12[[#This Row],[Team A2]],SpielerDaten!$1:$1,0)</f>
        <v>37</v>
      </c>
      <c r="AJ524">
        <f>MATCH(Tabelle12[[#This Row],[Team B]],SpielerDaten!$1:$1,0)</f>
        <v>5</v>
      </c>
      <c r="AK524">
        <f>MATCH(Tabelle12[[#This Row],[Team B3]],SpielerDaten!$1:$1,0)</f>
        <v>20</v>
      </c>
    </row>
    <row r="525" spans="1:37" x14ac:dyDescent="0.25">
      <c r="A525">
        <v>523</v>
      </c>
      <c r="B525" t="str">
        <f>Tabelle6[[#This Row],[player_A1]]</f>
        <v>Lukas_L</v>
      </c>
      <c r="C525" t="str">
        <f>Tabelle6[[#This Row],[player_A2]]</f>
        <v>Anton_K</v>
      </c>
      <c r="D525" t="str">
        <f>Tabelle6[[#This Row],[player_B1]]</f>
        <v>Michael_D</v>
      </c>
      <c r="E525" t="str">
        <f>Tabelle6[[#This Row],[player_B2]]</f>
        <v>Fabian_M</v>
      </c>
      <c r="F525">
        <f>Tabelle6[[#This Row],[Tore A]]</f>
        <v>6</v>
      </c>
      <c r="G525">
        <f>Tabelle6[[#This Row],[Tore B]]</f>
        <v>2</v>
      </c>
      <c r="H525" s="17"/>
      <c r="I525" s="1">
        <f>INDEX(Tabelle11[#All],(Tabelle12[[#This Row],[Spiel]]+13),Tabelle12[[#This Row],[ID A1]])</f>
        <v>97.622001426576219</v>
      </c>
      <c r="J525" s="1">
        <f>INDEX(Tabelle11[#All],(Tabelle12[[#This Row],[Spiel]]+13),Tabelle12[[#This Row],[ID A2]])</f>
        <v>98.46887988238646</v>
      </c>
      <c r="K525" s="1">
        <f>SUM(Tabelle12[[#This Row],[ELO vorher A1]:[ELO vorher A2]])</f>
        <v>196.09088130896268</v>
      </c>
      <c r="L525" s="1">
        <f>Tabelle12[[#This Row],[ELO vorher A1]]/Tabelle12[[#This Row],[ELO A gesamt]]</f>
        <v>0.49784059704827405</v>
      </c>
      <c r="M525" s="1">
        <f>Tabelle12[[#This Row],[ELO vorher A2]]/Tabelle12[[#This Row],[ELO A gesamt]]</f>
        <v>0.50215940295172601</v>
      </c>
      <c r="N525" s="19"/>
      <c r="O525" s="1">
        <f>INDEX(Tabelle11[#All],(Tabelle12[[#This Row],[Spiel]]+13),Tabelle12[[#This Row],[ID B1]])</f>
        <v>97.261364448335016</v>
      </c>
      <c r="P525" s="1">
        <f>INDEX(Tabelle11[#All],(Tabelle12[[#This Row],[Spiel]]+13),Tabelle12[[#This Row],[ID B2]])</f>
        <v>96.625078373147204</v>
      </c>
      <c r="Q525" s="1">
        <f>SUM(Tabelle12[[#This Row],[ELO vorher B1]:[ELO vorher B2]])</f>
        <v>193.88644282148221</v>
      </c>
      <c r="R525" s="1">
        <f>Tabelle12[[#This Row],[ELO vorher B1]]/Tabelle12[[#This Row],[ELO B gesamt]]</f>
        <v>0.50164087304385097</v>
      </c>
      <c r="S525" s="1">
        <f>Tabelle12[[#This Row],[ELO vorher B2]]/Tabelle12[[#This Row],[ELO B gesamt]]</f>
        <v>0.49835912695614915</v>
      </c>
      <c r="T525" s="19"/>
      <c r="U525" s="1">
        <f>1/(1+Ergebnisvorhersage!$C$5^((Q525-K525)/Ergebnisvorhersage!$C$6))</f>
        <v>0.52535776178757432</v>
      </c>
      <c r="V525" s="1">
        <f>1/(1+Ergebnisvorhersage!$C$5^((K525-Q525)/Ergebnisvorhersage!$C$6))</f>
        <v>0.47464223821242568</v>
      </c>
      <c r="W525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0.64800000000000002</v>
      </c>
      <c r="X525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0.35199999999999998</v>
      </c>
      <c r="Y525" s="17"/>
      <c r="Z525" s="12">
        <f>Ergebnisbewertung!$C$5*(W525-U525)</f>
        <v>1.226422382124257</v>
      </c>
      <c r="AA525" s="12">
        <f>Ergebnisbewertung!$C$5*(X525-V525)</f>
        <v>-1.226422382124257</v>
      </c>
      <c r="AB525" s="12">
        <f>IF(SIGN(Tabelle12[[#This Row],[Änderung A]])=-1,Tabelle12[[#This Row],[Änderung A]]*(Tabelle12[[#This Row],[Anteil A1]]),Tabelle12[[#This Row],[Änderung A]]*(1-Tabelle12[[#This Row],[Anteil A1]]))</f>
        <v>0.61585953117415049</v>
      </c>
      <c r="AC525" s="12">
        <f>IF(SIGN(Tabelle12[[#This Row],[Änderung A]])=-1,Tabelle12[[#This Row],[Änderung A]]*(Tabelle12[[#This Row],[Anteil A2]]),Tabelle12[[#This Row],[Änderung A]]*(1-Tabelle12[[#This Row],[Anteil A2]]))</f>
        <v>0.61056285095010654</v>
      </c>
      <c r="AD525" s="12">
        <f>IF(SIGN(Tabelle12[[#This Row],[Änderung B]])=-1,Tabelle12[[#This Row],[Änderung B]]*(Tabelle12[[#This Row],[Anteil B1]]),Tabelle12[[#This Row],[Änderung B]]*(1-Tabelle12[[#This Row],[Anteil B1]]))</f>
        <v>-0.61522359448933173</v>
      </c>
      <c r="AE525" s="12">
        <f>IF(SIGN(Tabelle12[[#This Row],[Änderung B]])=-1,Tabelle12[[#This Row],[Änderung B]]*(Tabelle12[[#This Row],[Anteil B2]]),Tabelle12[[#This Row],[Änderung B]]*(1-Tabelle12[[#This Row],[Anteil B2]]))</f>
        <v>-0.61119878763492552</v>
      </c>
      <c r="AF525" s="17"/>
      <c r="AG525">
        <f>IF(IFERROR(Tabelle12[[#This Row],[Änderung B2]],0)=0,0,Tabelle12[[#This Row],[Spiel]])</f>
        <v>523</v>
      </c>
      <c r="AH525">
        <f>MATCH(Tabelle12[[#This Row],[Team A]],SpielerDaten!$1:$1,0)</f>
        <v>27</v>
      </c>
      <c r="AI525">
        <f>MATCH(Tabelle12[[#This Row],[Team A2]],SpielerDaten!$1:$1,0)</f>
        <v>4</v>
      </c>
      <c r="AJ525">
        <f>MATCH(Tabelle12[[#This Row],[Team B]],SpielerDaten!$1:$1,0)</f>
        <v>33</v>
      </c>
      <c r="AK525">
        <f>MATCH(Tabelle12[[#This Row],[Team B3]],SpielerDaten!$1:$1,0)</f>
        <v>18</v>
      </c>
    </row>
    <row r="526" spans="1:37" x14ac:dyDescent="0.25">
      <c r="A526">
        <v>524</v>
      </c>
      <c r="B526" t="str">
        <f>Tabelle6[[#This Row],[player_A1]]</f>
        <v>Lukas_L</v>
      </c>
      <c r="C526" t="str">
        <f>Tabelle6[[#This Row],[player_A2]]</f>
        <v>Anton_K</v>
      </c>
      <c r="D526" t="str">
        <f>Tabelle6[[#This Row],[player_B1]]</f>
        <v>Michael_D</v>
      </c>
      <c r="E526" t="str">
        <f>Tabelle6[[#This Row],[player_B2]]</f>
        <v>Fabian_M</v>
      </c>
      <c r="F526">
        <f>Tabelle6[[#This Row],[Tore A]]</f>
        <v>6</v>
      </c>
      <c r="G526">
        <f>Tabelle6[[#This Row],[Tore B]]</f>
        <v>3</v>
      </c>
      <c r="H526" s="17"/>
      <c r="I526" s="1">
        <f>INDEX(Tabelle11[#All],(Tabelle12[[#This Row],[Spiel]]+13),Tabelle12[[#This Row],[ID A1]])</f>
        <v>98.237860957750371</v>
      </c>
      <c r="J526" s="1">
        <f>INDEX(Tabelle11[#All],(Tabelle12[[#This Row],[Spiel]]+13),Tabelle12[[#This Row],[ID A2]])</f>
        <v>99.079442733336563</v>
      </c>
      <c r="K526" s="1">
        <f>SUM(Tabelle12[[#This Row],[ELO vorher A1]:[ELO vorher A2]])</f>
        <v>197.31730369108692</v>
      </c>
      <c r="L526" s="1">
        <f>Tabelle12[[#This Row],[ELO vorher A1]]/Tabelle12[[#This Row],[ELO A gesamt]]</f>
        <v>0.49786744051372267</v>
      </c>
      <c r="M526" s="1">
        <f>Tabelle12[[#This Row],[ELO vorher A2]]/Tabelle12[[#This Row],[ELO A gesamt]]</f>
        <v>0.50213255948627744</v>
      </c>
      <c r="N526" s="19"/>
      <c r="O526" s="1">
        <f>INDEX(Tabelle11[#All],(Tabelle12[[#This Row],[Spiel]]+13),Tabelle12[[#This Row],[ID B1]])</f>
        <v>96.646140853845679</v>
      </c>
      <c r="P526" s="1">
        <f>INDEX(Tabelle11[#All],(Tabelle12[[#This Row],[Spiel]]+13),Tabelle12[[#This Row],[ID B2]])</f>
        <v>96.013879585512285</v>
      </c>
      <c r="Q526" s="1">
        <f>SUM(Tabelle12[[#This Row],[ELO vorher B1]:[ELO vorher B2]])</f>
        <v>192.66002043935796</v>
      </c>
      <c r="R526" s="1">
        <f>Tabelle12[[#This Row],[ELO vorher B1]]/Tabelle12[[#This Row],[ELO B gesamt]]</f>
        <v>0.50164087304385085</v>
      </c>
      <c r="S526" s="1">
        <f>Tabelle12[[#This Row],[ELO vorher B2]]/Tabelle12[[#This Row],[ELO B gesamt]]</f>
        <v>0.49835912695614915</v>
      </c>
      <c r="T526" s="19"/>
      <c r="U526" s="1">
        <f>1/(1+Ergebnisvorhersage!$C$5^((Q526-K526)/Ergebnisvorhersage!$C$6))</f>
        <v>0.55341435726281185</v>
      </c>
      <c r="V526" s="1">
        <f>1/(1+Ergebnisvorhersage!$C$5^((K526-Q526)/Ergebnisvorhersage!$C$6))</f>
        <v>0.44658564273718815</v>
      </c>
      <c r="W526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0.59525000000000006</v>
      </c>
      <c r="X526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0.40475</v>
      </c>
      <c r="Y526" s="17"/>
      <c r="Z526" s="12">
        <f>Ergebnisbewertung!$C$5*(W526-U526)</f>
        <v>0.41835642737188206</v>
      </c>
      <c r="AA526" s="12">
        <f>Ergebnisbewertung!$C$5*(X526-V526)</f>
        <v>-0.4183564273718815</v>
      </c>
      <c r="AB526" s="12">
        <f>IF(SIGN(Tabelle12[[#This Row],[Änderung A]])=-1,Tabelle12[[#This Row],[Änderung A]]*(Tabelle12[[#This Row],[Anteil A1]]),Tabelle12[[#This Row],[Änderung A]]*(1-Tabelle12[[#This Row],[Anteil A1]]))</f>
        <v>0.21007038365377803</v>
      </c>
      <c r="AC526" s="12">
        <f>IF(SIGN(Tabelle12[[#This Row],[Änderung A]])=-1,Tabelle12[[#This Row],[Änderung A]]*(Tabelle12[[#This Row],[Anteil A2]]),Tabelle12[[#This Row],[Änderung A]]*(1-Tabelle12[[#This Row],[Anteil A2]]))</f>
        <v>0.20828604371810397</v>
      </c>
      <c r="AD526" s="12">
        <f>IF(SIGN(Tabelle12[[#This Row],[Änderung B]])=-1,Tabelle12[[#This Row],[Änderung B]]*(Tabelle12[[#This Row],[Anteil B1]]),Tabelle12[[#This Row],[Änderung B]]*(1-Tabelle12[[#This Row],[Anteil B1]]))</f>
        <v>-0.20986468347033702</v>
      </c>
      <c r="AE526" s="12">
        <f>IF(SIGN(Tabelle12[[#This Row],[Änderung B]])=-1,Tabelle12[[#This Row],[Änderung B]]*(Tabelle12[[#This Row],[Anteil B2]]),Tabelle12[[#This Row],[Änderung B]]*(1-Tabelle12[[#This Row],[Anteil B2]]))</f>
        <v>-0.20849174390154449</v>
      </c>
      <c r="AF526" s="17"/>
      <c r="AG526">
        <f>IF(IFERROR(Tabelle12[[#This Row],[Änderung B2]],0)=0,0,Tabelle12[[#This Row],[Spiel]])</f>
        <v>524</v>
      </c>
      <c r="AH526">
        <f>MATCH(Tabelle12[[#This Row],[Team A]],SpielerDaten!$1:$1,0)</f>
        <v>27</v>
      </c>
      <c r="AI526">
        <f>MATCH(Tabelle12[[#This Row],[Team A2]],SpielerDaten!$1:$1,0)</f>
        <v>4</v>
      </c>
      <c r="AJ526">
        <f>MATCH(Tabelle12[[#This Row],[Team B]],SpielerDaten!$1:$1,0)</f>
        <v>33</v>
      </c>
      <c r="AK526">
        <f>MATCH(Tabelle12[[#This Row],[Team B3]],SpielerDaten!$1:$1,0)</f>
        <v>18</v>
      </c>
    </row>
    <row r="527" spans="1:37" x14ac:dyDescent="0.25">
      <c r="A527">
        <v>525</v>
      </c>
      <c r="B527" t="str">
        <f>Tabelle6[[#This Row],[player_A1]]</f>
        <v>Richard_D</v>
      </c>
      <c r="C527" t="str">
        <f>Tabelle6[[#This Row],[player_A2]]</f>
        <v>Jens_N</v>
      </c>
      <c r="D527" t="str">
        <f>Tabelle6[[#This Row],[player_B1]]</f>
        <v>Aleix_V</v>
      </c>
      <c r="E527" t="str">
        <f>Tabelle6[[#This Row],[player_B2]]</f>
        <v>Marvin_W</v>
      </c>
      <c r="F527">
        <f>Tabelle6[[#This Row],[Tore A]]</f>
        <v>10</v>
      </c>
      <c r="G527">
        <f>Tabelle6[[#This Row],[Tore B]]</f>
        <v>4</v>
      </c>
      <c r="H527" s="17"/>
      <c r="I527" s="1">
        <f>INDEX(Tabelle11[#All],(Tabelle12[[#This Row],[Spiel]]+13),Tabelle12[[#This Row],[ID A1]])</f>
        <v>104.7705949275218</v>
      </c>
      <c r="J527" s="1">
        <f>INDEX(Tabelle11[#All],(Tabelle12[[#This Row],[Spiel]]+13),Tabelle12[[#This Row],[ID A2]])</f>
        <v>98.772224299304881</v>
      </c>
      <c r="K527" s="1">
        <f>SUM(Tabelle12[[#This Row],[ELO vorher A1]:[ELO vorher A2]])</f>
        <v>203.54281922682668</v>
      </c>
      <c r="L527" s="1">
        <f>Tabelle12[[#This Row],[ELO vorher A1]]/Tabelle12[[#This Row],[ELO A gesamt]]</f>
        <v>0.51473491094159496</v>
      </c>
      <c r="M527" s="1">
        <f>Tabelle12[[#This Row],[ELO vorher A2]]/Tabelle12[[#This Row],[ELO A gesamt]]</f>
        <v>0.48526508905840499</v>
      </c>
      <c r="N527" s="19"/>
      <c r="O527" s="1">
        <f>INDEX(Tabelle11[#All],(Tabelle12[[#This Row],[Spiel]]+13),Tabelle12[[#This Row],[ID B1]])</f>
        <v>104.13372635609988</v>
      </c>
      <c r="P527" s="1">
        <f>INDEX(Tabelle11[#All],(Tabelle12[[#This Row],[Spiel]]+13),Tabelle12[[#This Row],[ID B2]])</f>
        <v>98.799776610790332</v>
      </c>
      <c r="Q527" s="1">
        <f>SUM(Tabelle12[[#This Row],[ELO vorher B1]:[ELO vorher B2]])</f>
        <v>202.93350296689022</v>
      </c>
      <c r="R527" s="1">
        <f>Tabelle12[[#This Row],[ELO vorher B1]]/Tabelle12[[#This Row],[ELO B gesamt]]</f>
        <v>0.51314211223708051</v>
      </c>
      <c r="S527" s="1">
        <f>Tabelle12[[#This Row],[ELO vorher B2]]/Tabelle12[[#This Row],[ELO B gesamt]]</f>
        <v>0.48685788776291949</v>
      </c>
      <c r="T527" s="19"/>
      <c r="U527" s="1">
        <f>1/(1+Ergebnisvorhersage!$C$5^((Q527-K527)/Ergebnisvorhersage!$C$6))</f>
        <v>0.50701455243934623</v>
      </c>
      <c r="V527" s="1">
        <f>1/(1+Ergebnisvorhersage!$C$5^((K527-Q527)/Ergebnisvorhersage!$C$6))</f>
        <v>0.49298544756065377</v>
      </c>
      <c r="W527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0.81200000000000006</v>
      </c>
      <c r="X527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0.18799999999999994</v>
      </c>
      <c r="Y527" s="17"/>
      <c r="Z527" s="12">
        <f>Ergebnisbewertung!$C$5*(W527-U527)</f>
        <v>3.049854475606538</v>
      </c>
      <c r="AA527" s="12">
        <f>Ergebnisbewertung!$C$5*(X527-V527)</f>
        <v>-3.049854475606538</v>
      </c>
      <c r="AB527" s="12">
        <f>IF(SIGN(Tabelle12[[#This Row],[Änderung A]])=-1,Tabelle12[[#This Row],[Änderung A]]*(Tabelle12[[#This Row],[Anteil A1]]),Tabelle12[[#This Row],[Änderung A]]*(1-Tabelle12[[#This Row],[Anteil A1]]))</f>
        <v>1.4799879037203818</v>
      </c>
      <c r="AC527" s="12">
        <f>IF(SIGN(Tabelle12[[#This Row],[Änderung A]])=-1,Tabelle12[[#This Row],[Änderung A]]*(Tabelle12[[#This Row],[Anteil A2]]),Tabelle12[[#This Row],[Änderung A]]*(1-Tabelle12[[#This Row],[Anteil A2]]))</f>
        <v>1.5698665718861564</v>
      </c>
      <c r="AD527" s="12">
        <f>IF(SIGN(Tabelle12[[#This Row],[Änderung B]])=-1,Tabelle12[[#This Row],[Änderung B]]*(Tabelle12[[#This Row],[Anteil B1]]),Tabelle12[[#This Row],[Änderung B]]*(1-Tabelle12[[#This Row],[Anteil B1]]))</f>
        <v>-1.5650087676284525</v>
      </c>
      <c r="AE527" s="12">
        <f>IF(SIGN(Tabelle12[[#This Row],[Änderung B]])=-1,Tabelle12[[#This Row],[Änderung B]]*(Tabelle12[[#This Row],[Anteil B2]]),Tabelle12[[#This Row],[Änderung B]]*(1-Tabelle12[[#This Row],[Anteil B2]]))</f>
        <v>-1.4848457079780855</v>
      </c>
      <c r="AF527" s="17"/>
      <c r="AG527">
        <f>IF(IFERROR(Tabelle12[[#This Row],[Änderung B2]],0)=0,0,Tabelle12[[#This Row],[Spiel]])</f>
        <v>525</v>
      </c>
      <c r="AH527">
        <f>MATCH(Tabelle12[[#This Row],[Team A]],SpielerDaten!$1:$1,0)</f>
        <v>38</v>
      </c>
      <c r="AI527">
        <f>MATCH(Tabelle12[[#This Row],[Team A2]],SpielerDaten!$1:$1,0)</f>
        <v>22</v>
      </c>
      <c r="AJ527">
        <f>MATCH(Tabelle12[[#This Row],[Team B]],SpielerDaten!$1:$1,0)</f>
        <v>2</v>
      </c>
      <c r="AK527">
        <f>MATCH(Tabelle12[[#This Row],[Team B3]],SpielerDaten!$1:$1,0)</f>
        <v>31</v>
      </c>
    </row>
    <row r="528" spans="1:37" x14ac:dyDescent="0.25">
      <c r="A528">
        <v>526</v>
      </c>
      <c r="B528" t="str">
        <f>Tabelle6[[#This Row],[player_A1]]</f>
        <v>Richard_D</v>
      </c>
      <c r="C528" t="str">
        <f>Tabelle6[[#This Row],[player_A2]]</f>
        <v>Jens_N</v>
      </c>
      <c r="D528" t="str">
        <f>Tabelle6[[#This Row],[player_B1]]</f>
        <v>Aleix_V</v>
      </c>
      <c r="E528" t="str">
        <f>Tabelle6[[#This Row],[player_B2]]</f>
        <v>Marvin_W</v>
      </c>
      <c r="F528">
        <f>Tabelle6[[#This Row],[Tore A]]</f>
        <v>10</v>
      </c>
      <c r="G528">
        <f>Tabelle6[[#This Row],[Tore B]]</f>
        <v>7</v>
      </c>
      <c r="H528" s="17"/>
      <c r="I528" s="1">
        <f>INDEX(Tabelle11[#All],(Tabelle12[[#This Row],[Spiel]]+13),Tabelle12[[#This Row],[ID A1]])</f>
        <v>106.25058283124218</v>
      </c>
      <c r="J528" s="1">
        <f>INDEX(Tabelle11[#All],(Tabelle12[[#This Row],[Spiel]]+13),Tabelle12[[#This Row],[ID A2]])</f>
        <v>100.34209087119103</v>
      </c>
      <c r="K528" s="1">
        <f>SUM(Tabelle12[[#This Row],[ELO vorher A1]:[ELO vorher A2]])</f>
        <v>206.59267370243322</v>
      </c>
      <c r="L528" s="1">
        <f>Tabelle12[[#This Row],[ELO vorher A1]]/Tabelle12[[#This Row],[ELO A gesamt]]</f>
        <v>0.51429985839808012</v>
      </c>
      <c r="M528" s="1">
        <f>Tabelle12[[#This Row],[ELO vorher A2]]/Tabelle12[[#This Row],[ELO A gesamt]]</f>
        <v>0.48570014160191982</v>
      </c>
      <c r="N528" s="19"/>
      <c r="O528" s="1">
        <f>INDEX(Tabelle11[#All],(Tabelle12[[#This Row],[Spiel]]+13),Tabelle12[[#This Row],[ID B1]])</f>
        <v>102.56871758847143</v>
      </c>
      <c r="P528" s="1">
        <f>INDEX(Tabelle11[#All],(Tabelle12[[#This Row],[Spiel]]+13),Tabelle12[[#This Row],[ID B2]])</f>
        <v>97.31493090281225</v>
      </c>
      <c r="Q528" s="1">
        <f>SUM(Tabelle12[[#This Row],[ELO vorher B1]:[ELO vorher B2]])</f>
        <v>199.88364849128368</v>
      </c>
      <c r="R528" s="1">
        <f>Tabelle12[[#This Row],[ELO vorher B1]]/Tabelle12[[#This Row],[ELO B gesamt]]</f>
        <v>0.51314211223708051</v>
      </c>
      <c r="S528" s="1">
        <f>Tabelle12[[#This Row],[ELO vorher B2]]/Tabelle12[[#This Row],[ELO B gesamt]]</f>
        <v>0.48685788776291955</v>
      </c>
      <c r="T528" s="19"/>
      <c r="U528" s="1">
        <f>1/(1+Ergebnisvorhersage!$C$5^((Q528-K528)/Ergebnisvorhersage!$C$6))</f>
        <v>0.5766318839368928</v>
      </c>
      <c r="V528" s="1">
        <f>1/(1+Ergebnisvorhersage!$C$5^((K528-Q528)/Ergebnisvorhersage!$C$6))</f>
        <v>0.42336811606310709</v>
      </c>
      <c r="W528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0.59525000000000006</v>
      </c>
      <c r="X528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0.40475</v>
      </c>
      <c r="Y528" s="17"/>
      <c r="Z528" s="12">
        <f>Ergebnisbewertung!$C$5*(W528-U528)</f>
        <v>0.1861811606310726</v>
      </c>
      <c r="AA528" s="12">
        <f>Ergebnisbewertung!$C$5*(X528-V528)</f>
        <v>-0.18618116063107093</v>
      </c>
      <c r="AB528" s="12">
        <f>IF(SIGN(Tabelle12[[#This Row],[Änderung A]])=-1,Tabelle12[[#This Row],[Änderung A]]*(Tabelle12[[#This Row],[Anteil A1]]),Tabelle12[[#This Row],[Änderung A]]*(1-Tabelle12[[#This Row],[Anteil A1]]))</f>
        <v>9.0428216082121746E-2</v>
      </c>
      <c r="AC528" s="12">
        <f>IF(SIGN(Tabelle12[[#This Row],[Änderung A]])=-1,Tabelle12[[#This Row],[Änderung A]]*(Tabelle12[[#This Row],[Anteil A2]]),Tabelle12[[#This Row],[Änderung A]]*(1-Tabelle12[[#This Row],[Anteil A2]]))</f>
        <v>9.5752944548950863E-2</v>
      </c>
      <c r="AD528" s="12">
        <f>IF(SIGN(Tabelle12[[#This Row],[Änderung B]])=-1,Tabelle12[[#This Row],[Änderung B]]*(Tabelle12[[#This Row],[Anteil B1]]),Tabelle12[[#This Row],[Änderung B]]*(1-Tabelle12[[#This Row],[Anteil B1]]))</f>
        <v>-9.5537394024978919E-2</v>
      </c>
      <c r="AE528" s="12">
        <f>IF(SIGN(Tabelle12[[#This Row],[Änderung B]])=-1,Tabelle12[[#This Row],[Änderung B]]*(Tabelle12[[#This Row],[Anteil B2]]),Tabelle12[[#This Row],[Änderung B]]*(1-Tabelle12[[#This Row],[Anteil B2]]))</f>
        <v>-9.0643766606092024E-2</v>
      </c>
      <c r="AF528" s="17"/>
      <c r="AG528">
        <f>IF(IFERROR(Tabelle12[[#This Row],[Änderung B2]],0)=0,0,Tabelle12[[#This Row],[Spiel]])</f>
        <v>526</v>
      </c>
      <c r="AH528">
        <f>MATCH(Tabelle12[[#This Row],[Team A]],SpielerDaten!$1:$1,0)</f>
        <v>38</v>
      </c>
      <c r="AI528">
        <f>MATCH(Tabelle12[[#This Row],[Team A2]],SpielerDaten!$1:$1,0)</f>
        <v>22</v>
      </c>
      <c r="AJ528">
        <f>MATCH(Tabelle12[[#This Row],[Team B]],SpielerDaten!$1:$1,0)</f>
        <v>2</v>
      </c>
      <c r="AK528">
        <f>MATCH(Tabelle12[[#This Row],[Team B3]],SpielerDaten!$1:$1,0)</f>
        <v>31</v>
      </c>
    </row>
    <row r="529" spans="1:37" x14ac:dyDescent="0.25">
      <c r="A529">
        <v>527</v>
      </c>
      <c r="B529" t="str">
        <f>Tabelle6[[#This Row],[player_A1]]</f>
        <v>Richard_D</v>
      </c>
      <c r="C529" t="str">
        <f>Tabelle6[[#This Row],[player_A2]]</f>
        <v>Hannes_S</v>
      </c>
      <c r="D529" t="str">
        <f>Tabelle6[[#This Row],[player_B1]]</f>
        <v>Tom_R</v>
      </c>
      <c r="E529" t="str">
        <f>Tabelle6[[#This Row],[player_B2]]</f>
        <v>Jens_N</v>
      </c>
      <c r="F529">
        <f>Tabelle6[[#This Row],[Tore A]]</f>
        <v>6</v>
      </c>
      <c r="G529">
        <f>Tabelle6[[#This Row],[Tore B]]</f>
        <v>10</v>
      </c>
      <c r="H529" s="17"/>
      <c r="I529" s="1">
        <f>INDEX(Tabelle11[#All],(Tabelle12[[#This Row],[Spiel]]+13),Tabelle12[[#This Row],[ID A1]])</f>
        <v>106.3410110473243</v>
      </c>
      <c r="J529" s="1">
        <f>INDEX(Tabelle11[#All],(Tabelle12[[#This Row],[Spiel]]+13),Tabelle12[[#This Row],[ID A2]])</f>
        <v>103.90239128811677</v>
      </c>
      <c r="K529" s="1">
        <f>SUM(Tabelle12[[#This Row],[ELO vorher A1]:[ELO vorher A2]])</f>
        <v>210.24340233544109</v>
      </c>
      <c r="L529" s="1">
        <f>Tabelle12[[#This Row],[ELO vorher A1]]/Tabelle12[[#This Row],[ELO A gesamt]]</f>
        <v>0.50579951554274394</v>
      </c>
      <c r="M529" s="1">
        <f>Tabelle12[[#This Row],[ELO vorher A2]]/Tabelle12[[#This Row],[ELO A gesamt]]</f>
        <v>0.49420048445725601</v>
      </c>
      <c r="N529" s="19"/>
      <c r="O529" s="1">
        <f>INDEX(Tabelle11[#All],(Tabelle12[[#This Row],[Spiel]]+13),Tabelle12[[#This Row],[ID B1]])</f>
        <v>113.65706124889796</v>
      </c>
      <c r="P529" s="1">
        <f>INDEX(Tabelle11[#All],(Tabelle12[[#This Row],[Spiel]]+13),Tabelle12[[#This Row],[ID B2]])</f>
        <v>100.43784381573998</v>
      </c>
      <c r="Q529" s="1">
        <f>SUM(Tabelle12[[#This Row],[ELO vorher B1]:[ELO vorher B2]])</f>
        <v>214.09490506463794</v>
      </c>
      <c r="R529" s="1">
        <f>Tabelle12[[#This Row],[ELO vorher B1]]/Tabelle12[[#This Row],[ELO B gesamt]]</f>
        <v>0.53087233072913842</v>
      </c>
      <c r="S529" s="1">
        <f>Tabelle12[[#This Row],[ELO vorher B2]]/Tabelle12[[#This Row],[ELO B gesamt]]</f>
        <v>0.46912766927086158</v>
      </c>
      <c r="T529" s="19"/>
      <c r="U529" s="1">
        <f>1/(1+Ergebnisvorhersage!$C$5^((Q529-K529)/Ergebnisvorhersage!$C$6))</f>
        <v>0.45577381985578946</v>
      </c>
      <c r="V529" s="1">
        <f>1/(1+Ergebnisvorhersage!$C$5^((K529-Q529)/Ergebnisvorhersage!$C$6))</f>
        <v>0.54422618014421043</v>
      </c>
      <c r="W529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0.35199999999999998</v>
      </c>
      <c r="X529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0.64800000000000002</v>
      </c>
      <c r="Y529" s="17"/>
      <c r="Z529" s="12">
        <f>Ergebnisbewertung!$C$5*(W529-U529)</f>
        <v>-1.0377381985578948</v>
      </c>
      <c r="AA529" s="12">
        <f>Ergebnisbewertung!$C$5*(X529-V529)</f>
        <v>1.037738198557896</v>
      </c>
      <c r="AB529" s="12">
        <f>IF(SIGN(Tabelle12[[#This Row],[Änderung A]])=-1,Tabelle12[[#This Row],[Änderung A]]*(Tabelle12[[#This Row],[Anteil A1]]),Tabelle12[[#This Row],[Änderung A]]*(1-Tabelle12[[#This Row],[Anteil A1]]))</f>
        <v>-0.52488747809078307</v>
      </c>
      <c r="AC529" s="12">
        <f>IF(SIGN(Tabelle12[[#This Row],[Änderung A]])=-1,Tabelle12[[#This Row],[Änderung A]]*(Tabelle12[[#This Row],[Anteil A2]]),Tabelle12[[#This Row],[Änderung A]]*(1-Tabelle12[[#This Row],[Anteil A2]]))</f>
        <v>-0.51285072046711178</v>
      </c>
      <c r="AD529" s="12">
        <f>IF(SIGN(Tabelle12[[#This Row],[Änderung B]])=-1,Tabelle12[[#This Row],[Änderung B]]*(Tabelle12[[#This Row],[Anteil B1]]),Tabelle12[[#This Row],[Änderung B]]*(1-Tabelle12[[#This Row],[Anteil B1]]))</f>
        <v>0.48683170240280832</v>
      </c>
      <c r="AE529" s="12">
        <f>IF(SIGN(Tabelle12[[#This Row],[Änderung B]])=-1,Tabelle12[[#This Row],[Änderung B]]*(Tabelle12[[#This Row],[Anteil B2]]),Tabelle12[[#This Row],[Änderung B]]*(1-Tabelle12[[#This Row],[Anteil B2]]))</f>
        <v>0.55090649615508769</v>
      </c>
      <c r="AF529" s="17"/>
      <c r="AG529">
        <f>IF(IFERROR(Tabelle12[[#This Row],[Änderung B2]],0)=0,0,Tabelle12[[#This Row],[Spiel]])</f>
        <v>527</v>
      </c>
      <c r="AH529">
        <f>MATCH(Tabelle12[[#This Row],[Team A]],SpielerDaten!$1:$1,0)</f>
        <v>38</v>
      </c>
      <c r="AI529">
        <f>MATCH(Tabelle12[[#This Row],[Team A2]],SpielerDaten!$1:$1,0)</f>
        <v>19</v>
      </c>
      <c r="AJ529">
        <f>MATCH(Tabelle12[[#This Row],[Team B]],SpielerDaten!$1:$1,0)</f>
        <v>46</v>
      </c>
      <c r="AK529">
        <f>MATCH(Tabelle12[[#This Row],[Team B3]],SpielerDaten!$1:$1,0)</f>
        <v>22</v>
      </c>
    </row>
    <row r="530" spans="1:37" x14ac:dyDescent="0.25">
      <c r="A530">
        <v>528</v>
      </c>
      <c r="B530" t="str">
        <f>Tabelle6[[#This Row],[player_A1]]</f>
        <v>Richard_D</v>
      </c>
      <c r="C530" t="str">
        <f>Tabelle6[[#This Row],[player_A2]]</f>
        <v>Hannes_S</v>
      </c>
      <c r="D530" t="str">
        <f>Tabelle6[[#This Row],[player_B1]]</f>
        <v>Tom_R</v>
      </c>
      <c r="E530" t="str">
        <f>Tabelle6[[#This Row],[player_B2]]</f>
        <v>Jens_N</v>
      </c>
      <c r="F530">
        <f>Tabelle6[[#This Row],[Tore A]]</f>
        <v>10</v>
      </c>
      <c r="G530">
        <f>Tabelle6[[#This Row],[Tore B]]</f>
        <v>5</v>
      </c>
      <c r="H530" s="17"/>
      <c r="I530" s="1">
        <f>INDEX(Tabelle11[#All],(Tabelle12[[#This Row],[Spiel]]+13),Tabelle12[[#This Row],[ID A1]])</f>
        <v>105.81612356923351</v>
      </c>
      <c r="J530" s="1">
        <f>INDEX(Tabelle11[#All],(Tabelle12[[#This Row],[Spiel]]+13),Tabelle12[[#This Row],[ID A2]])</f>
        <v>103.38954056764966</v>
      </c>
      <c r="K530" s="1">
        <f>SUM(Tabelle12[[#This Row],[ELO vorher A1]:[ELO vorher A2]])</f>
        <v>209.20566413688317</v>
      </c>
      <c r="L530" s="1">
        <f>Tabelle12[[#This Row],[ELO vorher A1]]/Tabelle12[[#This Row],[ELO A gesamt]]</f>
        <v>0.50579951554274394</v>
      </c>
      <c r="M530" s="1">
        <f>Tabelle12[[#This Row],[ELO vorher A2]]/Tabelle12[[#This Row],[ELO A gesamt]]</f>
        <v>0.49420048445725606</v>
      </c>
      <c r="N530" s="19"/>
      <c r="O530" s="1">
        <f>INDEX(Tabelle11[#All],(Tabelle12[[#This Row],[Spiel]]+13),Tabelle12[[#This Row],[ID B1]])</f>
        <v>114.14389295130077</v>
      </c>
      <c r="P530" s="1">
        <f>INDEX(Tabelle11[#All],(Tabelle12[[#This Row],[Spiel]]+13),Tabelle12[[#This Row],[ID B2]])</f>
        <v>100.98875031189507</v>
      </c>
      <c r="Q530" s="1">
        <f>SUM(Tabelle12[[#This Row],[ELO vorher B1]:[ELO vorher B2]])</f>
        <v>215.13264326319586</v>
      </c>
      <c r="R530" s="1">
        <f>Tabelle12[[#This Row],[ELO vorher B1]]/Tabelle12[[#This Row],[ELO B gesamt]]</f>
        <v>0.53057449218274033</v>
      </c>
      <c r="S530" s="1">
        <f>Tabelle12[[#This Row],[ELO vorher B2]]/Tabelle12[[#This Row],[ELO B gesamt]]</f>
        <v>0.46942550781725961</v>
      </c>
      <c r="T530" s="19"/>
      <c r="U530" s="1">
        <f>1/(1+Ergebnisvorhersage!$C$5^((Q530-K530)/Ergebnisvorhersage!$C$6))</f>
        <v>0.43218363764929524</v>
      </c>
      <c r="V530" s="1">
        <f>1/(1+Ergebnisvorhersage!$C$5^((K530-Q530)/Ergebnisvorhersage!$C$6))</f>
        <v>0.56781636235070465</v>
      </c>
      <c r="W530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0.71875</v>
      </c>
      <c r="X530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0.28125</v>
      </c>
      <c r="Y530" s="17"/>
      <c r="Z530" s="12">
        <f>Ergebnisbewertung!$C$5*(W530-U530)</f>
        <v>2.8656636235070474</v>
      </c>
      <c r="AA530" s="12">
        <f>Ergebnisbewertung!$C$5*(X530-V530)</f>
        <v>-2.8656636235070465</v>
      </c>
      <c r="AB530" s="12">
        <f>IF(SIGN(Tabelle12[[#This Row],[Änderung A]])=-1,Tabelle12[[#This Row],[Änderung A]]*(Tabelle12[[#This Row],[Anteil A1]]),Tabelle12[[#This Row],[Änderung A]]*(1-Tabelle12[[#This Row],[Anteil A1]]))</f>
        <v>1.4162123510287186</v>
      </c>
      <c r="AC530" s="12">
        <f>IF(SIGN(Tabelle12[[#This Row],[Änderung A]])=-1,Tabelle12[[#This Row],[Änderung A]]*(Tabelle12[[#This Row],[Anteil A2]]),Tabelle12[[#This Row],[Änderung A]]*(1-Tabelle12[[#This Row],[Anteil A2]]))</f>
        <v>1.4494512724783288</v>
      </c>
      <c r="AD530" s="12">
        <f>IF(SIGN(Tabelle12[[#This Row],[Änderung B]])=-1,Tabelle12[[#This Row],[Änderung B]]*(Tabelle12[[#This Row],[Anteil B1]]),Tabelle12[[#This Row],[Änderung B]]*(1-Tabelle12[[#This Row],[Anteil B1]]))</f>
        <v>-1.5204480218088028</v>
      </c>
      <c r="AE530" s="12">
        <f>IF(SIGN(Tabelle12[[#This Row],[Änderung B]])=-1,Tabelle12[[#This Row],[Änderung B]]*(Tabelle12[[#This Row],[Anteil B2]]),Tabelle12[[#This Row],[Änderung B]]*(1-Tabelle12[[#This Row],[Anteil B2]]))</f>
        <v>-1.3452156016982435</v>
      </c>
      <c r="AF530" s="17"/>
      <c r="AG530">
        <f>IF(IFERROR(Tabelle12[[#This Row],[Änderung B2]],0)=0,0,Tabelle12[[#This Row],[Spiel]])</f>
        <v>528</v>
      </c>
      <c r="AH530">
        <f>MATCH(Tabelle12[[#This Row],[Team A]],SpielerDaten!$1:$1,0)</f>
        <v>38</v>
      </c>
      <c r="AI530">
        <f>MATCH(Tabelle12[[#This Row],[Team A2]],SpielerDaten!$1:$1,0)</f>
        <v>19</v>
      </c>
      <c r="AJ530">
        <f>MATCH(Tabelle12[[#This Row],[Team B]],SpielerDaten!$1:$1,0)</f>
        <v>46</v>
      </c>
      <c r="AK530">
        <f>MATCH(Tabelle12[[#This Row],[Team B3]],SpielerDaten!$1:$1,0)</f>
        <v>22</v>
      </c>
    </row>
    <row r="531" spans="1:37" x14ac:dyDescent="0.25">
      <c r="A531">
        <v>529</v>
      </c>
      <c r="B531" t="str">
        <f>Tabelle6[[#This Row],[player_A1]]</f>
        <v>Carsten_H</v>
      </c>
      <c r="C531" t="str">
        <f>Tabelle6[[#This Row],[player_A2]]</f>
        <v>Marvin_W</v>
      </c>
      <c r="D531" t="str">
        <f>Tabelle6[[#This Row],[player_B1]]</f>
        <v>Bastian_G</v>
      </c>
      <c r="E531" t="str">
        <f>Tabelle6[[#This Row],[player_B2]]</f>
        <v>Rene_P</v>
      </c>
      <c r="F531">
        <f>Tabelle6[[#This Row],[Tore A]]</f>
        <v>6</v>
      </c>
      <c r="G531">
        <f>Tabelle6[[#This Row],[Tore B]]</f>
        <v>10</v>
      </c>
      <c r="H531" s="17"/>
      <c r="I531" s="1">
        <f>INDEX(Tabelle11[#All],(Tabelle12[[#This Row],[Spiel]]+13),Tabelle12[[#This Row],[ID A1]])</f>
        <v>91.287455601467229</v>
      </c>
      <c r="J531" s="1">
        <f>INDEX(Tabelle11[#All],(Tabelle12[[#This Row],[Spiel]]+13),Tabelle12[[#This Row],[ID A2]])</f>
        <v>97.224287136206158</v>
      </c>
      <c r="K531" s="1">
        <f>SUM(Tabelle12[[#This Row],[ELO vorher A1]:[ELO vorher A2]])</f>
        <v>188.51174273767339</v>
      </c>
      <c r="L531" s="1">
        <f>Tabelle12[[#This Row],[ELO vorher A1]]/Tabelle12[[#This Row],[ELO A gesamt]]</f>
        <v>0.48425341719162707</v>
      </c>
      <c r="M531" s="1">
        <f>Tabelle12[[#This Row],[ELO vorher A2]]/Tabelle12[[#This Row],[ELO A gesamt]]</f>
        <v>0.51574658280837293</v>
      </c>
      <c r="N531" s="19"/>
      <c r="O531" s="1">
        <f>INDEX(Tabelle11[#All],(Tabelle12[[#This Row],[Spiel]]+13),Tabelle12[[#This Row],[ID B1]])</f>
        <v>117.123478838868</v>
      </c>
      <c r="P531" s="1">
        <f>INDEX(Tabelle11[#All],(Tabelle12[[#This Row],[Spiel]]+13),Tabelle12[[#This Row],[ID B2]])</f>
        <v>88.144559936538329</v>
      </c>
      <c r="Q531" s="1">
        <f>SUM(Tabelle12[[#This Row],[ELO vorher B1]:[ELO vorher B2]])</f>
        <v>205.26803877540632</v>
      </c>
      <c r="R531" s="1">
        <f>Tabelle12[[#This Row],[ELO vorher B1]]/Tabelle12[[#This Row],[ELO B gesamt]]</f>
        <v>0.57058799576206043</v>
      </c>
      <c r="S531" s="1">
        <f>Tabelle12[[#This Row],[ELO vorher B2]]/Tabelle12[[#This Row],[ELO B gesamt]]</f>
        <v>0.42941200423793957</v>
      </c>
      <c r="T531" s="19"/>
      <c r="U531" s="1">
        <f>1/(1+Ergebnisvorhersage!$C$5^((Q531-K531)/Ergebnisvorhersage!$C$6))</f>
        <v>0.31612100006398342</v>
      </c>
      <c r="V531" s="1">
        <f>1/(1+Ergebnisvorhersage!$C$5^((K531-Q531)/Ergebnisvorhersage!$C$6))</f>
        <v>0.68387899993601664</v>
      </c>
      <c r="W531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0.35199999999999998</v>
      </c>
      <c r="X531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0.64800000000000002</v>
      </c>
      <c r="Y531" s="17"/>
      <c r="Z531" s="12">
        <f>Ergebnisbewertung!$C$5*(W531-U531)</f>
        <v>0.35878999936016565</v>
      </c>
      <c r="AA531" s="12">
        <f>Ergebnisbewertung!$C$5*(X531-V531)</f>
        <v>-0.3587899993601662</v>
      </c>
      <c r="AB531" s="12">
        <f>IF(SIGN(Tabelle12[[#This Row],[Änderung A]])=-1,Tabelle12[[#This Row],[Änderung A]]*(Tabelle12[[#This Row],[Anteil A1]]),Tabelle12[[#This Row],[Änderung A]]*(1-Tabelle12[[#This Row],[Anteil A1]]))</f>
        <v>0.18504471611582374</v>
      </c>
      <c r="AC531" s="12">
        <f>IF(SIGN(Tabelle12[[#This Row],[Änderung A]])=-1,Tabelle12[[#This Row],[Änderung A]]*(Tabelle12[[#This Row],[Anteil A2]]),Tabelle12[[#This Row],[Änderung A]]*(1-Tabelle12[[#This Row],[Anteil A2]]))</f>
        <v>0.17374528324434191</v>
      </c>
      <c r="AD531" s="12">
        <f>IF(SIGN(Tabelle12[[#This Row],[Änderung B]])=-1,Tabelle12[[#This Row],[Änderung B]]*(Tabelle12[[#This Row],[Anteil B1]]),Tabelle12[[#This Row],[Änderung B]]*(1-Tabelle12[[#This Row],[Anteil B1]]))</f>
        <v>-0.20472126663438817</v>
      </c>
      <c r="AE531" s="12">
        <f>IF(SIGN(Tabelle12[[#This Row],[Änderung B]])=-1,Tabelle12[[#This Row],[Änderung B]]*(Tabelle12[[#This Row],[Anteil B2]]),Tabelle12[[#This Row],[Änderung B]]*(1-Tabelle12[[#This Row],[Anteil B2]]))</f>
        <v>-0.15406873272577803</v>
      </c>
      <c r="AF531" s="17"/>
      <c r="AG531">
        <f>IF(IFERROR(Tabelle12[[#This Row],[Änderung B2]],0)=0,0,Tabelle12[[#This Row],[Spiel]])</f>
        <v>529</v>
      </c>
      <c r="AH531">
        <f>MATCH(Tabelle12[[#This Row],[Team A]],SpielerDaten!$1:$1,0)</f>
        <v>9</v>
      </c>
      <c r="AI531">
        <f>MATCH(Tabelle12[[#This Row],[Team A2]],SpielerDaten!$1:$1,0)</f>
        <v>31</v>
      </c>
      <c r="AJ531">
        <f>MATCH(Tabelle12[[#This Row],[Team B]],SpielerDaten!$1:$1,0)</f>
        <v>5</v>
      </c>
      <c r="AK531">
        <f>MATCH(Tabelle12[[#This Row],[Team B3]],SpielerDaten!$1:$1,0)</f>
        <v>37</v>
      </c>
    </row>
    <row r="532" spans="1:37" x14ac:dyDescent="0.25">
      <c r="A532">
        <v>530</v>
      </c>
      <c r="B532" t="str">
        <f>Tabelle6[[#This Row],[player_A1]]</f>
        <v>Carsten_H</v>
      </c>
      <c r="C532" t="str">
        <f>Tabelle6[[#This Row],[player_A2]]</f>
        <v>Marvin_W</v>
      </c>
      <c r="D532" t="str">
        <f>Tabelle6[[#This Row],[player_B1]]</f>
        <v>Bastian_G</v>
      </c>
      <c r="E532" t="str">
        <f>Tabelle6[[#This Row],[player_B2]]</f>
        <v>Rene_P</v>
      </c>
      <c r="F532">
        <f>Tabelle6[[#This Row],[Tore A]]</f>
        <v>4</v>
      </c>
      <c r="G532">
        <f>Tabelle6[[#This Row],[Tore B]]</f>
        <v>10</v>
      </c>
      <c r="H532" s="17"/>
      <c r="I532" s="1">
        <f>INDEX(Tabelle11[#All],(Tabelle12[[#This Row],[Spiel]]+13),Tabelle12[[#This Row],[ID A1]])</f>
        <v>91.472500317583055</v>
      </c>
      <c r="J532" s="1">
        <f>INDEX(Tabelle11[#All],(Tabelle12[[#This Row],[Spiel]]+13),Tabelle12[[#This Row],[ID A2]])</f>
        <v>97.398032419450502</v>
      </c>
      <c r="K532" s="1">
        <f>SUM(Tabelle12[[#This Row],[ELO vorher A1]:[ELO vorher A2]])</f>
        <v>188.87053273703356</v>
      </c>
      <c r="L532" s="1">
        <f>Tabelle12[[#This Row],[ELO vorher A1]]/Tabelle12[[#This Row],[ELO A gesamt]]</f>
        <v>0.48431324353249527</v>
      </c>
      <c r="M532" s="1">
        <f>Tabelle12[[#This Row],[ELO vorher A2]]/Tabelle12[[#This Row],[ELO A gesamt]]</f>
        <v>0.51568675646750473</v>
      </c>
      <c r="N532" s="19"/>
      <c r="O532" s="1">
        <f>INDEX(Tabelle11[#All],(Tabelle12[[#This Row],[Spiel]]+13),Tabelle12[[#This Row],[ID B1]])</f>
        <v>116.9187575722336</v>
      </c>
      <c r="P532" s="1">
        <f>INDEX(Tabelle11[#All],(Tabelle12[[#This Row],[Spiel]]+13),Tabelle12[[#This Row],[ID B2]])</f>
        <v>87.990491203812553</v>
      </c>
      <c r="Q532" s="1">
        <f>SUM(Tabelle12[[#This Row],[ELO vorher B1]:[ELO vorher B2]])</f>
        <v>204.90924877604616</v>
      </c>
      <c r="R532" s="1">
        <f>Tabelle12[[#This Row],[ELO vorher B1]]/Tabelle12[[#This Row],[ELO B gesamt]]</f>
        <v>0.57058799576206043</v>
      </c>
      <c r="S532" s="1">
        <f>Tabelle12[[#This Row],[ELO vorher B2]]/Tabelle12[[#This Row],[ELO B gesamt]]</f>
        <v>0.42941200423793963</v>
      </c>
      <c r="T532" s="19"/>
      <c r="U532" s="1">
        <f>1/(1+Ergebnisvorhersage!$C$5^((Q532-K532)/Ergebnisvorhersage!$C$6))</f>
        <v>0.32330813621292392</v>
      </c>
      <c r="V532" s="1">
        <f>1/(1+Ergebnisvorhersage!$C$5^((K532-Q532)/Ergebnisvorhersage!$C$6))</f>
        <v>0.67669186378707613</v>
      </c>
      <c r="W532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0.18799999999999994</v>
      </c>
      <c r="X532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0.81200000000000006</v>
      </c>
      <c r="Y532" s="17"/>
      <c r="Z532" s="12">
        <f>Ergebnisbewertung!$C$5*(W532-U532)</f>
        <v>-1.3530813621292399</v>
      </c>
      <c r="AA532" s="12">
        <f>Ergebnisbewertung!$C$5*(X532-V532)</f>
        <v>1.3530813621292392</v>
      </c>
      <c r="AB532" s="12">
        <f>IF(SIGN(Tabelle12[[#This Row],[Änderung A]])=-1,Tabelle12[[#This Row],[Änderung A]]*(Tabelle12[[#This Row],[Anteil A1]]),Tabelle12[[#This Row],[Änderung A]]*(1-Tabelle12[[#This Row],[Anteil A1]]))</f>
        <v>-0.65531522325617897</v>
      </c>
      <c r="AC532" s="12">
        <f>IF(SIGN(Tabelle12[[#This Row],[Änderung A]])=-1,Tabelle12[[#This Row],[Änderung A]]*(Tabelle12[[#This Row],[Anteil A2]]),Tabelle12[[#This Row],[Änderung A]]*(1-Tabelle12[[#This Row],[Anteil A2]]))</f>
        <v>-0.69776613887306094</v>
      </c>
      <c r="AD532" s="12">
        <f>IF(SIGN(Tabelle12[[#This Row],[Änderung B]])=-1,Tabelle12[[#This Row],[Änderung B]]*(Tabelle12[[#This Row],[Anteil B1]]),Tabelle12[[#This Row],[Änderung B]]*(1-Tabelle12[[#This Row],[Anteil B1]]))</f>
        <v>0.58102937960891787</v>
      </c>
      <c r="AE532" s="12">
        <f>IF(SIGN(Tabelle12[[#This Row],[Änderung B]])=-1,Tabelle12[[#This Row],[Änderung B]]*(Tabelle12[[#This Row],[Anteil B2]]),Tabelle12[[#This Row],[Änderung B]]*(1-Tabelle12[[#This Row],[Anteil B2]]))</f>
        <v>0.77205198252032115</v>
      </c>
      <c r="AF532" s="17"/>
      <c r="AG532">
        <f>IF(IFERROR(Tabelle12[[#This Row],[Änderung B2]],0)=0,0,Tabelle12[[#This Row],[Spiel]])</f>
        <v>530</v>
      </c>
      <c r="AH532">
        <f>MATCH(Tabelle12[[#This Row],[Team A]],SpielerDaten!$1:$1,0)</f>
        <v>9</v>
      </c>
      <c r="AI532">
        <f>MATCH(Tabelle12[[#This Row],[Team A2]],SpielerDaten!$1:$1,0)</f>
        <v>31</v>
      </c>
      <c r="AJ532">
        <f>MATCH(Tabelle12[[#This Row],[Team B]],SpielerDaten!$1:$1,0)</f>
        <v>5</v>
      </c>
      <c r="AK532">
        <f>MATCH(Tabelle12[[#This Row],[Team B3]],SpielerDaten!$1:$1,0)</f>
        <v>37</v>
      </c>
    </row>
    <row r="533" spans="1:37" x14ac:dyDescent="0.25">
      <c r="A533">
        <v>531</v>
      </c>
      <c r="B533">
        <f>Tabelle6[[#This Row],[player_A1]]</f>
        <v>0</v>
      </c>
      <c r="C533">
        <f>Tabelle6[[#This Row],[player_A2]]</f>
        <v>0</v>
      </c>
      <c r="D533">
        <f>Tabelle6[[#This Row],[player_B1]]</f>
        <v>0</v>
      </c>
      <c r="E533">
        <f>Tabelle6[[#This Row],[player_B2]]</f>
        <v>0</v>
      </c>
      <c r="F533">
        <f>Tabelle6[[#This Row],[Tore A]]</f>
        <v>0</v>
      </c>
      <c r="G533">
        <f>Tabelle6[[#This Row],[Tore B]]</f>
        <v>0</v>
      </c>
      <c r="H533" s="17"/>
      <c r="I533" s="1" t="e">
        <f>INDEX(Tabelle11[#All],(Tabelle12[[#This Row],[Spiel]]+13),Tabelle12[[#This Row],[ID A1]])</f>
        <v>#N/A</v>
      </c>
      <c r="J533" s="1" t="e">
        <f>INDEX(Tabelle11[#All],(Tabelle12[[#This Row],[Spiel]]+13),Tabelle12[[#This Row],[ID A2]])</f>
        <v>#N/A</v>
      </c>
      <c r="K533" s="1" t="e">
        <f>SUM(Tabelle12[[#This Row],[ELO vorher A1]:[ELO vorher A2]])</f>
        <v>#N/A</v>
      </c>
      <c r="L533" s="1" t="e">
        <f>Tabelle12[[#This Row],[ELO vorher A1]]/Tabelle12[[#This Row],[ELO A gesamt]]</f>
        <v>#N/A</v>
      </c>
      <c r="M533" s="1" t="e">
        <f>Tabelle12[[#This Row],[ELO vorher A2]]/Tabelle12[[#This Row],[ELO A gesamt]]</f>
        <v>#N/A</v>
      </c>
      <c r="N533" s="19"/>
      <c r="O533" s="1" t="e">
        <f>INDEX(Tabelle11[#All],(Tabelle12[[#This Row],[Spiel]]+13),Tabelle12[[#This Row],[ID B1]])</f>
        <v>#N/A</v>
      </c>
      <c r="P533" s="1" t="e">
        <f>INDEX(Tabelle11[#All],(Tabelle12[[#This Row],[Spiel]]+13),Tabelle12[[#This Row],[ID B2]])</f>
        <v>#N/A</v>
      </c>
      <c r="Q533" s="1" t="e">
        <f>SUM(Tabelle12[[#This Row],[ELO vorher B1]:[ELO vorher B2]])</f>
        <v>#N/A</v>
      </c>
      <c r="R533" s="1" t="e">
        <f>Tabelle12[[#This Row],[ELO vorher B1]]/Tabelle12[[#This Row],[ELO B gesamt]]</f>
        <v>#N/A</v>
      </c>
      <c r="S533" s="1" t="e">
        <f>Tabelle12[[#This Row],[ELO vorher B2]]/Tabelle12[[#This Row],[ELO B gesamt]]</f>
        <v>#N/A</v>
      </c>
      <c r="T533" s="19"/>
      <c r="U533" s="1" t="e">
        <f>1/(1+Ergebnisvorhersage!$C$5^((Q533-K533)/Ergebnisvorhersage!$C$6))</f>
        <v>#N/A</v>
      </c>
      <c r="V533" s="1" t="e">
        <f>1/(1+Ergebnisvorhersage!$C$5^((K533-Q533)/Ergebnisvorhersage!$C$6))</f>
        <v>#N/A</v>
      </c>
      <c r="W533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33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33" s="17"/>
      <c r="Z533" s="12" t="e">
        <f>Ergebnisbewertung!$C$5*(W533-U533)</f>
        <v>#N/A</v>
      </c>
      <c r="AA533" s="12" t="e">
        <f>Ergebnisbewertung!$C$5*(X533-V533)</f>
        <v>#N/A</v>
      </c>
      <c r="AB533" s="12" t="e">
        <f>IF(SIGN(Tabelle12[[#This Row],[Änderung A]])=-1,Tabelle12[[#This Row],[Änderung A]]*(Tabelle12[[#This Row],[Anteil A1]]),Tabelle12[[#This Row],[Änderung A]]*(1-Tabelle12[[#This Row],[Anteil A1]]))</f>
        <v>#N/A</v>
      </c>
      <c r="AC533" s="12" t="e">
        <f>IF(SIGN(Tabelle12[[#This Row],[Änderung A]])=-1,Tabelle12[[#This Row],[Änderung A]]*(Tabelle12[[#This Row],[Anteil A2]]),Tabelle12[[#This Row],[Änderung A]]*(1-Tabelle12[[#This Row],[Anteil A2]]))</f>
        <v>#N/A</v>
      </c>
      <c r="AD533" s="12" t="e">
        <f>IF(SIGN(Tabelle12[[#This Row],[Änderung B]])=-1,Tabelle12[[#This Row],[Änderung B]]*(Tabelle12[[#This Row],[Anteil B1]]),Tabelle12[[#This Row],[Änderung B]]*(1-Tabelle12[[#This Row],[Anteil B1]]))</f>
        <v>#N/A</v>
      </c>
      <c r="AE533" s="12" t="e">
        <f>IF(SIGN(Tabelle12[[#This Row],[Änderung B]])=-1,Tabelle12[[#This Row],[Änderung B]]*(Tabelle12[[#This Row],[Anteil B2]]),Tabelle12[[#This Row],[Änderung B]]*(1-Tabelle12[[#This Row],[Anteil B2]]))</f>
        <v>#N/A</v>
      </c>
      <c r="AF533" s="17"/>
      <c r="AG533">
        <f>IF(IFERROR(Tabelle12[[#This Row],[Änderung B2]],0)=0,0,Tabelle12[[#This Row],[Spiel]])</f>
        <v>0</v>
      </c>
      <c r="AH533" t="e">
        <f>MATCH(Tabelle12[[#This Row],[Team A]],SpielerDaten!$1:$1,0)</f>
        <v>#N/A</v>
      </c>
      <c r="AI533" t="e">
        <f>MATCH(Tabelle12[[#This Row],[Team A2]],SpielerDaten!$1:$1,0)</f>
        <v>#N/A</v>
      </c>
      <c r="AJ533" t="e">
        <f>MATCH(Tabelle12[[#This Row],[Team B]],SpielerDaten!$1:$1,0)</f>
        <v>#N/A</v>
      </c>
      <c r="AK533" t="e">
        <f>MATCH(Tabelle12[[#This Row],[Team B3]],SpielerDaten!$1:$1,0)</f>
        <v>#N/A</v>
      </c>
    </row>
    <row r="534" spans="1:37" x14ac:dyDescent="0.25">
      <c r="A534">
        <v>532</v>
      </c>
      <c r="B534">
        <f>Tabelle6[[#This Row],[player_A1]]</f>
        <v>0</v>
      </c>
      <c r="C534">
        <f>Tabelle6[[#This Row],[player_A2]]</f>
        <v>0</v>
      </c>
      <c r="D534">
        <f>Tabelle6[[#This Row],[player_B1]]</f>
        <v>0</v>
      </c>
      <c r="E534">
        <f>Tabelle6[[#This Row],[player_B2]]</f>
        <v>0</v>
      </c>
      <c r="F534">
        <f>Tabelle6[[#This Row],[Tore A]]</f>
        <v>0</v>
      </c>
      <c r="G534">
        <f>Tabelle6[[#This Row],[Tore B]]</f>
        <v>0</v>
      </c>
      <c r="H534" s="17"/>
      <c r="I534" s="1" t="e">
        <f>INDEX(Tabelle11[#All],(Tabelle12[[#This Row],[Spiel]]+13),Tabelle12[[#This Row],[ID A1]])</f>
        <v>#N/A</v>
      </c>
      <c r="J534" s="1" t="e">
        <f>INDEX(Tabelle11[#All],(Tabelle12[[#This Row],[Spiel]]+13),Tabelle12[[#This Row],[ID A2]])</f>
        <v>#N/A</v>
      </c>
      <c r="K534" s="1" t="e">
        <f>SUM(Tabelle12[[#This Row],[ELO vorher A1]:[ELO vorher A2]])</f>
        <v>#N/A</v>
      </c>
      <c r="L534" s="1" t="e">
        <f>Tabelle12[[#This Row],[ELO vorher A1]]/Tabelle12[[#This Row],[ELO A gesamt]]</f>
        <v>#N/A</v>
      </c>
      <c r="M534" s="1" t="e">
        <f>Tabelle12[[#This Row],[ELO vorher A2]]/Tabelle12[[#This Row],[ELO A gesamt]]</f>
        <v>#N/A</v>
      </c>
      <c r="N534" s="19"/>
      <c r="O534" s="1" t="e">
        <f>INDEX(Tabelle11[#All],(Tabelle12[[#This Row],[Spiel]]+13),Tabelle12[[#This Row],[ID B1]])</f>
        <v>#N/A</v>
      </c>
      <c r="P534" s="1" t="e">
        <f>INDEX(Tabelle11[#All],(Tabelle12[[#This Row],[Spiel]]+13),Tabelle12[[#This Row],[ID B2]])</f>
        <v>#N/A</v>
      </c>
      <c r="Q534" s="1" t="e">
        <f>SUM(Tabelle12[[#This Row],[ELO vorher B1]:[ELO vorher B2]])</f>
        <v>#N/A</v>
      </c>
      <c r="R534" s="1" t="e">
        <f>Tabelle12[[#This Row],[ELO vorher B1]]/Tabelle12[[#This Row],[ELO B gesamt]]</f>
        <v>#N/A</v>
      </c>
      <c r="S534" s="1" t="e">
        <f>Tabelle12[[#This Row],[ELO vorher B2]]/Tabelle12[[#This Row],[ELO B gesamt]]</f>
        <v>#N/A</v>
      </c>
      <c r="T534" s="19"/>
      <c r="U534" s="1" t="e">
        <f>1/(1+Ergebnisvorhersage!$C$5^((Q534-K534)/Ergebnisvorhersage!$C$6))</f>
        <v>#N/A</v>
      </c>
      <c r="V534" s="1" t="e">
        <f>1/(1+Ergebnisvorhersage!$C$5^((K534-Q534)/Ergebnisvorhersage!$C$6))</f>
        <v>#N/A</v>
      </c>
      <c r="W534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34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34" s="17"/>
      <c r="Z534" s="12" t="e">
        <f>Ergebnisbewertung!$C$5*(W534-U534)</f>
        <v>#N/A</v>
      </c>
      <c r="AA534" s="12" t="e">
        <f>Ergebnisbewertung!$C$5*(X534-V534)</f>
        <v>#N/A</v>
      </c>
      <c r="AB534" s="12" t="e">
        <f>IF(SIGN(Tabelle12[[#This Row],[Änderung A]])=-1,Tabelle12[[#This Row],[Änderung A]]*(Tabelle12[[#This Row],[Anteil A1]]),Tabelle12[[#This Row],[Änderung A]]*(1-Tabelle12[[#This Row],[Anteil A1]]))</f>
        <v>#N/A</v>
      </c>
      <c r="AC534" s="12" t="e">
        <f>IF(SIGN(Tabelle12[[#This Row],[Änderung A]])=-1,Tabelle12[[#This Row],[Änderung A]]*(Tabelle12[[#This Row],[Anteil A2]]),Tabelle12[[#This Row],[Änderung A]]*(1-Tabelle12[[#This Row],[Anteil A2]]))</f>
        <v>#N/A</v>
      </c>
      <c r="AD534" s="12" t="e">
        <f>IF(SIGN(Tabelle12[[#This Row],[Änderung B]])=-1,Tabelle12[[#This Row],[Änderung B]]*(Tabelle12[[#This Row],[Anteil B1]]),Tabelle12[[#This Row],[Änderung B]]*(1-Tabelle12[[#This Row],[Anteil B1]]))</f>
        <v>#N/A</v>
      </c>
      <c r="AE534" s="12" t="e">
        <f>IF(SIGN(Tabelle12[[#This Row],[Änderung B]])=-1,Tabelle12[[#This Row],[Änderung B]]*(Tabelle12[[#This Row],[Anteil B2]]),Tabelle12[[#This Row],[Änderung B]]*(1-Tabelle12[[#This Row],[Anteil B2]]))</f>
        <v>#N/A</v>
      </c>
      <c r="AF534" s="17"/>
      <c r="AG534">
        <f>IF(IFERROR(Tabelle12[[#This Row],[Änderung B2]],0)=0,0,Tabelle12[[#This Row],[Spiel]])</f>
        <v>0</v>
      </c>
      <c r="AH534" t="e">
        <f>MATCH(Tabelle12[[#This Row],[Team A]],SpielerDaten!$1:$1,0)</f>
        <v>#N/A</v>
      </c>
      <c r="AI534" t="e">
        <f>MATCH(Tabelle12[[#This Row],[Team A2]],SpielerDaten!$1:$1,0)</f>
        <v>#N/A</v>
      </c>
      <c r="AJ534" t="e">
        <f>MATCH(Tabelle12[[#This Row],[Team B]],SpielerDaten!$1:$1,0)</f>
        <v>#N/A</v>
      </c>
      <c r="AK534" t="e">
        <f>MATCH(Tabelle12[[#This Row],[Team B3]],SpielerDaten!$1:$1,0)</f>
        <v>#N/A</v>
      </c>
    </row>
    <row r="535" spans="1:37" x14ac:dyDescent="0.25">
      <c r="A535">
        <v>533</v>
      </c>
      <c r="B535">
        <f>Tabelle6[[#This Row],[player_A1]]</f>
        <v>0</v>
      </c>
      <c r="C535">
        <f>Tabelle6[[#This Row],[player_A2]]</f>
        <v>0</v>
      </c>
      <c r="D535">
        <f>Tabelle6[[#This Row],[player_B1]]</f>
        <v>0</v>
      </c>
      <c r="E535">
        <f>Tabelle6[[#This Row],[player_B2]]</f>
        <v>0</v>
      </c>
      <c r="F535">
        <f>Tabelle6[[#This Row],[Tore A]]</f>
        <v>0</v>
      </c>
      <c r="G535">
        <f>Tabelle6[[#This Row],[Tore B]]</f>
        <v>0</v>
      </c>
      <c r="H535" s="17"/>
      <c r="I535" s="1" t="e">
        <f>INDEX(Tabelle11[#All],(Tabelle12[[#This Row],[Spiel]]+13),Tabelle12[[#This Row],[ID A1]])</f>
        <v>#N/A</v>
      </c>
      <c r="J535" s="1" t="e">
        <f>INDEX(Tabelle11[#All],(Tabelle12[[#This Row],[Spiel]]+13),Tabelle12[[#This Row],[ID A2]])</f>
        <v>#N/A</v>
      </c>
      <c r="K535" s="1" t="e">
        <f>SUM(Tabelle12[[#This Row],[ELO vorher A1]:[ELO vorher A2]])</f>
        <v>#N/A</v>
      </c>
      <c r="L535" s="1" t="e">
        <f>Tabelle12[[#This Row],[ELO vorher A1]]/Tabelle12[[#This Row],[ELO A gesamt]]</f>
        <v>#N/A</v>
      </c>
      <c r="M535" s="1" t="e">
        <f>Tabelle12[[#This Row],[ELO vorher A2]]/Tabelle12[[#This Row],[ELO A gesamt]]</f>
        <v>#N/A</v>
      </c>
      <c r="N535" s="19"/>
      <c r="O535" s="1" t="e">
        <f>INDEX(Tabelle11[#All],(Tabelle12[[#This Row],[Spiel]]+13),Tabelle12[[#This Row],[ID B1]])</f>
        <v>#N/A</v>
      </c>
      <c r="P535" s="1" t="e">
        <f>INDEX(Tabelle11[#All],(Tabelle12[[#This Row],[Spiel]]+13),Tabelle12[[#This Row],[ID B2]])</f>
        <v>#N/A</v>
      </c>
      <c r="Q535" s="1" t="e">
        <f>SUM(Tabelle12[[#This Row],[ELO vorher B1]:[ELO vorher B2]])</f>
        <v>#N/A</v>
      </c>
      <c r="R535" s="1" t="e">
        <f>Tabelle12[[#This Row],[ELO vorher B1]]/Tabelle12[[#This Row],[ELO B gesamt]]</f>
        <v>#N/A</v>
      </c>
      <c r="S535" s="1" t="e">
        <f>Tabelle12[[#This Row],[ELO vorher B2]]/Tabelle12[[#This Row],[ELO B gesamt]]</f>
        <v>#N/A</v>
      </c>
      <c r="T535" s="19"/>
      <c r="U535" s="1" t="e">
        <f>1/(1+Ergebnisvorhersage!$C$5^((Q535-K535)/Ergebnisvorhersage!$C$6))</f>
        <v>#N/A</v>
      </c>
      <c r="V535" s="1" t="e">
        <f>1/(1+Ergebnisvorhersage!$C$5^((K535-Q535)/Ergebnisvorhersage!$C$6))</f>
        <v>#N/A</v>
      </c>
      <c r="W535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35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35" s="17"/>
      <c r="Z535" s="12" t="e">
        <f>Ergebnisbewertung!$C$5*(W535-U535)</f>
        <v>#N/A</v>
      </c>
      <c r="AA535" s="12" t="e">
        <f>Ergebnisbewertung!$C$5*(X535-V535)</f>
        <v>#N/A</v>
      </c>
      <c r="AB535" s="12" t="e">
        <f>IF(SIGN(Tabelle12[[#This Row],[Änderung A]])=-1,Tabelle12[[#This Row],[Änderung A]]*(Tabelle12[[#This Row],[Anteil A1]]),Tabelle12[[#This Row],[Änderung A]]*(1-Tabelle12[[#This Row],[Anteil A1]]))</f>
        <v>#N/A</v>
      </c>
      <c r="AC535" s="12" t="e">
        <f>IF(SIGN(Tabelle12[[#This Row],[Änderung A]])=-1,Tabelle12[[#This Row],[Änderung A]]*(Tabelle12[[#This Row],[Anteil A2]]),Tabelle12[[#This Row],[Änderung A]]*(1-Tabelle12[[#This Row],[Anteil A2]]))</f>
        <v>#N/A</v>
      </c>
      <c r="AD535" s="12" t="e">
        <f>IF(SIGN(Tabelle12[[#This Row],[Änderung B]])=-1,Tabelle12[[#This Row],[Änderung B]]*(Tabelle12[[#This Row],[Anteil B1]]),Tabelle12[[#This Row],[Änderung B]]*(1-Tabelle12[[#This Row],[Anteil B1]]))</f>
        <v>#N/A</v>
      </c>
      <c r="AE535" s="12" t="e">
        <f>IF(SIGN(Tabelle12[[#This Row],[Änderung B]])=-1,Tabelle12[[#This Row],[Änderung B]]*(Tabelle12[[#This Row],[Anteil B2]]),Tabelle12[[#This Row],[Änderung B]]*(1-Tabelle12[[#This Row],[Anteil B2]]))</f>
        <v>#N/A</v>
      </c>
      <c r="AF535" s="17"/>
      <c r="AG535">
        <f>IF(IFERROR(Tabelle12[[#This Row],[Änderung B2]],0)=0,0,Tabelle12[[#This Row],[Spiel]])</f>
        <v>0</v>
      </c>
      <c r="AH535" t="e">
        <f>MATCH(Tabelle12[[#This Row],[Team A]],SpielerDaten!$1:$1,0)</f>
        <v>#N/A</v>
      </c>
      <c r="AI535" t="e">
        <f>MATCH(Tabelle12[[#This Row],[Team A2]],SpielerDaten!$1:$1,0)</f>
        <v>#N/A</v>
      </c>
      <c r="AJ535" t="e">
        <f>MATCH(Tabelle12[[#This Row],[Team B]],SpielerDaten!$1:$1,0)</f>
        <v>#N/A</v>
      </c>
      <c r="AK535" t="e">
        <f>MATCH(Tabelle12[[#This Row],[Team B3]],SpielerDaten!$1:$1,0)</f>
        <v>#N/A</v>
      </c>
    </row>
    <row r="536" spans="1:37" x14ac:dyDescent="0.25">
      <c r="A536">
        <v>534</v>
      </c>
      <c r="B536">
        <f>Tabelle6[[#This Row],[player_A1]]</f>
        <v>0</v>
      </c>
      <c r="C536">
        <f>Tabelle6[[#This Row],[player_A2]]</f>
        <v>0</v>
      </c>
      <c r="D536">
        <f>Tabelle6[[#This Row],[player_B1]]</f>
        <v>0</v>
      </c>
      <c r="E536">
        <f>Tabelle6[[#This Row],[player_B2]]</f>
        <v>0</v>
      </c>
      <c r="F536">
        <f>Tabelle6[[#This Row],[Tore A]]</f>
        <v>0</v>
      </c>
      <c r="G536">
        <f>Tabelle6[[#This Row],[Tore B]]</f>
        <v>0</v>
      </c>
      <c r="H536" s="17"/>
      <c r="I536" s="1" t="e">
        <f>INDEX(Tabelle11[#All],(Tabelle12[[#This Row],[Spiel]]+13),Tabelle12[[#This Row],[ID A1]])</f>
        <v>#N/A</v>
      </c>
      <c r="J536" s="1" t="e">
        <f>INDEX(Tabelle11[#All],(Tabelle12[[#This Row],[Spiel]]+13),Tabelle12[[#This Row],[ID A2]])</f>
        <v>#N/A</v>
      </c>
      <c r="K536" s="1" t="e">
        <f>SUM(Tabelle12[[#This Row],[ELO vorher A1]:[ELO vorher A2]])</f>
        <v>#N/A</v>
      </c>
      <c r="L536" s="1" t="e">
        <f>Tabelle12[[#This Row],[ELO vorher A1]]/Tabelle12[[#This Row],[ELO A gesamt]]</f>
        <v>#N/A</v>
      </c>
      <c r="M536" s="1" t="e">
        <f>Tabelle12[[#This Row],[ELO vorher A2]]/Tabelle12[[#This Row],[ELO A gesamt]]</f>
        <v>#N/A</v>
      </c>
      <c r="N536" s="19"/>
      <c r="O536" s="1" t="e">
        <f>INDEX(Tabelle11[#All],(Tabelle12[[#This Row],[Spiel]]+13),Tabelle12[[#This Row],[ID B1]])</f>
        <v>#N/A</v>
      </c>
      <c r="P536" s="1" t="e">
        <f>INDEX(Tabelle11[#All],(Tabelle12[[#This Row],[Spiel]]+13),Tabelle12[[#This Row],[ID B2]])</f>
        <v>#N/A</v>
      </c>
      <c r="Q536" s="1" t="e">
        <f>SUM(Tabelle12[[#This Row],[ELO vorher B1]:[ELO vorher B2]])</f>
        <v>#N/A</v>
      </c>
      <c r="R536" s="1" t="e">
        <f>Tabelle12[[#This Row],[ELO vorher B1]]/Tabelle12[[#This Row],[ELO B gesamt]]</f>
        <v>#N/A</v>
      </c>
      <c r="S536" s="1" t="e">
        <f>Tabelle12[[#This Row],[ELO vorher B2]]/Tabelle12[[#This Row],[ELO B gesamt]]</f>
        <v>#N/A</v>
      </c>
      <c r="T536" s="19"/>
      <c r="U536" s="1" t="e">
        <f>1/(1+Ergebnisvorhersage!$C$5^((Q536-K536)/Ergebnisvorhersage!$C$6))</f>
        <v>#N/A</v>
      </c>
      <c r="V536" s="1" t="e">
        <f>1/(1+Ergebnisvorhersage!$C$5^((K536-Q536)/Ergebnisvorhersage!$C$6))</f>
        <v>#N/A</v>
      </c>
      <c r="W536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36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36" s="17"/>
      <c r="Z536" s="12" t="e">
        <f>Ergebnisbewertung!$C$5*(W536-U536)</f>
        <v>#N/A</v>
      </c>
      <c r="AA536" s="12" t="e">
        <f>Ergebnisbewertung!$C$5*(X536-V536)</f>
        <v>#N/A</v>
      </c>
      <c r="AB536" s="12" t="e">
        <f>IF(SIGN(Tabelle12[[#This Row],[Änderung A]])=-1,Tabelle12[[#This Row],[Änderung A]]*(Tabelle12[[#This Row],[Anteil A1]]),Tabelle12[[#This Row],[Änderung A]]*(1-Tabelle12[[#This Row],[Anteil A1]]))</f>
        <v>#N/A</v>
      </c>
      <c r="AC536" s="12" t="e">
        <f>IF(SIGN(Tabelle12[[#This Row],[Änderung A]])=-1,Tabelle12[[#This Row],[Änderung A]]*(Tabelle12[[#This Row],[Anteil A2]]),Tabelle12[[#This Row],[Änderung A]]*(1-Tabelle12[[#This Row],[Anteil A2]]))</f>
        <v>#N/A</v>
      </c>
      <c r="AD536" s="12" t="e">
        <f>IF(SIGN(Tabelle12[[#This Row],[Änderung B]])=-1,Tabelle12[[#This Row],[Änderung B]]*(Tabelle12[[#This Row],[Anteil B1]]),Tabelle12[[#This Row],[Änderung B]]*(1-Tabelle12[[#This Row],[Anteil B1]]))</f>
        <v>#N/A</v>
      </c>
      <c r="AE536" s="12" t="e">
        <f>IF(SIGN(Tabelle12[[#This Row],[Änderung B]])=-1,Tabelle12[[#This Row],[Änderung B]]*(Tabelle12[[#This Row],[Anteil B2]]),Tabelle12[[#This Row],[Änderung B]]*(1-Tabelle12[[#This Row],[Anteil B2]]))</f>
        <v>#N/A</v>
      </c>
      <c r="AF536" s="17"/>
      <c r="AG536">
        <f>IF(IFERROR(Tabelle12[[#This Row],[Änderung B2]],0)=0,0,Tabelle12[[#This Row],[Spiel]])</f>
        <v>0</v>
      </c>
      <c r="AH536" t="e">
        <f>MATCH(Tabelle12[[#This Row],[Team A]],SpielerDaten!$1:$1,0)</f>
        <v>#N/A</v>
      </c>
      <c r="AI536" t="e">
        <f>MATCH(Tabelle12[[#This Row],[Team A2]],SpielerDaten!$1:$1,0)</f>
        <v>#N/A</v>
      </c>
      <c r="AJ536" t="e">
        <f>MATCH(Tabelle12[[#This Row],[Team B]],SpielerDaten!$1:$1,0)</f>
        <v>#N/A</v>
      </c>
      <c r="AK536" t="e">
        <f>MATCH(Tabelle12[[#This Row],[Team B3]],SpielerDaten!$1:$1,0)</f>
        <v>#N/A</v>
      </c>
    </row>
    <row r="537" spans="1:37" x14ac:dyDescent="0.25">
      <c r="A537">
        <v>535</v>
      </c>
      <c r="B537">
        <f>Tabelle6[[#This Row],[player_A1]]</f>
        <v>0</v>
      </c>
      <c r="C537">
        <f>Tabelle6[[#This Row],[player_A2]]</f>
        <v>0</v>
      </c>
      <c r="D537">
        <f>Tabelle6[[#This Row],[player_B1]]</f>
        <v>0</v>
      </c>
      <c r="E537">
        <f>Tabelle6[[#This Row],[player_B2]]</f>
        <v>0</v>
      </c>
      <c r="F537">
        <f>Tabelle6[[#This Row],[Tore A]]</f>
        <v>0</v>
      </c>
      <c r="G537">
        <f>Tabelle6[[#This Row],[Tore B]]</f>
        <v>0</v>
      </c>
      <c r="H537" s="17"/>
      <c r="I537" s="1" t="e">
        <f>INDEX(Tabelle11[#All],(Tabelle12[[#This Row],[Spiel]]+13),Tabelle12[[#This Row],[ID A1]])</f>
        <v>#N/A</v>
      </c>
      <c r="J537" s="1" t="e">
        <f>INDEX(Tabelle11[#All],(Tabelle12[[#This Row],[Spiel]]+13),Tabelle12[[#This Row],[ID A2]])</f>
        <v>#N/A</v>
      </c>
      <c r="K537" s="1" t="e">
        <f>SUM(Tabelle12[[#This Row],[ELO vorher A1]:[ELO vorher A2]])</f>
        <v>#N/A</v>
      </c>
      <c r="L537" s="1" t="e">
        <f>Tabelle12[[#This Row],[ELO vorher A1]]/Tabelle12[[#This Row],[ELO A gesamt]]</f>
        <v>#N/A</v>
      </c>
      <c r="M537" s="1" t="e">
        <f>Tabelle12[[#This Row],[ELO vorher A2]]/Tabelle12[[#This Row],[ELO A gesamt]]</f>
        <v>#N/A</v>
      </c>
      <c r="N537" s="19"/>
      <c r="O537" s="1" t="e">
        <f>INDEX(Tabelle11[#All],(Tabelle12[[#This Row],[Spiel]]+13),Tabelle12[[#This Row],[ID B1]])</f>
        <v>#N/A</v>
      </c>
      <c r="P537" s="1" t="e">
        <f>INDEX(Tabelle11[#All],(Tabelle12[[#This Row],[Spiel]]+13),Tabelle12[[#This Row],[ID B2]])</f>
        <v>#N/A</v>
      </c>
      <c r="Q537" s="1" t="e">
        <f>SUM(Tabelle12[[#This Row],[ELO vorher B1]:[ELO vorher B2]])</f>
        <v>#N/A</v>
      </c>
      <c r="R537" s="1" t="e">
        <f>Tabelle12[[#This Row],[ELO vorher B1]]/Tabelle12[[#This Row],[ELO B gesamt]]</f>
        <v>#N/A</v>
      </c>
      <c r="S537" s="1" t="e">
        <f>Tabelle12[[#This Row],[ELO vorher B2]]/Tabelle12[[#This Row],[ELO B gesamt]]</f>
        <v>#N/A</v>
      </c>
      <c r="T537" s="19"/>
      <c r="U537" s="1" t="e">
        <f>1/(1+Ergebnisvorhersage!$C$5^((Q537-K537)/Ergebnisvorhersage!$C$6))</f>
        <v>#N/A</v>
      </c>
      <c r="V537" s="1" t="e">
        <f>1/(1+Ergebnisvorhersage!$C$5^((K537-Q537)/Ergebnisvorhersage!$C$6))</f>
        <v>#N/A</v>
      </c>
      <c r="W537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37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37" s="17"/>
      <c r="Z537" s="12" t="e">
        <f>Ergebnisbewertung!$C$5*(W537-U537)</f>
        <v>#N/A</v>
      </c>
      <c r="AA537" s="12" t="e">
        <f>Ergebnisbewertung!$C$5*(X537-V537)</f>
        <v>#N/A</v>
      </c>
      <c r="AB537" s="12" t="e">
        <f>IF(SIGN(Tabelle12[[#This Row],[Änderung A]])=-1,Tabelle12[[#This Row],[Änderung A]]*(Tabelle12[[#This Row],[Anteil A1]]),Tabelle12[[#This Row],[Änderung A]]*(1-Tabelle12[[#This Row],[Anteil A1]]))</f>
        <v>#N/A</v>
      </c>
      <c r="AC537" s="12" t="e">
        <f>IF(SIGN(Tabelle12[[#This Row],[Änderung A]])=-1,Tabelle12[[#This Row],[Änderung A]]*(Tabelle12[[#This Row],[Anteil A2]]),Tabelle12[[#This Row],[Änderung A]]*(1-Tabelle12[[#This Row],[Anteil A2]]))</f>
        <v>#N/A</v>
      </c>
      <c r="AD537" s="12" t="e">
        <f>IF(SIGN(Tabelle12[[#This Row],[Änderung B]])=-1,Tabelle12[[#This Row],[Änderung B]]*(Tabelle12[[#This Row],[Anteil B1]]),Tabelle12[[#This Row],[Änderung B]]*(1-Tabelle12[[#This Row],[Anteil B1]]))</f>
        <v>#N/A</v>
      </c>
      <c r="AE537" s="12" t="e">
        <f>IF(SIGN(Tabelle12[[#This Row],[Änderung B]])=-1,Tabelle12[[#This Row],[Änderung B]]*(Tabelle12[[#This Row],[Anteil B2]]),Tabelle12[[#This Row],[Änderung B]]*(1-Tabelle12[[#This Row],[Anteil B2]]))</f>
        <v>#N/A</v>
      </c>
      <c r="AF537" s="17"/>
      <c r="AG537">
        <f>IF(IFERROR(Tabelle12[[#This Row],[Änderung B2]],0)=0,0,Tabelle12[[#This Row],[Spiel]])</f>
        <v>0</v>
      </c>
      <c r="AH537" t="e">
        <f>MATCH(Tabelle12[[#This Row],[Team A]],SpielerDaten!$1:$1,0)</f>
        <v>#N/A</v>
      </c>
      <c r="AI537" t="e">
        <f>MATCH(Tabelle12[[#This Row],[Team A2]],SpielerDaten!$1:$1,0)</f>
        <v>#N/A</v>
      </c>
      <c r="AJ537" t="e">
        <f>MATCH(Tabelle12[[#This Row],[Team B]],SpielerDaten!$1:$1,0)</f>
        <v>#N/A</v>
      </c>
      <c r="AK537" t="e">
        <f>MATCH(Tabelle12[[#This Row],[Team B3]],SpielerDaten!$1:$1,0)</f>
        <v>#N/A</v>
      </c>
    </row>
    <row r="538" spans="1:37" x14ac:dyDescent="0.25">
      <c r="A538">
        <v>536</v>
      </c>
      <c r="B538">
        <f>Tabelle6[[#This Row],[player_A1]]</f>
        <v>0</v>
      </c>
      <c r="C538">
        <f>Tabelle6[[#This Row],[player_A2]]</f>
        <v>0</v>
      </c>
      <c r="D538">
        <f>Tabelle6[[#This Row],[player_B1]]</f>
        <v>0</v>
      </c>
      <c r="E538">
        <f>Tabelle6[[#This Row],[player_B2]]</f>
        <v>0</v>
      </c>
      <c r="F538">
        <f>Tabelle6[[#This Row],[Tore A]]</f>
        <v>0</v>
      </c>
      <c r="G538">
        <f>Tabelle6[[#This Row],[Tore B]]</f>
        <v>0</v>
      </c>
      <c r="H538" s="17"/>
      <c r="I538" s="1" t="e">
        <f>INDEX(Tabelle11[#All],(Tabelle12[[#This Row],[Spiel]]+13),Tabelle12[[#This Row],[ID A1]])</f>
        <v>#N/A</v>
      </c>
      <c r="J538" s="1" t="e">
        <f>INDEX(Tabelle11[#All],(Tabelle12[[#This Row],[Spiel]]+13),Tabelle12[[#This Row],[ID A2]])</f>
        <v>#N/A</v>
      </c>
      <c r="K538" s="1" t="e">
        <f>SUM(Tabelle12[[#This Row],[ELO vorher A1]:[ELO vorher A2]])</f>
        <v>#N/A</v>
      </c>
      <c r="L538" s="1" t="e">
        <f>Tabelle12[[#This Row],[ELO vorher A1]]/Tabelle12[[#This Row],[ELO A gesamt]]</f>
        <v>#N/A</v>
      </c>
      <c r="M538" s="1" t="e">
        <f>Tabelle12[[#This Row],[ELO vorher A2]]/Tabelle12[[#This Row],[ELO A gesamt]]</f>
        <v>#N/A</v>
      </c>
      <c r="N538" s="19"/>
      <c r="O538" s="1" t="e">
        <f>INDEX(Tabelle11[#All],(Tabelle12[[#This Row],[Spiel]]+13),Tabelle12[[#This Row],[ID B1]])</f>
        <v>#N/A</v>
      </c>
      <c r="P538" s="1" t="e">
        <f>INDEX(Tabelle11[#All],(Tabelle12[[#This Row],[Spiel]]+13),Tabelle12[[#This Row],[ID B2]])</f>
        <v>#N/A</v>
      </c>
      <c r="Q538" s="1" t="e">
        <f>SUM(Tabelle12[[#This Row],[ELO vorher B1]:[ELO vorher B2]])</f>
        <v>#N/A</v>
      </c>
      <c r="R538" s="1" t="e">
        <f>Tabelle12[[#This Row],[ELO vorher B1]]/Tabelle12[[#This Row],[ELO B gesamt]]</f>
        <v>#N/A</v>
      </c>
      <c r="S538" s="1" t="e">
        <f>Tabelle12[[#This Row],[ELO vorher B2]]/Tabelle12[[#This Row],[ELO B gesamt]]</f>
        <v>#N/A</v>
      </c>
      <c r="T538" s="19"/>
      <c r="U538" s="1" t="e">
        <f>1/(1+Ergebnisvorhersage!$C$5^((Q538-K538)/Ergebnisvorhersage!$C$6))</f>
        <v>#N/A</v>
      </c>
      <c r="V538" s="1" t="e">
        <f>1/(1+Ergebnisvorhersage!$C$5^((K538-Q538)/Ergebnisvorhersage!$C$6))</f>
        <v>#N/A</v>
      </c>
      <c r="W538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38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38" s="17"/>
      <c r="Z538" s="12" t="e">
        <f>Ergebnisbewertung!$C$5*(W538-U538)</f>
        <v>#N/A</v>
      </c>
      <c r="AA538" s="12" t="e">
        <f>Ergebnisbewertung!$C$5*(X538-V538)</f>
        <v>#N/A</v>
      </c>
      <c r="AB538" s="12" t="e">
        <f>IF(SIGN(Tabelle12[[#This Row],[Änderung A]])=-1,Tabelle12[[#This Row],[Änderung A]]*(Tabelle12[[#This Row],[Anteil A1]]),Tabelle12[[#This Row],[Änderung A]]*(1-Tabelle12[[#This Row],[Anteil A1]]))</f>
        <v>#N/A</v>
      </c>
      <c r="AC538" s="12" t="e">
        <f>IF(SIGN(Tabelle12[[#This Row],[Änderung A]])=-1,Tabelle12[[#This Row],[Änderung A]]*(Tabelle12[[#This Row],[Anteil A2]]),Tabelle12[[#This Row],[Änderung A]]*(1-Tabelle12[[#This Row],[Anteil A2]]))</f>
        <v>#N/A</v>
      </c>
      <c r="AD538" s="12" t="e">
        <f>IF(SIGN(Tabelle12[[#This Row],[Änderung B]])=-1,Tabelle12[[#This Row],[Änderung B]]*(Tabelle12[[#This Row],[Anteil B1]]),Tabelle12[[#This Row],[Änderung B]]*(1-Tabelle12[[#This Row],[Anteil B1]]))</f>
        <v>#N/A</v>
      </c>
      <c r="AE538" s="12" t="e">
        <f>IF(SIGN(Tabelle12[[#This Row],[Änderung B]])=-1,Tabelle12[[#This Row],[Änderung B]]*(Tabelle12[[#This Row],[Anteil B2]]),Tabelle12[[#This Row],[Änderung B]]*(1-Tabelle12[[#This Row],[Anteil B2]]))</f>
        <v>#N/A</v>
      </c>
      <c r="AF538" s="17"/>
      <c r="AG538">
        <f>IF(IFERROR(Tabelle12[[#This Row],[Änderung B2]],0)=0,0,Tabelle12[[#This Row],[Spiel]])</f>
        <v>0</v>
      </c>
      <c r="AH538" t="e">
        <f>MATCH(Tabelle12[[#This Row],[Team A]],SpielerDaten!$1:$1,0)</f>
        <v>#N/A</v>
      </c>
      <c r="AI538" t="e">
        <f>MATCH(Tabelle12[[#This Row],[Team A2]],SpielerDaten!$1:$1,0)</f>
        <v>#N/A</v>
      </c>
      <c r="AJ538" t="e">
        <f>MATCH(Tabelle12[[#This Row],[Team B]],SpielerDaten!$1:$1,0)</f>
        <v>#N/A</v>
      </c>
      <c r="AK538" t="e">
        <f>MATCH(Tabelle12[[#This Row],[Team B3]],SpielerDaten!$1:$1,0)</f>
        <v>#N/A</v>
      </c>
    </row>
    <row r="539" spans="1:37" x14ac:dyDescent="0.25">
      <c r="A539">
        <v>537</v>
      </c>
      <c r="B539">
        <f>Tabelle6[[#This Row],[player_A1]]</f>
        <v>0</v>
      </c>
      <c r="C539">
        <f>Tabelle6[[#This Row],[player_A2]]</f>
        <v>0</v>
      </c>
      <c r="D539">
        <f>Tabelle6[[#This Row],[player_B1]]</f>
        <v>0</v>
      </c>
      <c r="E539">
        <f>Tabelle6[[#This Row],[player_B2]]</f>
        <v>0</v>
      </c>
      <c r="F539">
        <f>Tabelle6[[#This Row],[Tore A]]</f>
        <v>0</v>
      </c>
      <c r="G539">
        <f>Tabelle6[[#This Row],[Tore B]]</f>
        <v>0</v>
      </c>
      <c r="H539" s="17"/>
      <c r="I539" s="1" t="e">
        <f>INDEX(Tabelle11[#All],(Tabelle12[[#This Row],[Spiel]]+13),Tabelle12[[#This Row],[ID A1]])</f>
        <v>#N/A</v>
      </c>
      <c r="J539" s="1" t="e">
        <f>INDEX(Tabelle11[#All],(Tabelle12[[#This Row],[Spiel]]+13),Tabelle12[[#This Row],[ID A2]])</f>
        <v>#N/A</v>
      </c>
      <c r="K539" s="1" t="e">
        <f>SUM(Tabelle12[[#This Row],[ELO vorher A1]:[ELO vorher A2]])</f>
        <v>#N/A</v>
      </c>
      <c r="L539" s="1" t="e">
        <f>Tabelle12[[#This Row],[ELO vorher A1]]/Tabelle12[[#This Row],[ELO A gesamt]]</f>
        <v>#N/A</v>
      </c>
      <c r="M539" s="1" t="e">
        <f>Tabelle12[[#This Row],[ELO vorher A2]]/Tabelle12[[#This Row],[ELO A gesamt]]</f>
        <v>#N/A</v>
      </c>
      <c r="N539" s="19"/>
      <c r="O539" s="1" t="e">
        <f>INDEX(Tabelle11[#All],(Tabelle12[[#This Row],[Spiel]]+13),Tabelle12[[#This Row],[ID B1]])</f>
        <v>#N/A</v>
      </c>
      <c r="P539" s="1" t="e">
        <f>INDEX(Tabelle11[#All],(Tabelle12[[#This Row],[Spiel]]+13),Tabelle12[[#This Row],[ID B2]])</f>
        <v>#N/A</v>
      </c>
      <c r="Q539" s="1" t="e">
        <f>SUM(Tabelle12[[#This Row],[ELO vorher B1]:[ELO vorher B2]])</f>
        <v>#N/A</v>
      </c>
      <c r="R539" s="1" t="e">
        <f>Tabelle12[[#This Row],[ELO vorher B1]]/Tabelle12[[#This Row],[ELO B gesamt]]</f>
        <v>#N/A</v>
      </c>
      <c r="S539" s="1" t="e">
        <f>Tabelle12[[#This Row],[ELO vorher B2]]/Tabelle12[[#This Row],[ELO B gesamt]]</f>
        <v>#N/A</v>
      </c>
      <c r="T539" s="19"/>
      <c r="U539" s="1" t="e">
        <f>1/(1+Ergebnisvorhersage!$C$5^((Q539-K539)/Ergebnisvorhersage!$C$6))</f>
        <v>#N/A</v>
      </c>
      <c r="V539" s="1" t="e">
        <f>1/(1+Ergebnisvorhersage!$C$5^((K539-Q539)/Ergebnisvorhersage!$C$6))</f>
        <v>#N/A</v>
      </c>
      <c r="W539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39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39" s="17"/>
      <c r="Z539" s="12" t="e">
        <f>Ergebnisbewertung!$C$5*(W539-U539)</f>
        <v>#N/A</v>
      </c>
      <c r="AA539" s="12" t="e">
        <f>Ergebnisbewertung!$C$5*(X539-V539)</f>
        <v>#N/A</v>
      </c>
      <c r="AB539" s="12" t="e">
        <f>IF(SIGN(Tabelle12[[#This Row],[Änderung A]])=-1,Tabelle12[[#This Row],[Änderung A]]*(Tabelle12[[#This Row],[Anteil A1]]),Tabelle12[[#This Row],[Änderung A]]*(1-Tabelle12[[#This Row],[Anteil A1]]))</f>
        <v>#N/A</v>
      </c>
      <c r="AC539" s="12" t="e">
        <f>IF(SIGN(Tabelle12[[#This Row],[Änderung A]])=-1,Tabelle12[[#This Row],[Änderung A]]*(Tabelle12[[#This Row],[Anteil A2]]),Tabelle12[[#This Row],[Änderung A]]*(1-Tabelle12[[#This Row],[Anteil A2]]))</f>
        <v>#N/A</v>
      </c>
      <c r="AD539" s="12" t="e">
        <f>IF(SIGN(Tabelle12[[#This Row],[Änderung B]])=-1,Tabelle12[[#This Row],[Änderung B]]*(Tabelle12[[#This Row],[Anteil B1]]),Tabelle12[[#This Row],[Änderung B]]*(1-Tabelle12[[#This Row],[Anteil B1]]))</f>
        <v>#N/A</v>
      </c>
      <c r="AE539" s="12" t="e">
        <f>IF(SIGN(Tabelle12[[#This Row],[Änderung B]])=-1,Tabelle12[[#This Row],[Änderung B]]*(Tabelle12[[#This Row],[Anteil B2]]),Tabelle12[[#This Row],[Änderung B]]*(1-Tabelle12[[#This Row],[Anteil B2]]))</f>
        <v>#N/A</v>
      </c>
      <c r="AF539" s="17"/>
      <c r="AG539">
        <f>IF(IFERROR(Tabelle12[[#This Row],[Änderung B2]],0)=0,0,Tabelle12[[#This Row],[Spiel]])</f>
        <v>0</v>
      </c>
      <c r="AH539" t="e">
        <f>MATCH(Tabelle12[[#This Row],[Team A]],SpielerDaten!$1:$1,0)</f>
        <v>#N/A</v>
      </c>
      <c r="AI539" t="e">
        <f>MATCH(Tabelle12[[#This Row],[Team A2]],SpielerDaten!$1:$1,0)</f>
        <v>#N/A</v>
      </c>
      <c r="AJ539" t="e">
        <f>MATCH(Tabelle12[[#This Row],[Team B]],SpielerDaten!$1:$1,0)</f>
        <v>#N/A</v>
      </c>
      <c r="AK539" t="e">
        <f>MATCH(Tabelle12[[#This Row],[Team B3]],SpielerDaten!$1:$1,0)</f>
        <v>#N/A</v>
      </c>
    </row>
    <row r="540" spans="1:37" x14ac:dyDescent="0.25">
      <c r="A540">
        <v>538</v>
      </c>
      <c r="B540">
        <f>Tabelle6[[#This Row],[player_A1]]</f>
        <v>0</v>
      </c>
      <c r="C540">
        <f>Tabelle6[[#This Row],[player_A2]]</f>
        <v>0</v>
      </c>
      <c r="D540">
        <f>Tabelle6[[#This Row],[player_B1]]</f>
        <v>0</v>
      </c>
      <c r="E540">
        <f>Tabelle6[[#This Row],[player_B2]]</f>
        <v>0</v>
      </c>
      <c r="F540">
        <f>Tabelle6[[#This Row],[Tore A]]</f>
        <v>0</v>
      </c>
      <c r="G540">
        <f>Tabelle6[[#This Row],[Tore B]]</f>
        <v>0</v>
      </c>
      <c r="H540" s="17"/>
      <c r="I540" s="1" t="e">
        <f>INDEX(Tabelle11[#All],(Tabelle12[[#This Row],[Spiel]]+13),Tabelle12[[#This Row],[ID A1]])</f>
        <v>#N/A</v>
      </c>
      <c r="J540" s="1" t="e">
        <f>INDEX(Tabelle11[#All],(Tabelle12[[#This Row],[Spiel]]+13),Tabelle12[[#This Row],[ID A2]])</f>
        <v>#N/A</v>
      </c>
      <c r="K540" s="1" t="e">
        <f>SUM(Tabelle12[[#This Row],[ELO vorher A1]:[ELO vorher A2]])</f>
        <v>#N/A</v>
      </c>
      <c r="L540" s="1" t="e">
        <f>Tabelle12[[#This Row],[ELO vorher A1]]/Tabelle12[[#This Row],[ELO A gesamt]]</f>
        <v>#N/A</v>
      </c>
      <c r="M540" s="1" t="e">
        <f>Tabelle12[[#This Row],[ELO vorher A2]]/Tabelle12[[#This Row],[ELO A gesamt]]</f>
        <v>#N/A</v>
      </c>
      <c r="N540" s="19"/>
      <c r="O540" s="1" t="e">
        <f>INDEX(Tabelle11[#All],(Tabelle12[[#This Row],[Spiel]]+13),Tabelle12[[#This Row],[ID B1]])</f>
        <v>#N/A</v>
      </c>
      <c r="P540" s="1" t="e">
        <f>INDEX(Tabelle11[#All],(Tabelle12[[#This Row],[Spiel]]+13),Tabelle12[[#This Row],[ID B2]])</f>
        <v>#N/A</v>
      </c>
      <c r="Q540" s="1" t="e">
        <f>SUM(Tabelle12[[#This Row],[ELO vorher B1]:[ELO vorher B2]])</f>
        <v>#N/A</v>
      </c>
      <c r="R540" s="1" t="e">
        <f>Tabelle12[[#This Row],[ELO vorher B1]]/Tabelle12[[#This Row],[ELO B gesamt]]</f>
        <v>#N/A</v>
      </c>
      <c r="S540" s="1" t="e">
        <f>Tabelle12[[#This Row],[ELO vorher B2]]/Tabelle12[[#This Row],[ELO B gesamt]]</f>
        <v>#N/A</v>
      </c>
      <c r="T540" s="19"/>
      <c r="U540" s="1" t="e">
        <f>1/(1+Ergebnisvorhersage!$C$5^((Q540-K540)/Ergebnisvorhersage!$C$6))</f>
        <v>#N/A</v>
      </c>
      <c r="V540" s="1" t="e">
        <f>1/(1+Ergebnisvorhersage!$C$5^((K540-Q540)/Ergebnisvorhersage!$C$6))</f>
        <v>#N/A</v>
      </c>
      <c r="W540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40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40" s="17"/>
      <c r="Z540" s="12" t="e">
        <f>Ergebnisbewertung!$C$5*(W540-U540)</f>
        <v>#N/A</v>
      </c>
      <c r="AA540" s="12" t="e">
        <f>Ergebnisbewertung!$C$5*(X540-V540)</f>
        <v>#N/A</v>
      </c>
      <c r="AB540" s="12" t="e">
        <f>IF(SIGN(Tabelle12[[#This Row],[Änderung A]])=-1,Tabelle12[[#This Row],[Änderung A]]*(Tabelle12[[#This Row],[Anteil A1]]),Tabelle12[[#This Row],[Änderung A]]*(1-Tabelle12[[#This Row],[Anteil A1]]))</f>
        <v>#N/A</v>
      </c>
      <c r="AC540" s="12" t="e">
        <f>IF(SIGN(Tabelle12[[#This Row],[Änderung A]])=-1,Tabelle12[[#This Row],[Änderung A]]*(Tabelle12[[#This Row],[Anteil A2]]),Tabelle12[[#This Row],[Änderung A]]*(1-Tabelle12[[#This Row],[Anteil A2]]))</f>
        <v>#N/A</v>
      </c>
      <c r="AD540" s="12" t="e">
        <f>IF(SIGN(Tabelle12[[#This Row],[Änderung B]])=-1,Tabelle12[[#This Row],[Änderung B]]*(Tabelle12[[#This Row],[Anteil B1]]),Tabelle12[[#This Row],[Änderung B]]*(1-Tabelle12[[#This Row],[Anteil B1]]))</f>
        <v>#N/A</v>
      </c>
      <c r="AE540" s="12" t="e">
        <f>IF(SIGN(Tabelle12[[#This Row],[Änderung B]])=-1,Tabelle12[[#This Row],[Änderung B]]*(Tabelle12[[#This Row],[Anteil B2]]),Tabelle12[[#This Row],[Änderung B]]*(1-Tabelle12[[#This Row],[Anteil B2]]))</f>
        <v>#N/A</v>
      </c>
      <c r="AF540" s="17"/>
      <c r="AG540">
        <f>IF(IFERROR(Tabelle12[[#This Row],[Änderung B2]],0)=0,0,Tabelle12[[#This Row],[Spiel]])</f>
        <v>0</v>
      </c>
      <c r="AH540" t="e">
        <f>MATCH(Tabelle12[[#This Row],[Team A]],SpielerDaten!$1:$1,0)</f>
        <v>#N/A</v>
      </c>
      <c r="AI540" t="e">
        <f>MATCH(Tabelle12[[#This Row],[Team A2]],SpielerDaten!$1:$1,0)</f>
        <v>#N/A</v>
      </c>
      <c r="AJ540" t="e">
        <f>MATCH(Tabelle12[[#This Row],[Team B]],SpielerDaten!$1:$1,0)</f>
        <v>#N/A</v>
      </c>
      <c r="AK540" t="e">
        <f>MATCH(Tabelle12[[#This Row],[Team B3]],SpielerDaten!$1:$1,0)</f>
        <v>#N/A</v>
      </c>
    </row>
    <row r="541" spans="1:37" x14ac:dyDescent="0.25">
      <c r="A541">
        <v>539</v>
      </c>
      <c r="B541">
        <f>Tabelle6[[#This Row],[player_A1]]</f>
        <v>0</v>
      </c>
      <c r="C541">
        <f>Tabelle6[[#This Row],[player_A2]]</f>
        <v>0</v>
      </c>
      <c r="D541">
        <f>Tabelle6[[#This Row],[player_B1]]</f>
        <v>0</v>
      </c>
      <c r="E541">
        <f>Tabelle6[[#This Row],[player_B2]]</f>
        <v>0</v>
      </c>
      <c r="F541">
        <f>Tabelle6[[#This Row],[Tore A]]</f>
        <v>0</v>
      </c>
      <c r="G541">
        <f>Tabelle6[[#This Row],[Tore B]]</f>
        <v>0</v>
      </c>
      <c r="H541" s="17"/>
      <c r="I541" s="1" t="e">
        <f>INDEX(Tabelle11[#All],(Tabelle12[[#This Row],[Spiel]]+13),Tabelle12[[#This Row],[ID A1]])</f>
        <v>#N/A</v>
      </c>
      <c r="J541" s="1" t="e">
        <f>INDEX(Tabelle11[#All],(Tabelle12[[#This Row],[Spiel]]+13),Tabelle12[[#This Row],[ID A2]])</f>
        <v>#N/A</v>
      </c>
      <c r="K541" s="1" t="e">
        <f>SUM(Tabelle12[[#This Row],[ELO vorher A1]:[ELO vorher A2]])</f>
        <v>#N/A</v>
      </c>
      <c r="L541" s="1" t="e">
        <f>Tabelle12[[#This Row],[ELO vorher A1]]/Tabelle12[[#This Row],[ELO A gesamt]]</f>
        <v>#N/A</v>
      </c>
      <c r="M541" s="1" t="e">
        <f>Tabelle12[[#This Row],[ELO vorher A2]]/Tabelle12[[#This Row],[ELO A gesamt]]</f>
        <v>#N/A</v>
      </c>
      <c r="N541" s="19"/>
      <c r="O541" s="1" t="e">
        <f>INDEX(Tabelle11[#All],(Tabelle12[[#This Row],[Spiel]]+13),Tabelle12[[#This Row],[ID B1]])</f>
        <v>#N/A</v>
      </c>
      <c r="P541" s="1" t="e">
        <f>INDEX(Tabelle11[#All],(Tabelle12[[#This Row],[Spiel]]+13),Tabelle12[[#This Row],[ID B2]])</f>
        <v>#N/A</v>
      </c>
      <c r="Q541" s="1" t="e">
        <f>SUM(Tabelle12[[#This Row],[ELO vorher B1]:[ELO vorher B2]])</f>
        <v>#N/A</v>
      </c>
      <c r="R541" s="1" t="e">
        <f>Tabelle12[[#This Row],[ELO vorher B1]]/Tabelle12[[#This Row],[ELO B gesamt]]</f>
        <v>#N/A</v>
      </c>
      <c r="S541" s="1" t="e">
        <f>Tabelle12[[#This Row],[ELO vorher B2]]/Tabelle12[[#This Row],[ELO B gesamt]]</f>
        <v>#N/A</v>
      </c>
      <c r="T541" s="19"/>
      <c r="U541" s="1" t="e">
        <f>1/(1+Ergebnisvorhersage!$C$5^((Q541-K541)/Ergebnisvorhersage!$C$6))</f>
        <v>#N/A</v>
      </c>
      <c r="V541" s="1" t="e">
        <f>1/(1+Ergebnisvorhersage!$C$5^((K541-Q541)/Ergebnisvorhersage!$C$6))</f>
        <v>#N/A</v>
      </c>
      <c r="W541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41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41" s="17"/>
      <c r="Z541" s="12" t="e">
        <f>Ergebnisbewertung!$C$5*(W541-U541)</f>
        <v>#N/A</v>
      </c>
      <c r="AA541" s="12" t="e">
        <f>Ergebnisbewertung!$C$5*(X541-V541)</f>
        <v>#N/A</v>
      </c>
      <c r="AB541" s="12" t="e">
        <f>IF(SIGN(Tabelle12[[#This Row],[Änderung A]])=-1,Tabelle12[[#This Row],[Änderung A]]*(Tabelle12[[#This Row],[Anteil A1]]),Tabelle12[[#This Row],[Änderung A]]*(1-Tabelle12[[#This Row],[Anteil A1]]))</f>
        <v>#N/A</v>
      </c>
      <c r="AC541" s="12" t="e">
        <f>IF(SIGN(Tabelle12[[#This Row],[Änderung A]])=-1,Tabelle12[[#This Row],[Änderung A]]*(Tabelle12[[#This Row],[Anteil A2]]),Tabelle12[[#This Row],[Änderung A]]*(1-Tabelle12[[#This Row],[Anteil A2]]))</f>
        <v>#N/A</v>
      </c>
      <c r="AD541" s="12" t="e">
        <f>IF(SIGN(Tabelle12[[#This Row],[Änderung B]])=-1,Tabelle12[[#This Row],[Änderung B]]*(Tabelle12[[#This Row],[Anteil B1]]),Tabelle12[[#This Row],[Änderung B]]*(1-Tabelle12[[#This Row],[Anteil B1]]))</f>
        <v>#N/A</v>
      </c>
      <c r="AE541" s="12" t="e">
        <f>IF(SIGN(Tabelle12[[#This Row],[Änderung B]])=-1,Tabelle12[[#This Row],[Änderung B]]*(Tabelle12[[#This Row],[Anteil B2]]),Tabelle12[[#This Row],[Änderung B]]*(1-Tabelle12[[#This Row],[Anteil B2]]))</f>
        <v>#N/A</v>
      </c>
      <c r="AF541" s="17"/>
      <c r="AG541">
        <f>IF(IFERROR(Tabelle12[[#This Row],[Änderung B2]],0)=0,0,Tabelle12[[#This Row],[Spiel]])</f>
        <v>0</v>
      </c>
      <c r="AH541" t="e">
        <f>MATCH(Tabelle12[[#This Row],[Team A]],SpielerDaten!$1:$1,0)</f>
        <v>#N/A</v>
      </c>
      <c r="AI541" t="e">
        <f>MATCH(Tabelle12[[#This Row],[Team A2]],SpielerDaten!$1:$1,0)</f>
        <v>#N/A</v>
      </c>
      <c r="AJ541" t="e">
        <f>MATCH(Tabelle12[[#This Row],[Team B]],SpielerDaten!$1:$1,0)</f>
        <v>#N/A</v>
      </c>
      <c r="AK541" t="e">
        <f>MATCH(Tabelle12[[#This Row],[Team B3]],SpielerDaten!$1:$1,0)</f>
        <v>#N/A</v>
      </c>
    </row>
    <row r="542" spans="1:37" x14ac:dyDescent="0.25">
      <c r="A542">
        <v>540</v>
      </c>
      <c r="B542">
        <f>Tabelle6[[#This Row],[player_A1]]</f>
        <v>0</v>
      </c>
      <c r="C542">
        <f>Tabelle6[[#This Row],[player_A2]]</f>
        <v>0</v>
      </c>
      <c r="D542">
        <f>Tabelle6[[#This Row],[player_B1]]</f>
        <v>0</v>
      </c>
      <c r="E542">
        <f>Tabelle6[[#This Row],[player_B2]]</f>
        <v>0</v>
      </c>
      <c r="F542">
        <f>Tabelle6[[#This Row],[Tore A]]</f>
        <v>0</v>
      </c>
      <c r="G542">
        <f>Tabelle6[[#This Row],[Tore B]]</f>
        <v>0</v>
      </c>
      <c r="H542" s="17"/>
      <c r="I542" s="1" t="e">
        <f>INDEX(Tabelle11[#All],(Tabelle12[[#This Row],[Spiel]]+13),Tabelle12[[#This Row],[ID A1]])</f>
        <v>#N/A</v>
      </c>
      <c r="J542" s="1" t="e">
        <f>INDEX(Tabelle11[#All],(Tabelle12[[#This Row],[Spiel]]+13),Tabelle12[[#This Row],[ID A2]])</f>
        <v>#N/A</v>
      </c>
      <c r="K542" s="1" t="e">
        <f>SUM(Tabelle12[[#This Row],[ELO vorher A1]:[ELO vorher A2]])</f>
        <v>#N/A</v>
      </c>
      <c r="L542" s="1" t="e">
        <f>Tabelle12[[#This Row],[ELO vorher A1]]/Tabelle12[[#This Row],[ELO A gesamt]]</f>
        <v>#N/A</v>
      </c>
      <c r="M542" s="1" t="e">
        <f>Tabelle12[[#This Row],[ELO vorher A2]]/Tabelle12[[#This Row],[ELO A gesamt]]</f>
        <v>#N/A</v>
      </c>
      <c r="N542" s="19"/>
      <c r="O542" s="1" t="e">
        <f>INDEX(Tabelle11[#All],(Tabelle12[[#This Row],[Spiel]]+13),Tabelle12[[#This Row],[ID B1]])</f>
        <v>#N/A</v>
      </c>
      <c r="P542" s="1" t="e">
        <f>INDEX(Tabelle11[#All],(Tabelle12[[#This Row],[Spiel]]+13),Tabelle12[[#This Row],[ID B2]])</f>
        <v>#N/A</v>
      </c>
      <c r="Q542" s="1" t="e">
        <f>SUM(Tabelle12[[#This Row],[ELO vorher B1]:[ELO vorher B2]])</f>
        <v>#N/A</v>
      </c>
      <c r="R542" s="1" t="e">
        <f>Tabelle12[[#This Row],[ELO vorher B1]]/Tabelle12[[#This Row],[ELO B gesamt]]</f>
        <v>#N/A</v>
      </c>
      <c r="S542" s="1" t="e">
        <f>Tabelle12[[#This Row],[ELO vorher B2]]/Tabelle12[[#This Row],[ELO B gesamt]]</f>
        <v>#N/A</v>
      </c>
      <c r="T542" s="19"/>
      <c r="U542" s="1" t="e">
        <f>1/(1+Ergebnisvorhersage!$C$5^((Q542-K542)/Ergebnisvorhersage!$C$6))</f>
        <v>#N/A</v>
      </c>
      <c r="V542" s="1" t="e">
        <f>1/(1+Ergebnisvorhersage!$C$5^((K542-Q542)/Ergebnisvorhersage!$C$6))</f>
        <v>#N/A</v>
      </c>
      <c r="W542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42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42" s="17"/>
      <c r="Z542" s="12" t="e">
        <f>Ergebnisbewertung!$C$5*(W542-U542)</f>
        <v>#N/A</v>
      </c>
      <c r="AA542" s="12" t="e">
        <f>Ergebnisbewertung!$C$5*(X542-V542)</f>
        <v>#N/A</v>
      </c>
      <c r="AB542" s="12" t="e">
        <f>IF(SIGN(Tabelle12[[#This Row],[Änderung A]])=-1,Tabelle12[[#This Row],[Änderung A]]*(Tabelle12[[#This Row],[Anteil A1]]),Tabelle12[[#This Row],[Änderung A]]*(1-Tabelle12[[#This Row],[Anteil A1]]))</f>
        <v>#N/A</v>
      </c>
      <c r="AC542" s="12" t="e">
        <f>IF(SIGN(Tabelle12[[#This Row],[Änderung A]])=-1,Tabelle12[[#This Row],[Änderung A]]*(Tabelle12[[#This Row],[Anteil A2]]),Tabelle12[[#This Row],[Änderung A]]*(1-Tabelle12[[#This Row],[Anteil A2]]))</f>
        <v>#N/A</v>
      </c>
      <c r="AD542" s="12" t="e">
        <f>IF(SIGN(Tabelle12[[#This Row],[Änderung B]])=-1,Tabelle12[[#This Row],[Änderung B]]*(Tabelle12[[#This Row],[Anteil B1]]),Tabelle12[[#This Row],[Änderung B]]*(1-Tabelle12[[#This Row],[Anteil B1]]))</f>
        <v>#N/A</v>
      </c>
      <c r="AE542" s="12" t="e">
        <f>IF(SIGN(Tabelle12[[#This Row],[Änderung B]])=-1,Tabelle12[[#This Row],[Änderung B]]*(Tabelle12[[#This Row],[Anteil B2]]),Tabelle12[[#This Row],[Änderung B]]*(1-Tabelle12[[#This Row],[Anteil B2]]))</f>
        <v>#N/A</v>
      </c>
      <c r="AF542" s="17"/>
      <c r="AG542">
        <f>IF(IFERROR(Tabelle12[[#This Row],[Änderung B2]],0)=0,0,Tabelle12[[#This Row],[Spiel]])</f>
        <v>0</v>
      </c>
      <c r="AH542" t="e">
        <f>MATCH(Tabelle12[[#This Row],[Team A]],SpielerDaten!$1:$1,0)</f>
        <v>#N/A</v>
      </c>
      <c r="AI542" t="e">
        <f>MATCH(Tabelle12[[#This Row],[Team A2]],SpielerDaten!$1:$1,0)</f>
        <v>#N/A</v>
      </c>
      <c r="AJ542" t="e">
        <f>MATCH(Tabelle12[[#This Row],[Team B]],SpielerDaten!$1:$1,0)</f>
        <v>#N/A</v>
      </c>
      <c r="AK542" t="e">
        <f>MATCH(Tabelle12[[#This Row],[Team B3]],SpielerDaten!$1:$1,0)</f>
        <v>#N/A</v>
      </c>
    </row>
    <row r="543" spans="1:37" x14ac:dyDescent="0.25">
      <c r="A543">
        <v>541</v>
      </c>
      <c r="B543">
        <f>Tabelle6[[#This Row],[player_A1]]</f>
        <v>0</v>
      </c>
      <c r="C543">
        <f>Tabelle6[[#This Row],[player_A2]]</f>
        <v>0</v>
      </c>
      <c r="D543">
        <f>Tabelle6[[#This Row],[player_B1]]</f>
        <v>0</v>
      </c>
      <c r="E543">
        <f>Tabelle6[[#This Row],[player_B2]]</f>
        <v>0</v>
      </c>
      <c r="F543">
        <f>Tabelle6[[#This Row],[Tore A]]</f>
        <v>0</v>
      </c>
      <c r="G543">
        <f>Tabelle6[[#This Row],[Tore B]]</f>
        <v>0</v>
      </c>
      <c r="H543" s="17"/>
      <c r="I543" s="1" t="e">
        <f>INDEX(Tabelle11[#All],(Tabelle12[[#This Row],[Spiel]]+13),Tabelle12[[#This Row],[ID A1]])</f>
        <v>#N/A</v>
      </c>
      <c r="J543" s="1" t="e">
        <f>INDEX(Tabelle11[#All],(Tabelle12[[#This Row],[Spiel]]+13),Tabelle12[[#This Row],[ID A2]])</f>
        <v>#N/A</v>
      </c>
      <c r="K543" s="1" t="e">
        <f>SUM(Tabelle12[[#This Row],[ELO vorher A1]:[ELO vorher A2]])</f>
        <v>#N/A</v>
      </c>
      <c r="L543" s="1" t="e">
        <f>Tabelle12[[#This Row],[ELO vorher A1]]/Tabelle12[[#This Row],[ELO A gesamt]]</f>
        <v>#N/A</v>
      </c>
      <c r="M543" s="1" t="e">
        <f>Tabelle12[[#This Row],[ELO vorher A2]]/Tabelle12[[#This Row],[ELO A gesamt]]</f>
        <v>#N/A</v>
      </c>
      <c r="N543" s="19"/>
      <c r="O543" s="1" t="e">
        <f>INDEX(Tabelle11[#All],(Tabelle12[[#This Row],[Spiel]]+13),Tabelle12[[#This Row],[ID B1]])</f>
        <v>#N/A</v>
      </c>
      <c r="P543" s="1" t="e">
        <f>INDEX(Tabelle11[#All],(Tabelle12[[#This Row],[Spiel]]+13),Tabelle12[[#This Row],[ID B2]])</f>
        <v>#N/A</v>
      </c>
      <c r="Q543" s="1" t="e">
        <f>SUM(Tabelle12[[#This Row],[ELO vorher B1]:[ELO vorher B2]])</f>
        <v>#N/A</v>
      </c>
      <c r="R543" s="1" t="e">
        <f>Tabelle12[[#This Row],[ELO vorher B1]]/Tabelle12[[#This Row],[ELO B gesamt]]</f>
        <v>#N/A</v>
      </c>
      <c r="S543" s="1" t="e">
        <f>Tabelle12[[#This Row],[ELO vorher B2]]/Tabelle12[[#This Row],[ELO B gesamt]]</f>
        <v>#N/A</v>
      </c>
      <c r="T543" s="19"/>
      <c r="U543" s="1" t="e">
        <f>1/(1+Ergebnisvorhersage!$C$5^((Q543-K543)/Ergebnisvorhersage!$C$6))</f>
        <v>#N/A</v>
      </c>
      <c r="V543" s="1" t="e">
        <f>1/(1+Ergebnisvorhersage!$C$5^((K543-Q543)/Ergebnisvorhersage!$C$6))</f>
        <v>#N/A</v>
      </c>
      <c r="W543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43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43" s="17"/>
      <c r="Z543" s="12" t="e">
        <f>Ergebnisbewertung!$C$5*(W543-U543)</f>
        <v>#N/A</v>
      </c>
      <c r="AA543" s="12" t="e">
        <f>Ergebnisbewertung!$C$5*(X543-V543)</f>
        <v>#N/A</v>
      </c>
      <c r="AB543" s="12" t="e">
        <f>IF(SIGN(Tabelle12[[#This Row],[Änderung A]])=-1,Tabelle12[[#This Row],[Änderung A]]*(Tabelle12[[#This Row],[Anteil A1]]),Tabelle12[[#This Row],[Änderung A]]*(1-Tabelle12[[#This Row],[Anteil A1]]))</f>
        <v>#N/A</v>
      </c>
      <c r="AC543" s="12" t="e">
        <f>IF(SIGN(Tabelle12[[#This Row],[Änderung A]])=-1,Tabelle12[[#This Row],[Änderung A]]*(Tabelle12[[#This Row],[Anteil A2]]),Tabelle12[[#This Row],[Änderung A]]*(1-Tabelle12[[#This Row],[Anteil A2]]))</f>
        <v>#N/A</v>
      </c>
      <c r="AD543" s="12" t="e">
        <f>IF(SIGN(Tabelle12[[#This Row],[Änderung B]])=-1,Tabelle12[[#This Row],[Änderung B]]*(Tabelle12[[#This Row],[Anteil B1]]),Tabelle12[[#This Row],[Änderung B]]*(1-Tabelle12[[#This Row],[Anteil B1]]))</f>
        <v>#N/A</v>
      </c>
      <c r="AE543" s="12" t="e">
        <f>IF(SIGN(Tabelle12[[#This Row],[Änderung B]])=-1,Tabelle12[[#This Row],[Änderung B]]*(Tabelle12[[#This Row],[Anteil B2]]),Tabelle12[[#This Row],[Änderung B]]*(1-Tabelle12[[#This Row],[Anteil B2]]))</f>
        <v>#N/A</v>
      </c>
      <c r="AF543" s="17"/>
      <c r="AG543">
        <f>IF(IFERROR(Tabelle12[[#This Row],[Änderung B2]],0)=0,0,Tabelle12[[#This Row],[Spiel]])</f>
        <v>0</v>
      </c>
      <c r="AH543" t="e">
        <f>MATCH(Tabelle12[[#This Row],[Team A]],SpielerDaten!$1:$1,0)</f>
        <v>#N/A</v>
      </c>
      <c r="AI543" t="e">
        <f>MATCH(Tabelle12[[#This Row],[Team A2]],SpielerDaten!$1:$1,0)</f>
        <v>#N/A</v>
      </c>
      <c r="AJ543" t="e">
        <f>MATCH(Tabelle12[[#This Row],[Team B]],SpielerDaten!$1:$1,0)</f>
        <v>#N/A</v>
      </c>
      <c r="AK543" t="e">
        <f>MATCH(Tabelle12[[#This Row],[Team B3]],SpielerDaten!$1:$1,0)</f>
        <v>#N/A</v>
      </c>
    </row>
    <row r="544" spans="1:37" x14ac:dyDescent="0.25">
      <c r="A544">
        <v>542</v>
      </c>
      <c r="B544">
        <f>Tabelle6[[#This Row],[player_A1]]</f>
        <v>0</v>
      </c>
      <c r="C544">
        <f>Tabelle6[[#This Row],[player_A2]]</f>
        <v>0</v>
      </c>
      <c r="D544">
        <f>Tabelle6[[#This Row],[player_B1]]</f>
        <v>0</v>
      </c>
      <c r="E544">
        <f>Tabelle6[[#This Row],[player_B2]]</f>
        <v>0</v>
      </c>
      <c r="F544">
        <f>Tabelle6[[#This Row],[Tore A]]</f>
        <v>0</v>
      </c>
      <c r="G544">
        <f>Tabelle6[[#This Row],[Tore B]]</f>
        <v>0</v>
      </c>
      <c r="H544" s="17"/>
      <c r="I544" s="1" t="e">
        <f>INDEX(Tabelle11[#All],(Tabelle12[[#This Row],[Spiel]]+13),Tabelle12[[#This Row],[ID A1]])</f>
        <v>#N/A</v>
      </c>
      <c r="J544" s="1" t="e">
        <f>INDEX(Tabelle11[#All],(Tabelle12[[#This Row],[Spiel]]+13),Tabelle12[[#This Row],[ID A2]])</f>
        <v>#N/A</v>
      </c>
      <c r="K544" s="1" t="e">
        <f>SUM(Tabelle12[[#This Row],[ELO vorher A1]:[ELO vorher A2]])</f>
        <v>#N/A</v>
      </c>
      <c r="L544" s="1" t="e">
        <f>Tabelle12[[#This Row],[ELO vorher A1]]/Tabelle12[[#This Row],[ELO A gesamt]]</f>
        <v>#N/A</v>
      </c>
      <c r="M544" s="1" t="e">
        <f>Tabelle12[[#This Row],[ELO vorher A2]]/Tabelle12[[#This Row],[ELO A gesamt]]</f>
        <v>#N/A</v>
      </c>
      <c r="N544" s="19"/>
      <c r="O544" s="1" t="e">
        <f>INDEX(Tabelle11[#All],(Tabelle12[[#This Row],[Spiel]]+13),Tabelle12[[#This Row],[ID B1]])</f>
        <v>#N/A</v>
      </c>
      <c r="P544" s="1" t="e">
        <f>INDEX(Tabelle11[#All],(Tabelle12[[#This Row],[Spiel]]+13),Tabelle12[[#This Row],[ID B2]])</f>
        <v>#N/A</v>
      </c>
      <c r="Q544" s="1" t="e">
        <f>SUM(Tabelle12[[#This Row],[ELO vorher B1]:[ELO vorher B2]])</f>
        <v>#N/A</v>
      </c>
      <c r="R544" s="1" t="e">
        <f>Tabelle12[[#This Row],[ELO vorher B1]]/Tabelle12[[#This Row],[ELO B gesamt]]</f>
        <v>#N/A</v>
      </c>
      <c r="S544" s="1" t="e">
        <f>Tabelle12[[#This Row],[ELO vorher B2]]/Tabelle12[[#This Row],[ELO B gesamt]]</f>
        <v>#N/A</v>
      </c>
      <c r="T544" s="19"/>
      <c r="U544" s="1" t="e">
        <f>1/(1+Ergebnisvorhersage!$C$5^((Q544-K544)/Ergebnisvorhersage!$C$6))</f>
        <v>#N/A</v>
      </c>
      <c r="V544" s="1" t="e">
        <f>1/(1+Ergebnisvorhersage!$C$5^((K544-Q544)/Ergebnisvorhersage!$C$6))</f>
        <v>#N/A</v>
      </c>
      <c r="W544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44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44" s="17"/>
      <c r="Z544" s="12" t="e">
        <f>Ergebnisbewertung!$C$5*(W544-U544)</f>
        <v>#N/A</v>
      </c>
      <c r="AA544" s="12" t="e">
        <f>Ergebnisbewertung!$C$5*(X544-V544)</f>
        <v>#N/A</v>
      </c>
      <c r="AB544" s="12" t="e">
        <f>IF(SIGN(Tabelle12[[#This Row],[Änderung A]])=-1,Tabelle12[[#This Row],[Änderung A]]*(Tabelle12[[#This Row],[Anteil A1]]),Tabelle12[[#This Row],[Änderung A]]*(1-Tabelle12[[#This Row],[Anteil A1]]))</f>
        <v>#N/A</v>
      </c>
      <c r="AC544" s="12" t="e">
        <f>IF(SIGN(Tabelle12[[#This Row],[Änderung A]])=-1,Tabelle12[[#This Row],[Änderung A]]*(Tabelle12[[#This Row],[Anteil A2]]),Tabelle12[[#This Row],[Änderung A]]*(1-Tabelle12[[#This Row],[Anteil A2]]))</f>
        <v>#N/A</v>
      </c>
      <c r="AD544" s="12" t="e">
        <f>IF(SIGN(Tabelle12[[#This Row],[Änderung B]])=-1,Tabelle12[[#This Row],[Änderung B]]*(Tabelle12[[#This Row],[Anteil B1]]),Tabelle12[[#This Row],[Änderung B]]*(1-Tabelle12[[#This Row],[Anteil B1]]))</f>
        <v>#N/A</v>
      </c>
      <c r="AE544" s="12" t="e">
        <f>IF(SIGN(Tabelle12[[#This Row],[Änderung B]])=-1,Tabelle12[[#This Row],[Änderung B]]*(Tabelle12[[#This Row],[Anteil B2]]),Tabelle12[[#This Row],[Änderung B]]*(1-Tabelle12[[#This Row],[Anteil B2]]))</f>
        <v>#N/A</v>
      </c>
      <c r="AF544" s="17"/>
      <c r="AG544">
        <f>IF(IFERROR(Tabelle12[[#This Row],[Änderung B2]],0)=0,0,Tabelle12[[#This Row],[Spiel]])</f>
        <v>0</v>
      </c>
      <c r="AH544" t="e">
        <f>MATCH(Tabelle12[[#This Row],[Team A]],SpielerDaten!$1:$1,0)</f>
        <v>#N/A</v>
      </c>
      <c r="AI544" t="e">
        <f>MATCH(Tabelle12[[#This Row],[Team A2]],SpielerDaten!$1:$1,0)</f>
        <v>#N/A</v>
      </c>
      <c r="AJ544" t="e">
        <f>MATCH(Tabelle12[[#This Row],[Team B]],SpielerDaten!$1:$1,0)</f>
        <v>#N/A</v>
      </c>
      <c r="AK544" t="e">
        <f>MATCH(Tabelle12[[#This Row],[Team B3]],SpielerDaten!$1:$1,0)</f>
        <v>#N/A</v>
      </c>
    </row>
    <row r="545" spans="1:37" x14ac:dyDescent="0.25">
      <c r="A545">
        <v>543</v>
      </c>
      <c r="B545">
        <f>Tabelle6[[#This Row],[player_A1]]</f>
        <v>0</v>
      </c>
      <c r="C545">
        <f>Tabelle6[[#This Row],[player_A2]]</f>
        <v>0</v>
      </c>
      <c r="D545">
        <f>Tabelle6[[#This Row],[player_B1]]</f>
        <v>0</v>
      </c>
      <c r="E545">
        <f>Tabelle6[[#This Row],[player_B2]]</f>
        <v>0</v>
      </c>
      <c r="F545">
        <f>Tabelle6[[#This Row],[Tore A]]</f>
        <v>0</v>
      </c>
      <c r="G545">
        <f>Tabelle6[[#This Row],[Tore B]]</f>
        <v>0</v>
      </c>
      <c r="H545" s="17"/>
      <c r="I545" s="1" t="e">
        <f>INDEX(Tabelle11[#All],(Tabelle12[[#This Row],[Spiel]]+13),Tabelle12[[#This Row],[ID A1]])</f>
        <v>#N/A</v>
      </c>
      <c r="J545" s="1" t="e">
        <f>INDEX(Tabelle11[#All],(Tabelle12[[#This Row],[Spiel]]+13),Tabelle12[[#This Row],[ID A2]])</f>
        <v>#N/A</v>
      </c>
      <c r="K545" s="1" t="e">
        <f>SUM(Tabelle12[[#This Row],[ELO vorher A1]:[ELO vorher A2]])</f>
        <v>#N/A</v>
      </c>
      <c r="L545" s="1" t="e">
        <f>Tabelle12[[#This Row],[ELO vorher A1]]/Tabelle12[[#This Row],[ELO A gesamt]]</f>
        <v>#N/A</v>
      </c>
      <c r="M545" s="1" t="e">
        <f>Tabelle12[[#This Row],[ELO vorher A2]]/Tabelle12[[#This Row],[ELO A gesamt]]</f>
        <v>#N/A</v>
      </c>
      <c r="N545" s="19"/>
      <c r="O545" s="1" t="e">
        <f>INDEX(Tabelle11[#All],(Tabelle12[[#This Row],[Spiel]]+13),Tabelle12[[#This Row],[ID B1]])</f>
        <v>#N/A</v>
      </c>
      <c r="P545" s="1" t="e">
        <f>INDEX(Tabelle11[#All],(Tabelle12[[#This Row],[Spiel]]+13),Tabelle12[[#This Row],[ID B2]])</f>
        <v>#N/A</v>
      </c>
      <c r="Q545" s="1" t="e">
        <f>SUM(Tabelle12[[#This Row],[ELO vorher B1]:[ELO vorher B2]])</f>
        <v>#N/A</v>
      </c>
      <c r="R545" s="1" t="e">
        <f>Tabelle12[[#This Row],[ELO vorher B1]]/Tabelle12[[#This Row],[ELO B gesamt]]</f>
        <v>#N/A</v>
      </c>
      <c r="S545" s="1" t="e">
        <f>Tabelle12[[#This Row],[ELO vorher B2]]/Tabelle12[[#This Row],[ELO B gesamt]]</f>
        <v>#N/A</v>
      </c>
      <c r="T545" s="19"/>
      <c r="U545" s="1" t="e">
        <f>1/(1+Ergebnisvorhersage!$C$5^((Q545-K545)/Ergebnisvorhersage!$C$6))</f>
        <v>#N/A</v>
      </c>
      <c r="V545" s="1" t="e">
        <f>1/(1+Ergebnisvorhersage!$C$5^((K545-Q545)/Ergebnisvorhersage!$C$6))</f>
        <v>#N/A</v>
      </c>
      <c r="W545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45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45" s="17"/>
      <c r="Z545" s="12" t="e">
        <f>Ergebnisbewertung!$C$5*(W545-U545)</f>
        <v>#N/A</v>
      </c>
      <c r="AA545" s="12" t="e">
        <f>Ergebnisbewertung!$C$5*(X545-V545)</f>
        <v>#N/A</v>
      </c>
      <c r="AB545" s="12" t="e">
        <f>IF(SIGN(Tabelle12[[#This Row],[Änderung A]])=-1,Tabelle12[[#This Row],[Änderung A]]*(Tabelle12[[#This Row],[Anteil A1]]),Tabelle12[[#This Row],[Änderung A]]*(1-Tabelle12[[#This Row],[Anteil A1]]))</f>
        <v>#N/A</v>
      </c>
      <c r="AC545" s="12" t="e">
        <f>IF(SIGN(Tabelle12[[#This Row],[Änderung A]])=-1,Tabelle12[[#This Row],[Änderung A]]*(Tabelle12[[#This Row],[Anteil A2]]),Tabelle12[[#This Row],[Änderung A]]*(1-Tabelle12[[#This Row],[Anteil A2]]))</f>
        <v>#N/A</v>
      </c>
      <c r="AD545" s="12" t="e">
        <f>IF(SIGN(Tabelle12[[#This Row],[Änderung B]])=-1,Tabelle12[[#This Row],[Änderung B]]*(Tabelle12[[#This Row],[Anteil B1]]),Tabelle12[[#This Row],[Änderung B]]*(1-Tabelle12[[#This Row],[Anteil B1]]))</f>
        <v>#N/A</v>
      </c>
      <c r="AE545" s="12" t="e">
        <f>IF(SIGN(Tabelle12[[#This Row],[Änderung B]])=-1,Tabelle12[[#This Row],[Änderung B]]*(Tabelle12[[#This Row],[Anteil B2]]),Tabelle12[[#This Row],[Änderung B]]*(1-Tabelle12[[#This Row],[Anteil B2]]))</f>
        <v>#N/A</v>
      </c>
      <c r="AF545" s="17"/>
      <c r="AG545">
        <f>IF(IFERROR(Tabelle12[[#This Row],[Änderung B2]],0)=0,0,Tabelle12[[#This Row],[Spiel]])</f>
        <v>0</v>
      </c>
      <c r="AH545" t="e">
        <f>MATCH(Tabelle12[[#This Row],[Team A]],SpielerDaten!$1:$1,0)</f>
        <v>#N/A</v>
      </c>
      <c r="AI545" t="e">
        <f>MATCH(Tabelle12[[#This Row],[Team A2]],SpielerDaten!$1:$1,0)</f>
        <v>#N/A</v>
      </c>
      <c r="AJ545" t="e">
        <f>MATCH(Tabelle12[[#This Row],[Team B]],SpielerDaten!$1:$1,0)</f>
        <v>#N/A</v>
      </c>
      <c r="AK545" t="e">
        <f>MATCH(Tabelle12[[#This Row],[Team B3]],SpielerDaten!$1:$1,0)</f>
        <v>#N/A</v>
      </c>
    </row>
    <row r="546" spans="1:37" x14ac:dyDescent="0.25">
      <c r="A546">
        <v>544</v>
      </c>
      <c r="B546">
        <f>Tabelle6[[#This Row],[player_A1]]</f>
        <v>0</v>
      </c>
      <c r="C546">
        <f>Tabelle6[[#This Row],[player_A2]]</f>
        <v>0</v>
      </c>
      <c r="D546">
        <f>Tabelle6[[#This Row],[player_B1]]</f>
        <v>0</v>
      </c>
      <c r="E546">
        <f>Tabelle6[[#This Row],[player_B2]]</f>
        <v>0</v>
      </c>
      <c r="F546">
        <f>Tabelle6[[#This Row],[Tore A]]</f>
        <v>0</v>
      </c>
      <c r="G546">
        <f>Tabelle6[[#This Row],[Tore B]]</f>
        <v>0</v>
      </c>
      <c r="H546" s="17"/>
      <c r="I546" s="1" t="e">
        <f>INDEX(Tabelle11[#All],(Tabelle12[[#This Row],[Spiel]]+13),Tabelle12[[#This Row],[ID A1]])</f>
        <v>#N/A</v>
      </c>
      <c r="J546" s="1" t="e">
        <f>INDEX(Tabelle11[#All],(Tabelle12[[#This Row],[Spiel]]+13),Tabelle12[[#This Row],[ID A2]])</f>
        <v>#N/A</v>
      </c>
      <c r="K546" s="1" t="e">
        <f>SUM(Tabelle12[[#This Row],[ELO vorher A1]:[ELO vorher A2]])</f>
        <v>#N/A</v>
      </c>
      <c r="L546" s="1" t="e">
        <f>Tabelle12[[#This Row],[ELO vorher A1]]/Tabelle12[[#This Row],[ELO A gesamt]]</f>
        <v>#N/A</v>
      </c>
      <c r="M546" s="1" t="e">
        <f>Tabelle12[[#This Row],[ELO vorher A2]]/Tabelle12[[#This Row],[ELO A gesamt]]</f>
        <v>#N/A</v>
      </c>
      <c r="N546" s="19"/>
      <c r="O546" s="1" t="e">
        <f>INDEX(Tabelle11[#All],(Tabelle12[[#This Row],[Spiel]]+13),Tabelle12[[#This Row],[ID B1]])</f>
        <v>#N/A</v>
      </c>
      <c r="P546" s="1" t="e">
        <f>INDEX(Tabelle11[#All],(Tabelle12[[#This Row],[Spiel]]+13),Tabelle12[[#This Row],[ID B2]])</f>
        <v>#N/A</v>
      </c>
      <c r="Q546" s="1" t="e">
        <f>SUM(Tabelle12[[#This Row],[ELO vorher B1]:[ELO vorher B2]])</f>
        <v>#N/A</v>
      </c>
      <c r="R546" s="1" t="e">
        <f>Tabelle12[[#This Row],[ELO vorher B1]]/Tabelle12[[#This Row],[ELO B gesamt]]</f>
        <v>#N/A</v>
      </c>
      <c r="S546" s="1" t="e">
        <f>Tabelle12[[#This Row],[ELO vorher B2]]/Tabelle12[[#This Row],[ELO B gesamt]]</f>
        <v>#N/A</v>
      </c>
      <c r="T546" s="19"/>
      <c r="U546" s="1" t="e">
        <f>1/(1+Ergebnisvorhersage!$C$5^((Q546-K546)/Ergebnisvorhersage!$C$6))</f>
        <v>#N/A</v>
      </c>
      <c r="V546" s="1" t="e">
        <f>1/(1+Ergebnisvorhersage!$C$5^((K546-Q546)/Ergebnisvorhersage!$C$6))</f>
        <v>#N/A</v>
      </c>
      <c r="W546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46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46" s="17"/>
      <c r="Z546" s="12" t="e">
        <f>Ergebnisbewertung!$C$5*(W546-U546)</f>
        <v>#N/A</v>
      </c>
      <c r="AA546" s="12" t="e">
        <f>Ergebnisbewertung!$C$5*(X546-V546)</f>
        <v>#N/A</v>
      </c>
      <c r="AB546" s="12" t="e">
        <f>IF(SIGN(Tabelle12[[#This Row],[Änderung A]])=-1,Tabelle12[[#This Row],[Änderung A]]*(Tabelle12[[#This Row],[Anteil A1]]),Tabelle12[[#This Row],[Änderung A]]*(1-Tabelle12[[#This Row],[Anteil A1]]))</f>
        <v>#N/A</v>
      </c>
      <c r="AC546" s="12" t="e">
        <f>IF(SIGN(Tabelle12[[#This Row],[Änderung A]])=-1,Tabelle12[[#This Row],[Änderung A]]*(Tabelle12[[#This Row],[Anteil A2]]),Tabelle12[[#This Row],[Änderung A]]*(1-Tabelle12[[#This Row],[Anteil A2]]))</f>
        <v>#N/A</v>
      </c>
      <c r="AD546" s="12" t="e">
        <f>IF(SIGN(Tabelle12[[#This Row],[Änderung B]])=-1,Tabelle12[[#This Row],[Änderung B]]*(Tabelle12[[#This Row],[Anteil B1]]),Tabelle12[[#This Row],[Änderung B]]*(1-Tabelle12[[#This Row],[Anteil B1]]))</f>
        <v>#N/A</v>
      </c>
      <c r="AE546" s="12" t="e">
        <f>IF(SIGN(Tabelle12[[#This Row],[Änderung B]])=-1,Tabelle12[[#This Row],[Änderung B]]*(Tabelle12[[#This Row],[Anteil B2]]),Tabelle12[[#This Row],[Änderung B]]*(1-Tabelle12[[#This Row],[Anteil B2]]))</f>
        <v>#N/A</v>
      </c>
      <c r="AF546" s="17"/>
      <c r="AG546">
        <f>IF(IFERROR(Tabelle12[[#This Row],[Änderung B2]],0)=0,0,Tabelle12[[#This Row],[Spiel]])</f>
        <v>0</v>
      </c>
      <c r="AH546" t="e">
        <f>MATCH(Tabelle12[[#This Row],[Team A]],SpielerDaten!$1:$1,0)</f>
        <v>#N/A</v>
      </c>
      <c r="AI546" t="e">
        <f>MATCH(Tabelle12[[#This Row],[Team A2]],SpielerDaten!$1:$1,0)</f>
        <v>#N/A</v>
      </c>
      <c r="AJ546" t="e">
        <f>MATCH(Tabelle12[[#This Row],[Team B]],SpielerDaten!$1:$1,0)</f>
        <v>#N/A</v>
      </c>
      <c r="AK546" t="e">
        <f>MATCH(Tabelle12[[#This Row],[Team B3]],SpielerDaten!$1:$1,0)</f>
        <v>#N/A</v>
      </c>
    </row>
    <row r="547" spans="1:37" x14ac:dyDescent="0.25">
      <c r="A547">
        <v>545</v>
      </c>
      <c r="B547">
        <f>Tabelle6[[#This Row],[player_A1]]</f>
        <v>0</v>
      </c>
      <c r="C547">
        <f>Tabelle6[[#This Row],[player_A2]]</f>
        <v>0</v>
      </c>
      <c r="D547">
        <f>Tabelle6[[#This Row],[player_B1]]</f>
        <v>0</v>
      </c>
      <c r="E547">
        <f>Tabelle6[[#This Row],[player_B2]]</f>
        <v>0</v>
      </c>
      <c r="F547">
        <f>Tabelle6[[#This Row],[Tore A]]</f>
        <v>0</v>
      </c>
      <c r="G547">
        <f>Tabelle6[[#This Row],[Tore B]]</f>
        <v>0</v>
      </c>
      <c r="H547" s="17"/>
      <c r="I547" s="1" t="e">
        <f>INDEX(Tabelle11[#All],(Tabelle12[[#This Row],[Spiel]]+13),Tabelle12[[#This Row],[ID A1]])</f>
        <v>#N/A</v>
      </c>
      <c r="J547" s="1" t="e">
        <f>INDEX(Tabelle11[#All],(Tabelle12[[#This Row],[Spiel]]+13),Tabelle12[[#This Row],[ID A2]])</f>
        <v>#N/A</v>
      </c>
      <c r="K547" s="1" t="e">
        <f>SUM(Tabelle12[[#This Row],[ELO vorher A1]:[ELO vorher A2]])</f>
        <v>#N/A</v>
      </c>
      <c r="L547" s="1" t="e">
        <f>Tabelle12[[#This Row],[ELO vorher A1]]/Tabelle12[[#This Row],[ELO A gesamt]]</f>
        <v>#N/A</v>
      </c>
      <c r="M547" s="1" t="e">
        <f>Tabelle12[[#This Row],[ELO vorher A2]]/Tabelle12[[#This Row],[ELO A gesamt]]</f>
        <v>#N/A</v>
      </c>
      <c r="N547" s="19"/>
      <c r="O547" s="1" t="e">
        <f>INDEX(Tabelle11[#All],(Tabelle12[[#This Row],[Spiel]]+13),Tabelle12[[#This Row],[ID B1]])</f>
        <v>#N/A</v>
      </c>
      <c r="P547" s="1" t="e">
        <f>INDEX(Tabelle11[#All],(Tabelle12[[#This Row],[Spiel]]+13),Tabelle12[[#This Row],[ID B2]])</f>
        <v>#N/A</v>
      </c>
      <c r="Q547" s="1" t="e">
        <f>SUM(Tabelle12[[#This Row],[ELO vorher B1]:[ELO vorher B2]])</f>
        <v>#N/A</v>
      </c>
      <c r="R547" s="1" t="e">
        <f>Tabelle12[[#This Row],[ELO vorher B1]]/Tabelle12[[#This Row],[ELO B gesamt]]</f>
        <v>#N/A</v>
      </c>
      <c r="S547" s="1" t="e">
        <f>Tabelle12[[#This Row],[ELO vorher B2]]/Tabelle12[[#This Row],[ELO B gesamt]]</f>
        <v>#N/A</v>
      </c>
      <c r="T547" s="19"/>
      <c r="U547" s="1" t="e">
        <f>1/(1+Ergebnisvorhersage!$C$5^((Q547-K547)/Ergebnisvorhersage!$C$6))</f>
        <v>#N/A</v>
      </c>
      <c r="V547" s="1" t="e">
        <f>1/(1+Ergebnisvorhersage!$C$5^((K547-Q547)/Ergebnisvorhersage!$C$6))</f>
        <v>#N/A</v>
      </c>
      <c r="W547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47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47" s="17"/>
      <c r="Z547" s="12" t="e">
        <f>Ergebnisbewertung!$C$5*(W547-U547)</f>
        <v>#N/A</v>
      </c>
      <c r="AA547" s="12" t="e">
        <f>Ergebnisbewertung!$C$5*(X547-V547)</f>
        <v>#N/A</v>
      </c>
      <c r="AB547" s="12" t="e">
        <f>IF(SIGN(Tabelle12[[#This Row],[Änderung A]])=-1,Tabelle12[[#This Row],[Änderung A]]*(Tabelle12[[#This Row],[Anteil A1]]),Tabelle12[[#This Row],[Änderung A]]*(1-Tabelle12[[#This Row],[Anteil A1]]))</f>
        <v>#N/A</v>
      </c>
      <c r="AC547" s="12" t="e">
        <f>IF(SIGN(Tabelle12[[#This Row],[Änderung A]])=-1,Tabelle12[[#This Row],[Änderung A]]*(Tabelle12[[#This Row],[Anteil A2]]),Tabelle12[[#This Row],[Änderung A]]*(1-Tabelle12[[#This Row],[Anteil A2]]))</f>
        <v>#N/A</v>
      </c>
      <c r="AD547" s="12" t="e">
        <f>IF(SIGN(Tabelle12[[#This Row],[Änderung B]])=-1,Tabelle12[[#This Row],[Änderung B]]*(Tabelle12[[#This Row],[Anteil B1]]),Tabelle12[[#This Row],[Änderung B]]*(1-Tabelle12[[#This Row],[Anteil B1]]))</f>
        <v>#N/A</v>
      </c>
      <c r="AE547" s="12" t="e">
        <f>IF(SIGN(Tabelle12[[#This Row],[Änderung B]])=-1,Tabelle12[[#This Row],[Änderung B]]*(Tabelle12[[#This Row],[Anteil B2]]),Tabelle12[[#This Row],[Änderung B]]*(1-Tabelle12[[#This Row],[Anteil B2]]))</f>
        <v>#N/A</v>
      </c>
      <c r="AF547" s="17"/>
      <c r="AG547">
        <f>IF(IFERROR(Tabelle12[[#This Row],[Änderung B2]],0)=0,0,Tabelle12[[#This Row],[Spiel]])</f>
        <v>0</v>
      </c>
      <c r="AH547" t="e">
        <f>MATCH(Tabelle12[[#This Row],[Team A]],SpielerDaten!$1:$1,0)</f>
        <v>#N/A</v>
      </c>
      <c r="AI547" t="e">
        <f>MATCH(Tabelle12[[#This Row],[Team A2]],SpielerDaten!$1:$1,0)</f>
        <v>#N/A</v>
      </c>
      <c r="AJ547" t="e">
        <f>MATCH(Tabelle12[[#This Row],[Team B]],SpielerDaten!$1:$1,0)</f>
        <v>#N/A</v>
      </c>
      <c r="AK547" t="e">
        <f>MATCH(Tabelle12[[#This Row],[Team B3]],SpielerDaten!$1:$1,0)</f>
        <v>#N/A</v>
      </c>
    </row>
    <row r="548" spans="1:37" x14ac:dyDescent="0.25">
      <c r="A548">
        <v>546</v>
      </c>
      <c r="B548">
        <f>Tabelle6[[#This Row],[player_A1]]</f>
        <v>0</v>
      </c>
      <c r="C548">
        <f>Tabelle6[[#This Row],[player_A2]]</f>
        <v>0</v>
      </c>
      <c r="D548">
        <f>Tabelle6[[#This Row],[player_B1]]</f>
        <v>0</v>
      </c>
      <c r="E548">
        <f>Tabelle6[[#This Row],[player_B2]]</f>
        <v>0</v>
      </c>
      <c r="F548">
        <f>Tabelle6[[#This Row],[Tore A]]</f>
        <v>0</v>
      </c>
      <c r="G548">
        <f>Tabelle6[[#This Row],[Tore B]]</f>
        <v>0</v>
      </c>
      <c r="H548" s="17"/>
      <c r="I548" s="1" t="e">
        <f>INDEX(Tabelle11[#All],(Tabelle12[[#This Row],[Spiel]]+13),Tabelle12[[#This Row],[ID A1]])</f>
        <v>#N/A</v>
      </c>
      <c r="J548" s="1" t="e">
        <f>INDEX(Tabelle11[#All],(Tabelle12[[#This Row],[Spiel]]+13),Tabelle12[[#This Row],[ID A2]])</f>
        <v>#N/A</v>
      </c>
      <c r="K548" s="1" t="e">
        <f>SUM(Tabelle12[[#This Row],[ELO vorher A1]:[ELO vorher A2]])</f>
        <v>#N/A</v>
      </c>
      <c r="L548" s="1" t="e">
        <f>Tabelle12[[#This Row],[ELO vorher A1]]/Tabelle12[[#This Row],[ELO A gesamt]]</f>
        <v>#N/A</v>
      </c>
      <c r="M548" s="1" t="e">
        <f>Tabelle12[[#This Row],[ELO vorher A2]]/Tabelle12[[#This Row],[ELO A gesamt]]</f>
        <v>#N/A</v>
      </c>
      <c r="N548" s="19"/>
      <c r="O548" s="1" t="e">
        <f>INDEX(Tabelle11[#All],(Tabelle12[[#This Row],[Spiel]]+13),Tabelle12[[#This Row],[ID B1]])</f>
        <v>#N/A</v>
      </c>
      <c r="P548" s="1" t="e">
        <f>INDEX(Tabelle11[#All],(Tabelle12[[#This Row],[Spiel]]+13),Tabelle12[[#This Row],[ID B2]])</f>
        <v>#N/A</v>
      </c>
      <c r="Q548" s="1" t="e">
        <f>SUM(Tabelle12[[#This Row],[ELO vorher B1]:[ELO vorher B2]])</f>
        <v>#N/A</v>
      </c>
      <c r="R548" s="1" t="e">
        <f>Tabelle12[[#This Row],[ELO vorher B1]]/Tabelle12[[#This Row],[ELO B gesamt]]</f>
        <v>#N/A</v>
      </c>
      <c r="S548" s="1" t="e">
        <f>Tabelle12[[#This Row],[ELO vorher B2]]/Tabelle12[[#This Row],[ELO B gesamt]]</f>
        <v>#N/A</v>
      </c>
      <c r="T548" s="19"/>
      <c r="U548" s="1" t="e">
        <f>1/(1+Ergebnisvorhersage!$C$5^((Q548-K548)/Ergebnisvorhersage!$C$6))</f>
        <v>#N/A</v>
      </c>
      <c r="V548" s="1" t="e">
        <f>1/(1+Ergebnisvorhersage!$C$5^((K548-Q548)/Ergebnisvorhersage!$C$6))</f>
        <v>#N/A</v>
      </c>
      <c r="W548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48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48" s="17"/>
      <c r="Z548" s="12" t="e">
        <f>Ergebnisbewertung!$C$5*(W548-U548)</f>
        <v>#N/A</v>
      </c>
      <c r="AA548" s="12" t="e">
        <f>Ergebnisbewertung!$C$5*(X548-V548)</f>
        <v>#N/A</v>
      </c>
      <c r="AB548" s="12" t="e">
        <f>IF(SIGN(Tabelle12[[#This Row],[Änderung A]])=-1,Tabelle12[[#This Row],[Änderung A]]*(Tabelle12[[#This Row],[Anteil A1]]),Tabelle12[[#This Row],[Änderung A]]*(1-Tabelle12[[#This Row],[Anteil A1]]))</f>
        <v>#N/A</v>
      </c>
      <c r="AC548" s="12" t="e">
        <f>IF(SIGN(Tabelle12[[#This Row],[Änderung A]])=-1,Tabelle12[[#This Row],[Änderung A]]*(Tabelle12[[#This Row],[Anteil A2]]),Tabelle12[[#This Row],[Änderung A]]*(1-Tabelle12[[#This Row],[Anteil A2]]))</f>
        <v>#N/A</v>
      </c>
      <c r="AD548" s="12" t="e">
        <f>IF(SIGN(Tabelle12[[#This Row],[Änderung B]])=-1,Tabelle12[[#This Row],[Änderung B]]*(Tabelle12[[#This Row],[Anteil B1]]),Tabelle12[[#This Row],[Änderung B]]*(1-Tabelle12[[#This Row],[Anteil B1]]))</f>
        <v>#N/A</v>
      </c>
      <c r="AE548" s="12" t="e">
        <f>IF(SIGN(Tabelle12[[#This Row],[Änderung B]])=-1,Tabelle12[[#This Row],[Änderung B]]*(Tabelle12[[#This Row],[Anteil B2]]),Tabelle12[[#This Row],[Änderung B]]*(1-Tabelle12[[#This Row],[Anteil B2]]))</f>
        <v>#N/A</v>
      </c>
      <c r="AF548" s="17"/>
      <c r="AG548">
        <f>IF(IFERROR(Tabelle12[[#This Row],[Änderung B2]],0)=0,0,Tabelle12[[#This Row],[Spiel]])</f>
        <v>0</v>
      </c>
      <c r="AH548" t="e">
        <f>MATCH(Tabelle12[[#This Row],[Team A]],SpielerDaten!$1:$1,0)</f>
        <v>#N/A</v>
      </c>
      <c r="AI548" t="e">
        <f>MATCH(Tabelle12[[#This Row],[Team A2]],SpielerDaten!$1:$1,0)</f>
        <v>#N/A</v>
      </c>
      <c r="AJ548" t="e">
        <f>MATCH(Tabelle12[[#This Row],[Team B]],SpielerDaten!$1:$1,0)</f>
        <v>#N/A</v>
      </c>
      <c r="AK548" t="e">
        <f>MATCH(Tabelle12[[#This Row],[Team B3]],SpielerDaten!$1:$1,0)</f>
        <v>#N/A</v>
      </c>
    </row>
    <row r="549" spans="1:37" x14ac:dyDescent="0.25">
      <c r="A549">
        <v>547</v>
      </c>
      <c r="B549">
        <f>Tabelle6[[#This Row],[player_A1]]</f>
        <v>0</v>
      </c>
      <c r="C549">
        <f>Tabelle6[[#This Row],[player_A2]]</f>
        <v>0</v>
      </c>
      <c r="D549">
        <f>Tabelle6[[#This Row],[player_B1]]</f>
        <v>0</v>
      </c>
      <c r="E549">
        <f>Tabelle6[[#This Row],[player_B2]]</f>
        <v>0</v>
      </c>
      <c r="F549">
        <f>Tabelle6[[#This Row],[Tore A]]</f>
        <v>0</v>
      </c>
      <c r="G549">
        <f>Tabelle6[[#This Row],[Tore B]]</f>
        <v>0</v>
      </c>
      <c r="H549" s="17"/>
      <c r="I549" s="1" t="e">
        <f>INDEX(Tabelle11[#All],(Tabelle12[[#This Row],[Spiel]]+13),Tabelle12[[#This Row],[ID A1]])</f>
        <v>#N/A</v>
      </c>
      <c r="J549" s="1" t="e">
        <f>INDEX(Tabelle11[#All],(Tabelle12[[#This Row],[Spiel]]+13),Tabelle12[[#This Row],[ID A2]])</f>
        <v>#N/A</v>
      </c>
      <c r="K549" s="1" t="e">
        <f>SUM(Tabelle12[[#This Row],[ELO vorher A1]:[ELO vorher A2]])</f>
        <v>#N/A</v>
      </c>
      <c r="L549" s="1" t="e">
        <f>Tabelle12[[#This Row],[ELO vorher A1]]/Tabelle12[[#This Row],[ELO A gesamt]]</f>
        <v>#N/A</v>
      </c>
      <c r="M549" s="1" t="e">
        <f>Tabelle12[[#This Row],[ELO vorher A2]]/Tabelle12[[#This Row],[ELO A gesamt]]</f>
        <v>#N/A</v>
      </c>
      <c r="N549" s="19"/>
      <c r="O549" s="1" t="e">
        <f>INDEX(Tabelle11[#All],(Tabelle12[[#This Row],[Spiel]]+13),Tabelle12[[#This Row],[ID B1]])</f>
        <v>#N/A</v>
      </c>
      <c r="P549" s="1" t="e">
        <f>INDEX(Tabelle11[#All],(Tabelle12[[#This Row],[Spiel]]+13),Tabelle12[[#This Row],[ID B2]])</f>
        <v>#N/A</v>
      </c>
      <c r="Q549" s="1" t="e">
        <f>SUM(Tabelle12[[#This Row],[ELO vorher B1]:[ELO vorher B2]])</f>
        <v>#N/A</v>
      </c>
      <c r="R549" s="1" t="e">
        <f>Tabelle12[[#This Row],[ELO vorher B1]]/Tabelle12[[#This Row],[ELO B gesamt]]</f>
        <v>#N/A</v>
      </c>
      <c r="S549" s="1" t="e">
        <f>Tabelle12[[#This Row],[ELO vorher B2]]/Tabelle12[[#This Row],[ELO B gesamt]]</f>
        <v>#N/A</v>
      </c>
      <c r="T549" s="19"/>
      <c r="U549" s="1" t="e">
        <f>1/(1+Ergebnisvorhersage!$C$5^((Q549-K549)/Ergebnisvorhersage!$C$6))</f>
        <v>#N/A</v>
      </c>
      <c r="V549" s="1" t="e">
        <f>1/(1+Ergebnisvorhersage!$C$5^((K549-Q549)/Ergebnisvorhersage!$C$6))</f>
        <v>#N/A</v>
      </c>
      <c r="W549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49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49" s="17"/>
      <c r="Z549" s="12" t="e">
        <f>Ergebnisbewertung!$C$5*(W549-U549)</f>
        <v>#N/A</v>
      </c>
      <c r="AA549" s="12" t="e">
        <f>Ergebnisbewertung!$C$5*(X549-V549)</f>
        <v>#N/A</v>
      </c>
      <c r="AB549" s="12" t="e">
        <f>IF(SIGN(Tabelle12[[#This Row],[Änderung A]])=-1,Tabelle12[[#This Row],[Änderung A]]*(Tabelle12[[#This Row],[Anteil A1]]),Tabelle12[[#This Row],[Änderung A]]*(1-Tabelle12[[#This Row],[Anteil A1]]))</f>
        <v>#N/A</v>
      </c>
      <c r="AC549" s="12" t="e">
        <f>IF(SIGN(Tabelle12[[#This Row],[Änderung A]])=-1,Tabelle12[[#This Row],[Änderung A]]*(Tabelle12[[#This Row],[Anteil A2]]),Tabelle12[[#This Row],[Änderung A]]*(1-Tabelle12[[#This Row],[Anteil A2]]))</f>
        <v>#N/A</v>
      </c>
      <c r="AD549" s="12" t="e">
        <f>IF(SIGN(Tabelle12[[#This Row],[Änderung B]])=-1,Tabelle12[[#This Row],[Änderung B]]*(Tabelle12[[#This Row],[Anteil B1]]),Tabelle12[[#This Row],[Änderung B]]*(1-Tabelle12[[#This Row],[Anteil B1]]))</f>
        <v>#N/A</v>
      </c>
      <c r="AE549" s="12" t="e">
        <f>IF(SIGN(Tabelle12[[#This Row],[Änderung B]])=-1,Tabelle12[[#This Row],[Änderung B]]*(Tabelle12[[#This Row],[Anteil B2]]),Tabelle12[[#This Row],[Änderung B]]*(1-Tabelle12[[#This Row],[Anteil B2]]))</f>
        <v>#N/A</v>
      </c>
      <c r="AF549" s="17"/>
      <c r="AG549">
        <f>IF(IFERROR(Tabelle12[[#This Row],[Änderung B2]],0)=0,0,Tabelle12[[#This Row],[Spiel]])</f>
        <v>0</v>
      </c>
      <c r="AH549" t="e">
        <f>MATCH(Tabelle12[[#This Row],[Team A]],SpielerDaten!$1:$1,0)</f>
        <v>#N/A</v>
      </c>
      <c r="AI549" t="e">
        <f>MATCH(Tabelle12[[#This Row],[Team A2]],SpielerDaten!$1:$1,0)</f>
        <v>#N/A</v>
      </c>
      <c r="AJ549" t="e">
        <f>MATCH(Tabelle12[[#This Row],[Team B]],SpielerDaten!$1:$1,0)</f>
        <v>#N/A</v>
      </c>
      <c r="AK549" t="e">
        <f>MATCH(Tabelle12[[#This Row],[Team B3]],SpielerDaten!$1:$1,0)</f>
        <v>#N/A</v>
      </c>
    </row>
    <row r="550" spans="1:37" x14ac:dyDescent="0.25">
      <c r="A550">
        <v>548</v>
      </c>
      <c r="B550">
        <f>Tabelle6[[#This Row],[player_A1]]</f>
        <v>0</v>
      </c>
      <c r="C550">
        <f>Tabelle6[[#This Row],[player_A2]]</f>
        <v>0</v>
      </c>
      <c r="D550">
        <f>Tabelle6[[#This Row],[player_B1]]</f>
        <v>0</v>
      </c>
      <c r="E550">
        <f>Tabelle6[[#This Row],[player_B2]]</f>
        <v>0</v>
      </c>
      <c r="F550">
        <f>Tabelle6[[#This Row],[Tore A]]</f>
        <v>0</v>
      </c>
      <c r="G550">
        <f>Tabelle6[[#This Row],[Tore B]]</f>
        <v>0</v>
      </c>
      <c r="H550" s="17"/>
      <c r="I550" s="1" t="e">
        <f>INDEX(Tabelle11[#All],(Tabelle12[[#This Row],[Spiel]]+13),Tabelle12[[#This Row],[ID A1]])</f>
        <v>#N/A</v>
      </c>
      <c r="J550" s="1" t="e">
        <f>INDEX(Tabelle11[#All],(Tabelle12[[#This Row],[Spiel]]+13),Tabelle12[[#This Row],[ID A2]])</f>
        <v>#N/A</v>
      </c>
      <c r="K550" s="1" t="e">
        <f>SUM(Tabelle12[[#This Row],[ELO vorher A1]:[ELO vorher A2]])</f>
        <v>#N/A</v>
      </c>
      <c r="L550" s="1" t="e">
        <f>Tabelle12[[#This Row],[ELO vorher A1]]/Tabelle12[[#This Row],[ELO A gesamt]]</f>
        <v>#N/A</v>
      </c>
      <c r="M550" s="1" t="e">
        <f>Tabelle12[[#This Row],[ELO vorher A2]]/Tabelle12[[#This Row],[ELO A gesamt]]</f>
        <v>#N/A</v>
      </c>
      <c r="N550" s="19"/>
      <c r="O550" s="1" t="e">
        <f>INDEX(Tabelle11[#All],(Tabelle12[[#This Row],[Spiel]]+13),Tabelle12[[#This Row],[ID B1]])</f>
        <v>#N/A</v>
      </c>
      <c r="P550" s="1" t="e">
        <f>INDEX(Tabelle11[#All],(Tabelle12[[#This Row],[Spiel]]+13),Tabelle12[[#This Row],[ID B2]])</f>
        <v>#N/A</v>
      </c>
      <c r="Q550" s="1" t="e">
        <f>SUM(Tabelle12[[#This Row],[ELO vorher B1]:[ELO vorher B2]])</f>
        <v>#N/A</v>
      </c>
      <c r="R550" s="1" t="e">
        <f>Tabelle12[[#This Row],[ELO vorher B1]]/Tabelle12[[#This Row],[ELO B gesamt]]</f>
        <v>#N/A</v>
      </c>
      <c r="S550" s="1" t="e">
        <f>Tabelle12[[#This Row],[ELO vorher B2]]/Tabelle12[[#This Row],[ELO B gesamt]]</f>
        <v>#N/A</v>
      </c>
      <c r="T550" s="19"/>
      <c r="U550" s="1" t="e">
        <f>1/(1+Ergebnisvorhersage!$C$5^((Q550-K550)/Ergebnisvorhersage!$C$6))</f>
        <v>#N/A</v>
      </c>
      <c r="V550" s="1" t="e">
        <f>1/(1+Ergebnisvorhersage!$C$5^((K550-Q550)/Ergebnisvorhersage!$C$6))</f>
        <v>#N/A</v>
      </c>
      <c r="W550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50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50" s="17"/>
      <c r="Z550" s="12" t="e">
        <f>Ergebnisbewertung!$C$5*(W550-U550)</f>
        <v>#N/A</v>
      </c>
      <c r="AA550" s="12" t="e">
        <f>Ergebnisbewertung!$C$5*(X550-V550)</f>
        <v>#N/A</v>
      </c>
      <c r="AB550" s="12" t="e">
        <f>IF(SIGN(Tabelle12[[#This Row],[Änderung A]])=-1,Tabelle12[[#This Row],[Änderung A]]*(Tabelle12[[#This Row],[Anteil A1]]),Tabelle12[[#This Row],[Änderung A]]*(1-Tabelle12[[#This Row],[Anteil A1]]))</f>
        <v>#N/A</v>
      </c>
      <c r="AC550" s="12" t="e">
        <f>IF(SIGN(Tabelle12[[#This Row],[Änderung A]])=-1,Tabelle12[[#This Row],[Änderung A]]*(Tabelle12[[#This Row],[Anteil A2]]),Tabelle12[[#This Row],[Änderung A]]*(1-Tabelle12[[#This Row],[Anteil A2]]))</f>
        <v>#N/A</v>
      </c>
      <c r="AD550" s="12" t="e">
        <f>IF(SIGN(Tabelle12[[#This Row],[Änderung B]])=-1,Tabelle12[[#This Row],[Änderung B]]*(Tabelle12[[#This Row],[Anteil B1]]),Tabelle12[[#This Row],[Änderung B]]*(1-Tabelle12[[#This Row],[Anteil B1]]))</f>
        <v>#N/A</v>
      </c>
      <c r="AE550" s="12" t="e">
        <f>IF(SIGN(Tabelle12[[#This Row],[Änderung B]])=-1,Tabelle12[[#This Row],[Änderung B]]*(Tabelle12[[#This Row],[Anteil B2]]),Tabelle12[[#This Row],[Änderung B]]*(1-Tabelle12[[#This Row],[Anteil B2]]))</f>
        <v>#N/A</v>
      </c>
      <c r="AF550" s="17"/>
      <c r="AG550">
        <f>IF(IFERROR(Tabelle12[[#This Row],[Änderung B2]],0)=0,0,Tabelle12[[#This Row],[Spiel]])</f>
        <v>0</v>
      </c>
      <c r="AH550" t="e">
        <f>MATCH(Tabelle12[[#This Row],[Team A]],SpielerDaten!$1:$1,0)</f>
        <v>#N/A</v>
      </c>
      <c r="AI550" t="e">
        <f>MATCH(Tabelle12[[#This Row],[Team A2]],SpielerDaten!$1:$1,0)</f>
        <v>#N/A</v>
      </c>
      <c r="AJ550" t="e">
        <f>MATCH(Tabelle12[[#This Row],[Team B]],SpielerDaten!$1:$1,0)</f>
        <v>#N/A</v>
      </c>
      <c r="AK550" t="e">
        <f>MATCH(Tabelle12[[#This Row],[Team B3]],SpielerDaten!$1:$1,0)</f>
        <v>#N/A</v>
      </c>
    </row>
    <row r="551" spans="1:37" x14ac:dyDescent="0.25">
      <c r="A551">
        <v>549</v>
      </c>
      <c r="B551">
        <f>Tabelle6[[#This Row],[player_A1]]</f>
        <v>0</v>
      </c>
      <c r="C551">
        <f>Tabelle6[[#This Row],[player_A2]]</f>
        <v>0</v>
      </c>
      <c r="D551">
        <f>Tabelle6[[#This Row],[player_B1]]</f>
        <v>0</v>
      </c>
      <c r="E551">
        <f>Tabelle6[[#This Row],[player_B2]]</f>
        <v>0</v>
      </c>
      <c r="F551">
        <f>Tabelle6[[#This Row],[Tore A]]</f>
        <v>0</v>
      </c>
      <c r="G551">
        <f>Tabelle6[[#This Row],[Tore B]]</f>
        <v>0</v>
      </c>
      <c r="H551" s="17"/>
      <c r="I551" s="1" t="e">
        <f>INDEX(Tabelle11[#All],(Tabelle12[[#This Row],[Spiel]]+13),Tabelle12[[#This Row],[ID A1]])</f>
        <v>#N/A</v>
      </c>
      <c r="J551" s="1" t="e">
        <f>INDEX(Tabelle11[#All],(Tabelle12[[#This Row],[Spiel]]+13),Tabelle12[[#This Row],[ID A2]])</f>
        <v>#N/A</v>
      </c>
      <c r="K551" s="1" t="e">
        <f>SUM(Tabelle12[[#This Row],[ELO vorher A1]:[ELO vorher A2]])</f>
        <v>#N/A</v>
      </c>
      <c r="L551" s="1" t="e">
        <f>Tabelle12[[#This Row],[ELO vorher A1]]/Tabelle12[[#This Row],[ELO A gesamt]]</f>
        <v>#N/A</v>
      </c>
      <c r="M551" s="1" t="e">
        <f>Tabelle12[[#This Row],[ELO vorher A2]]/Tabelle12[[#This Row],[ELO A gesamt]]</f>
        <v>#N/A</v>
      </c>
      <c r="N551" s="19"/>
      <c r="O551" s="1" t="e">
        <f>INDEX(Tabelle11[#All],(Tabelle12[[#This Row],[Spiel]]+13),Tabelle12[[#This Row],[ID B1]])</f>
        <v>#N/A</v>
      </c>
      <c r="P551" s="1" t="e">
        <f>INDEX(Tabelle11[#All],(Tabelle12[[#This Row],[Spiel]]+13),Tabelle12[[#This Row],[ID B2]])</f>
        <v>#N/A</v>
      </c>
      <c r="Q551" s="1" t="e">
        <f>SUM(Tabelle12[[#This Row],[ELO vorher B1]:[ELO vorher B2]])</f>
        <v>#N/A</v>
      </c>
      <c r="R551" s="1" t="e">
        <f>Tabelle12[[#This Row],[ELO vorher B1]]/Tabelle12[[#This Row],[ELO B gesamt]]</f>
        <v>#N/A</v>
      </c>
      <c r="S551" s="1" t="e">
        <f>Tabelle12[[#This Row],[ELO vorher B2]]/Tabelle12[[#This Row],[ELO B gesamt]]</f>
        <v>#N/A</v>
      </c>
      <c r="T551" s="19"/>
      <c r="U551" s="1" t="e">
        <f>1/(1+Ergebnisvorhersage!$C$5^((Q551-K551)/Ergebnisvorhersage!$C$6))</f>
        <v>#N/A</v>
      </c>
      <c r="V551" s="1" t="e">
        <f>1/(1+Ergebnisvorhersage!$C$5^((K551-Q551)/Ergebnisvorhersage!$C$6))</f>
        <v>#N/A</v>
      </c>
      <c r="W551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51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51" s="17"/>
      <c r="Z551" s="12" t="e">
        <f>Ergebnisbewertung!$C$5*(W551-U551)</f>
        <v>#N/A</v>
      </c>
      <c r="AA551" s="12" t="e">
        <f>Ergebnisbewertung!$C$5*(X551-V551)</f>
        <v>#N/A</v>
      </c>
      <c r="AB551" s="12" t="e">
        <f>IF(SIGN(Tabelle12[[#This Row],[Änderung A]])=-1,Tabelle12[[#This Row],[Änderung A]]*(Tabelle12[[#This Row],[Anteil A1]]),Tabelle12[[#This Row],[Änderung A]]*(1-Tabelle12[[#This Row],[Anteil A1]]))</f>
        <v>#N/A</v>
      </c>
      <c r="AC551" s="12" t="e">
        <f>IF(SIGN(Tabelle12[[#This Row],[Änderung A]])=-1,Tabelle12[[#This Row],[Änderung A]]*(Tabelle12[[#This Row],[Anteil A2]]),Tabelle12[[#This Row],[Änderung A]]*(1-Tabelle12[[#This Row],[Anteil A2]]))</f>
        <v>#N/A</v>
      </c>
      <c r="AD551" s="12" t="e">
        <f>IF(SIGN(Tabelle12[[#This Row],[Änderung B]])=-1,Tabelle12[[#This Row],[Änderung B]]*(Tabelle12[[#This Row],[Anteil B1]]),Tabelle12[[#This Row],[Änderung B]]*(1-Tabelle12[[#This Row],[Anteil B1]]))</f>
        <v>#N/A</v>
      </c>
      <c r="AE551" s="12" t="e">
        <f>IF(SIGN(Tabelle12[[#This Row],[Änderung B]])=-1,Tabelle12[[#This Row],[Änderung B]]*(Tabelle12[[#This Row],[Anteil B2]]),Tabelle12[[#This Row],[Änderung B]]*(1-Tabelle12[[#This Row],[Anteil B2]]))</f>
        <v>#N/A</v>
      </c>
      <c r="AF551" s="17"/>
      <c r="AG551">
        <f>IF(IFERROR(Tabelle12[[#This Row],[Änderung B2]],0)=0,0,Tabelle12[[#This Row],[Spiel]])</f>
        <v>0</v>
      </c>
      <c r="AH551" t="e">
        <f>MATCH(Tabelle12[[#This Row],[Team A]],SpielerDaten!$1:$1,0)</f>
        <v>#N/A</v>
      </c>
      <c r="AI551" t="e">
        <f>MATCH(Tabelle12[[#This Row],[Team A2]],SpielerDaten!$1:$1,0)</f>
        <v>#N/A</v>
      </c>
      <c r="AJ551" t="e">
        <f>MATCH(Tabelle12[[#This Row],[Team B]],SpielerDaten!$1:$1,0)</f>
        <v>#N/A</v>
      </c>
      <c r="AK551" t="e">
        <f>MATCH(Tabelle12[[#This Row],[Team B3]],SpielerDaten!$1:$1,0)</f>
        <v>#N/A</v>
      </c>
    </row>
    <row r="552" spans="1:37" x14ac:dyDescent="0.25">
      <c r="A552">
        <v>550</v>
      </c>
      <c r="B552">
        <f>Tabelle6[[#This Row],[player_A1]]</f>
        <v>0</v>
      </c>
      <c r="C552">
        <f>Tabelle6[[#This Row],[player_A2]]</f>
        <v>0</v>
      </c>
      <c r="D552">
        <f>Tabelle6[[#This Row],[player_B1]]</f>
        <v>0</v>
      </c>
      <c r="E552">
        <f>Tabelle6[[#This Row],[player_B2]]</f>
        <v>0</v>
      </c>
      <c r="F552">
        <f>Tabelle6[[#This Row],[Tore A]]</f>
        <v>0</v>
      </c>
      <c r="G552">
        <f>Tabelle6[[#This Row],[Tore B]]</f>
        <v>0</v>
      </c>
      <c r="H552" s="17"/>
      <c r="I552" s="1" t="e">
        <f>INDEX(Tabelle11[#All],(Tabelle12[[#This Row],[Spiel]]+13),Tabelle12[[#This Row],[ID A1]])</f>
        <v>#N/A</v>
      </c>
      <c r="J552" s="1" t="e">
        <f>INDEX(Tabelle11[#All],(Tabelle12[[#This Row],[Spiel]]+13),Tabelle12[[#This Row],[ID A2]])</f>
        <v>#N/A</v>
      </c>
      <c r="K552" s="1" t="e">
        <f>SUM(Tabelle12[[#This Row],[ELO vorher A1]:[ELO vorher A2]])</f>
        <v>#N/A</v>
      </c>
      <c r="L552" s="1" t="e">
        <f>Tabelle12[[#This Row],[ELO vorher A1]]/Tabelle12[[#This Row],[ELO A gesamt]]</f>
        <v>#N/A</v>
      </c>
      <c r="M552" s="1" t="e">
        <f>Tabelle12[[#This Row],[ELO vorher A2]]/Tabelle12[[#This Row],[ELO A gesamt]]</f>
        <v>#N/A</v>
      </c>
      <c r="N552" s="19"/>
      <c r="O552" s="1" t="e">
        <f>INDEX(Tabelle11[#All],(Tabelle12[[#This Row],[Spiel]]+13),Tabelle12[[#This Row],[ID B1]])</f>
        <v>#N/A</v>
      </c>
      <c r="P552" s="1" t="e">
        <f>INDEX(Tabelle11[#All],(Tabelle12[[#This Row],[Spiel]]+13),Tabelle12[[#This Row],[ID B2]])</f>
        <v>#N/A</v>
      </c>
      <c r="Q552" s="1" t="e">
        <f>SUM(Tabelle12[[#This Row],[ELO vorher B1]:[ELO vorher B2]])</f>
        <v>#N/A</v>
      </c>
      <c r="R552" s="1" t="e">
        <f>Tabelle12[[#This Row],[ELO vorher B1]]/Tabelle12[[#This Row],[ELO B gesamt]]</f>
        <v>#N/A</v>
      </c>
      <c r="S552" s="1" t="e">
        <f>Tabelle12[[#This Row],[ELO vorher B2]]/Tabelle12[[#This Row],[ELO B gesamt]]</f>
        <v>#N/A</v>
      </c>
      <c r="T552" s="19"/>
      <c r="U552" s="1" t="e">
        <f>1/(1+Ergebnisvorhersage!$C$5^((Q552-K552)/Ergebnisvorhersage!$C$6))</f>
        <v>#N/A</v>
      </c>
      <c r="V552" s="1" t="e">
        <f>1/(1+Ergebnisvorhersage!$C$5^((K552-Q552)/Ergebnisvorhersage!$C$6))</f>
        <v>#N/A</v>
      </c>
      <c r="W552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52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52" s="17"/>
      <c r="Z552" s="12" t="e">
        <f>Ergebnisbewertung!$C$5*(W552-U552)</f>
        <v>#N/A</v>
      </c>
      <c r="AA552" s="12" t="e">
        <f>Ergebnisbewertung!$C$5*(X552-V552)</f>
        <v>#N/A</v>
      </c>
      <c r="AB552" s="12" t="e">
        <f>IF(SIGN(Tabelle12[[#This Row],[Änderung A]])=-1,Tabelle12[[#This Row],[Änderung A]]*(Tabelle12[[#This Row],[Anteil A1]]),Tabelle12[[#This Row],[Änderung A]]*(1-Tabelle12[[#This Row],[Anteil A1]]))</f>
        <v>#N/A</v>
      </c>
      <c r="AC552" s="12" t="e">
        <f>IF(SIGN(Tabelle12[[#This Row],[Änderung A]])=-1,Tabelle12[[#This Row],[Änderung A]]*(Tabelle12[[#This Row],[Anteil A2]]),Tabelle12[[#This Row],[Änderung A]]*(1-Tabelle12[[#This Row],[Anteil A2]]))</f>
        <v>#N/A</v>
      </c>
      <c r="AD552" s="12" t="e">
        <f>IF(SIGN(Tabelle12[[#This Row],[Änderung B]])=-1,Tabelle12[[#This Row],[Änderung B]]*(Tabelle12[[#This Row],[Anteil B1]]),Tabelle12[[#This Row],[Änderung B]]*(1-Tabelle12[[#This Row],[Anteil B1]]))</f>
        <v>#N/A</v>
      </c>
      <c r="AE552" s="12" t="e">
        <f>IF(SIGN(Tabelle12[[#This Row],[Änderung B]])=-1,Tabelle12[[#This Row],[Änderung B]]*(Tabelle12[[#This Row],[Anteil B2]]),Tabelle12[[#This Row],[Änderung B]]*(1-Tabelle12[[#This Row],[Anteil B2]]))</f>
        <v>#N/A</v>
      </c>
      <c r="AF552" s="17"/>
      <c r="AG552">
        <f>IF(IFERROR(Tabelle12[[#This Row],[Änderung B2]],0)=0,0,Tabelle12[[#This Row],[Spiel]])</f>
        <v>0</v>
      </c>
      <c r="AH552" t="e">
        <f>MATCH(Tabelle12[[#This Row],[Team A]],SpielerDaten!$1:$1,0)</f>
        <v>#N/A</v>
      </c>
      <c r="AI552" t="e">
        <f>MATCH(Tabelle12[[#This Row],[Team A2]],SpielerDaten!$1:$1,0)</f>
        <v>#N/A</v>
      </c>
      <c r="AJ552" t="e">
        <f>MATCH(Tabelle12[[#This Row],[Team B]],SpielerDaten!$1:$1,0)</f>
        <v>#N/A</v>
      </c>
      <c r="AK552" t="e">
        <f>MATCH(Tabelle12[[#This Row],[Team B3]],SpielerDaten!$1:$1,0)</f>
        <v>#N/A</v>
      </c>
    </row>
    <row r="553" spans="1:37" x14ac:dyDescent="0.25">
      <c r="A553">
        <v>551</v>
      </c>
      <c r="B553">
        <f>Tabelle6[[#This Row],[player_A1]]</f>
        <v>0</v>
      </c>
      <c r="C553">
        <f>Tabelle6[[#This Row],[player_A2]]</f>
        <v>0</v>
      </c>
      <c r="D553">
        <f>Tabelle6[[#This Row],[player_B1]]</f>
        <v>0</v>
      </c>
      <c r="E553">
        <f>Tabelle6[[#This Row],[player_B2]]</f>
        <v>0</v>
      </c>
      <c r="F553">
        <f>Tabelle6[[#This Row],[Tore A]]</f>
        <v>0</v>
      </c>
      <c r="G553">
        <f>Tabelle6[[#This Row],[Tore B]]</f>
        <v>0</v>
      </c>
      <c r="H553" s="17"/>
      <c r="I553" s="1" t="e">
        <f>INDEX(Tabelle11[#All],(Tabelle12[[#This Row],[Spiel]]+13),Tabelle12[[#This Row],[ID A1]])</f>
        <v>#N/A</v>
      </c>
      <c r="J553" s="1" t="e">
        <f>INDEX(Tabelle11[#All],(Tabelle12[[#This Row],[Spiel]]+13),Tabelle12[[#This Row],[ID A2]])</f>
        <v>#N/A</v>
      </c>
      <c r="K553" s="1" t="e">
        <f>SUM(Tabelle12[[#This Row],[ELO vorher A1]:[ELO vorher A2]])</f>
        <v>#N/A</v>
      </c>
      <c r="L553" s="1" t="e">
        <f>Tabelle12[[#This Row],[ELO vorher A1]]/Tabelle12[[#This Row],[ELO A gesamt]]</f>
        <v>#N/A</v>
      </c>
      <c r="M553" s="1" t="e">
        <f>Tabelle12[[#This Row],[ELO vorher A2]]/Tabelle12[[#This Row],[ELO A gesamt]]</f>
        <v>#N/A</v>
      </c>
      <c r="N553" s="19"/>
      <c r="O553" s="1" t="e">
        <f>INDEX(Tabelle11[#All],(Tabelle12[[#This Row],[Spiel]]+13),Tabelle12[[#This Row],[ID B1]])</f>
        <v>#N/A</v>
      </c>
      <c r="P553" s="1" t="e">
        <f>INDEX(Tabelle11[#All],(Tabelle12[[#This Row],[Spiel]]+13),Tabelle12[[#This Row],[ID B2]])</f>
        <v>#N/A</v>
      </c>
      <c r="Q553" s="1" t="e">
        <f>SUM(Tabelle12[[#This Row],[ELO vorher B1]:[ELO vorher B2]])</f>
        <v>#N/A</v>
      </c>
      <c r="R553" s="1" t="e">
        <f>Tabelle12[[#This Row],[ELO vorher B1]]/Tabelle12[[#This Row],[ELO B gesamt]]</f>
        <v>#N/A</v>
      </c>
      <c r="S553" s="1" t="e">
        <f>Tabelle12[[#This Row],[ELO vorher B2]]/Tabelle12[[#This Row],[ELO B gesamt]]</f>
        <v>#N/A</v>
      </c>
      <c r="T553" s="19"/>
      <c r="U553" s="1" t="e">
        <f>1/(1+Ergebnisvorhersage!$C$5^((Q553-K553)/Ergebnisvorhersage!$C$6))</f>
        <v>#N/A</v>
      </c>
      <c r="V553" s="1" t="e">
        <f>1/(1+Ergebnisvorhersage!$C$5^((K553-Q553)/Ergebnisvorhersage!$C$6))</f>
        <v>#N/A</v>
      </c>
      <c r="W553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53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53" s="17"/>
      <c r="Z553" s="12" t="e">
        <f>Ergebnisbewertung!$C$5*(W553-U553)</f>
        <v>#N/A</v>
      </c>
      <c r="AA553" s="12" t="e">
        <f>Ergebnisbewertung!$C$5*(X553-V553)</f>
        <v>#N/A</v>
      </c>
      <c r="AB553" s="12" t="e">
        <f>IF(SIGN(Tabelle12[[#This Row],[Änderung A]])=-1,Tabelle12[[#This Row],[Änderung A]]*(Tabelle12[[#This Row],[Anteil A1]]),Tabelle12[[#This Row],[Änderung A]]*(1-Tabelle12[[#This Row],[Anteil A1]]))</f>
        <v>#N/A</v>
      </c>
      <c r="AC553" s="12" t="e">
        <f>IF(SIGN(Tabelle12[[#This Row],[Änderung A]])=-1,Tabelle12[[#This Row],[Änderung A]]*(Tabelle12[[#This Row],[Anteil A2]]),Tabelle12[[#This Row],[Änderung A]]*(1-Tabelle12[[#This Row],[Anteil A2]]))</f>
        <v>#N/A</v>
      </c>
      <c r="AD553" s="12" t="e">
        <f>IF(SIGN(Tabelle12[[#This Row],[Änderung B]])=-1,Tabelle12[[#This Row],[Änderung B]]*(Tabelle12[[#This Row],[Anteil B1]]),Tabelle12[[#This Row],[Änderung B]]*(1-Tabelle12[[#This Row],[Anteil B1]]))</f>
        <v>#N/A</v>
      </c>
      <c r="AE553" s="12" t="e">
        <f>IF(SIGN(Tabelle12[[#This Row],[Änderung B]])=-1,Tabelle12[[#This Row],[Änderung B]]*(Tabelle12[[#This Row],[Anteil B2]]),Tabelle12[[#This Row],[Änderung B]]*(1-Tabelle12[[#This Row],[Anteil B2]]))</f>
        <v>#N/A</v>
      </c>
      <c r="AF553" s="17"/>
      <c r="AG553">
        <f>IF(IFERROR(Tabelle12[[#This Row],[Änderung B2]],0)=0,0,Tabelle12[[#This Row],[Spiel]])</f>
        <v>0</v>
      </c>
      <c r="AH553" t="e">
        <f>MATCH(Tabelle12[[#This Row],[Team A]],SpielerDaten!$1:$1,0)</f>
        <v>#N/A</v>
      </c>
      <c r="AI553" t="e">
        <f>MATCH(Tabelle12[[#This Row],[Team A2]],SpielerDaten!$1:$1,0)</f>
        <v>#N/A</v>
      </c>
      <c r="AJ553" t="e">
        <f>MATCH(Tabelle12[[#This Row],[Team B]],SpielerDaten!$1:$1,0)</f>
        <v>#N/A</v>
      </c>
      <c r="AK553" t="e">
        <f>MATCH(Tabelle12[[#This Row],[Team B3]],SpielerDaten!$1:$1,0)</f>
        <v>#N/A</v>
      </c>
    </row>
    <row r="554" spans="1:37" x14ac:dyDescent="0.25">
      <c r="A554">
        <v>552</v>
      </c>
      <c r="B554">
        <f>Tabelle6[[#This Row],[player_A1]]</f>
        <v>0</v>
      </c>
      <c r="C554">
        <f>Tabelle6[[#This Row],[player_A2]]</f>
        <v>0</v>
      </c>
      <c r="D554">
        <f>Tabelle6[[#This Row],[player_B1]]</f>
        <v>0</v>
      </c>
      <c r="E554">
        <f>Tabelle6[[#This Row],[player_B2]]</f>
        <v>0</v>
      </c>
      <c r="F554">
        <f>Tabelle6[[#This Row],[Tore A]]</f>
        <v>0</v>
      </c>
      <c r="G554">
        <f>Tabelle6[[#This Row],[Tore B]]</f>
        <v>0</v>
      </c>
      <c r="H554" s="17"/>
      <c r="I554" s="1" t="e">
        <f>INDEX(Tabelle11[#All],(Tabelle12[[#This Row],[Spiel]]+13),Tabelle12[[#This Row],[ID A1]])</f>
        <v>#N/A</v>
      </c>
      <c r="J554" s="1" t="e">
        <f>INDEX(Tabelle11[#All],(Tabelle12[[#This Row],[Spiel]]+13),Tabelle12[[#This Row],[ID A2]])</f>
        <v>#N/A</v>
      </c>
      <c r="K554" s="1" t="e">
        <f>SUM(Tabelle12[[#This Row],[ELO vorher A1]:[ELO vorher A2]])</f>
        <v>#N/A</v>
      </c>
      <c r="L554" s="1" t="e">
        <f>Tabelle12[[#This Row],[ELO vorher A1]]/Tabelle12[[#This Row],[ELO A gesamt]]</f>
        <v>#N/A</v>
      </c>
      <c r="M554" s="1" t="e">
        <f>Tabelle12[[#This Row],[ELO vorher A2]]/Tabelle12[[#This Row],[ELO A gesamt]]</f>
        <v>#N/A</v>
      </c>
      <c r="N554" s="19"/>
      <c r="O554" s="1" t="e">
        <f>INDEX(Tabelle11[#All],(Tabelle12[[#This Row],[Spiel]]+13),Tabelle12[[#This Row],[ID B1]])</f>
        <v>#N/A</v>
      </c>
      <c r="P554" s="1" t="e">
        <f>INDEX(Tabelle11[#All],(Tabelle12[[#This Row],[Spiel]]+13),Tabelle12[[#This Row],[ID B2]])</f>
        <v>#N/A</v>
      </c>
      <c r="Q554" s="1" t="e">
        <f>SUM(Tabelle12[[#This Row],[ELO vorher B1]:[ELO vorher B2]])</f>
        <v>#N/A</v>
      </c>
      <c r="R554" s="1" t="e">
        <f>Tabelle12[[#This Row],[ELO vorher B1]]/Tabelle12[[#This Row],[ELO B gesamt]]</f>
        <v>#N/A</v>
      </c>
      <c r="S554" s="1" t="e">
        <f>Tabelle12[[#This Row],[ELO vorher B2]]/Tabelle12[[#This Row],[ELO B gesamt]]</f>
        <v>#N/A</v>
      </c>
      <c r="T554" s="19"/>
      <c r="U554" s="1" t="e">
        <f>1/(1+Ergebnisvorhersage!$C$5^((Q554-K554)/Ergebnisvorhersage!$C$6))</f>
        <v>#N/A</v>
      </c>
      <c r="V554" s="1" t="e">
        <f>1/(1+Ergebnisvorhersage!$C$5^((K554-Q554)/Ergebnisvorhersage!$C$6))</f>
        <v>#N/A</v>
      </c>
      <c r="W554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54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54" s="17"/>
      <c r="Z554" s="12" t="e">
        <f>Ergebnisbewertung!$C$5*(W554-U554)</f>
        <v>#N/A</v>
      </c>
      <c r="AA554" s="12" t="e">
        <f>Ergebnisbewertung!$C$5*(X554-V554)</f>
        <v>#N/A</v>
      </c>
      <c r="AB554" s="12" t="e">
        <f>IF(SIGN(Tabelle12[[#This Row],[Änderung A]])=-1,Tabelle12[[#This Row],[Änderung A]]*(Tabelle12[[#This Row],[Anteil A1]]),Tabelle12[[#This Row],[Änderung A]]*(1-Tabelle12[[#This Row],[Anteil A1]]))</f>
        <v>#N/A</v>
      </c>
      <c r="AC554" s="12" t="e">
        <f>IF(SIGN(Tabelle12[[#This Row],[Änderung A]])=-1,Tabelle12[[#This Row],[Änderung A]]*(Tabelle12[[#This Row],[Anteil A2]]),Tabelle12[[#This Row],[Änderung A]]*(1-Tabelle12[[#This Row],[Anteil A2]]))</f>
        <v>#N/A</v>
      </c>
      <c r="AD554" s="12" t="e">
        <f>IF(SIGN(Tabelle12[[#This Row],[Änderung B]])=-1,Tabelle12[[#This Row],[Änderung B]]*(Tabelle12[[#This Row],[Anteil B1]]),Tabelle12[[#This Row],[Änderung B]]*(1-Tabelle12[[#This Row],[Anteil B1]]))</f>
        <v>#N/A</v>
      </c>
      <c r="AE554" s="12" t="e">
        <f>IF(SIGN(Tabelle12[[#This Row],[Änderung B]])=-1,Tabelle12[[#This Row],[Änderung B]]*(Tabelle12[[#This Row],[Anteil B2]]),Tabelle12[[#This Row],[Änderung B]]*(1-Tabelle12[[#This Row],[Anteil B2]]))</f>
        <v>#N/A</v>
      </c>
      <c r="AF554" s="17"/>
      <c r="AG554">
        <f>IF(IFERROR(Tabelle12[[#This Row],[Änderung B2]],0)=0,0,Tabelle12[[#This Row],[Spiel]])</f>
        <v>0</v>
      </c>
      <c r="AH554" t="e">
        <f>MATCH(Tabelle12[[#This Row],[Team A]],SpielerDaten!$1:$1,0)</f>
        <v>#N/A</v>
      </c>
      <c r="AI554" t="e">
        <f>MATCH(Tabelle12[[#This Row],[Team A2]],SpielerDaten!$1:$1,0)</f>
        <v>#N/A</v>
      </c>
      <c r="AJ554" t="e">
        <f>MATCH(Tabelle12[[#This Row],[Team B]],SpielerDaten!$1:$1,0)</f>
        <v>#N/A</v>
      </c>
      <c r="AK554" t="e">
        <f>MATCH(Tabelle12[[#This Row],[Team B3]],SpielerDaten!$1:$1,0)</f>
        <v>#N/A</v>
      </c>
    </row>
    <row r="555" spans="1:37" x14ac:dyDescent="0.25">
      <c r="A555">
        <v>553</v>
      </c>
      <c r="B555">
        <f>Tabelle6[[#This Row],[player_A1]]</f>
        <v>0</v>
      </c>
      <c r="C555">
        <f>Tabelle6[[#This Row],[player_A2]]</f>
        <v>0</v>
      </c>
      <c r="D555">
        <f>Tabelle6[[#This Row],[player_B1]]</f>
        <v>0</v>
      </c>
      <c r="E555">
        <f>Tabelle6[[#This Row],[player_B2]]</f>
        <v>0</v>
      </c>
      <c r="F555">
        <f>Tabelle6[[#This Row],[Tore A]]</f>
        <v>0</v>
      </c>
      <c r="G555">
        <f>Tabelle6[[#This Row],[Tore B]]</f>
        <v>0</v>
      </c>
      <c r="H555" s="17"/>
      <c r="I555" s="1" t="e">
        <f>INDEX(Tabelle11[#All],(Tabelle12[[#This Row],[Spiel]]+13),Tabelle12[[#This Row],[ID A1]])</f>
        <v>#N/A</v>
      </c>
      <c r="J555" s="1" t="e">
        <f>INDEX(Tabelle11[#All],(Tabelle12[[#This Row],[Spiel]]+13),Tabelle12[[#This Row],[ID A2]])</f>
        <v>#N/A</v>
      </c>
      <c r="K555" s="1" t="e">
        <f>SUM(Tabelle12[[#This Row],[ELO vorher A1]:[ELO vorher A2]])</f>
        <v>#N/A</v>
      </c>
      <c r="L555" s="1" t="e">
        <f>Tabelle12[[#This Row],[ELO vorher A1]]/Tabelle12[[#This Row],[ELO A gesamt]]</f>
        <v>#N/A</v>
      </c>
      <c r="M555" s="1" t="e">
        <f>Tabelle12[[#This Row],[ELO vorher A2]]/Tabelle12[[#This Row],[ELO A gesamt]]</f>
        <v>#N/A</v>
      </c>
      <c r="N555" s="19"/>
      <c r="O555" s="1" t="e">
        <f>INDEX(Tabelle11[#All],(Tabelle12[[#This Row],[Spiel]]+13),Tabelle12[[#This Row],[ID B1]])</f>
        <v>#N/A</v>
      </c>
      <c r="P555" s="1" t="e">
        <f>INDEX(Tabelle11[#All],(Tabelle12[[#This Row],[Spiel]]+13),Tabelle12[[#This Row],[ID B2]])</f>
        <v>#N/A</v>
      </c>
      <c r="Q555" s="1" t="e">
        <f>SUM(Tabelle12[[#This Row],[ELO vorher B1]:[ELO vorher B2]])</f>
        <v>#N/A</v>
      </c>
      <c r="R555" s="1" t="e">
        <f>Tabelle12[[#This Row],[ELO vorher B1]]/Tabelle12[[#This Row],[ELO B gesamt]]</f>
        <v>#N/A</v>
      </c>
      <c r="S555" s="1" t="e">
        <f>Tabelle12[[#This Row],[ELO vorher B2]]/Tabelle12[[#This Row],[ELO B gesamt]]</f>
        <v>#N/A</v>
      </c>
      <c r="T555" s="19"/>
      <c r="U555" s="1" t="e">
        <f>1/(1+Ergebnisvorhersage!$C$5^((Q555-K555)/Ergebnisvorhersage!$C$6))</f>
        <v>#N/A</v>
      </c>
      <c r="V555" s="1" t="e">
        <f>1/(1+Ergebnisvorhersage!$C$5^((K555-Q555)/Ergebnisvorhersage!$C$6))</f>
        <v>#N/A</v>
      </c>
      <c r="W555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55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55" s="17"/>
      <c r="Z555" s="12" t="e">
        <f>Ergebnisbewertung!$C$5*(W555-U555)</f>
        <v>#N/A</v>
      </c>
      <c r="AA555" s="12" t="e">
        <f>Ergebnisbewertung!$C$5*(X555-V555)</f>
        <v>#N/A</v>
      </c>
      <c r="AB555" s="12" t="e">
        <f>IF(SIGN(Tabelle12[[#This Row],[Änderung A]])=-1,Tabelle12[[#This Row],[Änderung A]]*(Tabelle12[[#This Row],[Anteil A1]]),Tabelle12[[#This Row],[Änderung A]]*(1-Tabelle12[[#This Row],[Anteil A1]]))</f>
        <v>#N/A</v>
      </c>
      <c r="AC555" s="12" t="e">
        <f>IF(SIGN(Tabelle12[[#This Row],[Änderung A]])=-1,Tabelle12[[#This Row],[Änderung A]]*(Tabelle12[[#This Row],[Anteil A2]]),Tabelle12[[#This Row],[Änderung A]]*(1-Tabelle12[[#This Row],[Anteil A2]]))</f>
        <v>#N/A</v>
      </c>
      <c r="AD555" s="12" t="e">
        <f>IF(SIGN(Tabelle12[[#This Row],[Änderung B]])=-1,Tabelle12[[#This Row],[Änderung B]]*(Tabelle12[[#This Row],[Anteil B1]]),Tabelle12[[#This Row],[Änderung B]]*(1-Tabelle12[[#This Row],[Anteil B1]]))</f>
        <v>#N/A</v>
      </c>
      <c r="AE555" s="12" t="e">
        <f>IF(SIGN(Tabelle12[[#This Row],[Änderung B]])=-1,Tabelle12[[#This Row],[Änderung B]]*(Tabelle12[[#This Row],[Anteil B2]]),Tabelle12[[#This Row],[Änderung B]]*(1-Tabelle12[[#This Row],[Anteil B2]]))</f>
        <v>#N/A</v>
      </c>
      <c r="AF555" s="17"/>
      <c r="AG555">
        <f>IF(IFERROR(Tabelle12[[#This Row],[Änderung B2]],0)=0,0,Tabelle12[[#This Row],[Spiel]])</f>
        <v>0</v>
      </c>
      <c r="AH555" t="e">
        <f>MATCH(Tabelle12[[#This Row],[Team A]],SpielerDaten!$1:$1,0)</f>
        <v>#N/A</v>
      </c>
      <c r="AI555" t="e">
        <f>MATCH(Tabelle12[[#This Row],[Team A2]],SpielerDaten!$1:$1,0)</f>
        <v>#N/A</v>
      </c>
      <c r="AJ555" t="e">
        <f>MATCH(Tabelle12[[#This Row],[Team B]],SpielerDaten!$1:$1,0)</f>
        <v>#N/A</v>
      </c>
      <c r="AK555" t="e">
        <f>MATCH(Tabelle12[[#This Row],[Team B3]],SpielerDaten!$1:$1,0)</f>
        <v>#N/A</v>
      </c>
    </row>
    <row r="556" spans="1:37" x14ac:dyDescent="0.25">
      <c r="A556">
        <v>554</v>
      </c>
      <c r="B556">
        <f>Tabelle6[[#This Row],[player_A1]]</f>
        <v>0</v>
      </c>
      <c r="C556">
        <f>Tabelle6[[#This Row],[player_A2]]</f>
        <v>0</v>
      </c>
      <c r="D556">
        <f>Tabelle6[[#This Row],[player_B1]]</f>
        <v>0</v>
      </c>
      <c r="E556">
        <f>Tabelle6[[#This Row],[player_B2]]</f>
        <v>0</v>
      </c>
      <c r="F556">
        <f>Tabelle6[[#This Row],[Tore A]]</f>
        <v>0</v>
      </c>
      <c r="G556">
        <f>Tabelle6[[#This Row],[Tore B]]</f>
        <v>0</v>
      </c>
      <c r="H556" s="17"/>
      <c r="I556" s="1" t="e">
        <f>INDEX(Tabelle11[#All],(Tabelle12[[#This Row],[Spiel]]+13),Tabelle12[[#This Row],[ID A1]])</f>
        <v>#N/A</v>
      </c>
      <c r="J556" s="1" t="e">
        <f>INDEX(Tabelle11[#All],(Tabelle12[[#This Row],[Spiel]]+13),Tabelle12[[#This Row],[ID A2]])</f>
        <v>#N/A</v>
      </c>
      <c r="K556" s="1" t="e">
        <f>SUM(Tabelle12[[#This Row],[ELO vorher A1]:[ELO vorher A2]])</f>
        <v>#N/A</v>
      </c>
      <c r="L556" s="1" t="e">
        <f>Tabelle12[[#This Row],[ELO vorher A1]]/Tabelle12[[#This Row],[ELO A gesamt]]</f>
        <v>#N/A</v>
      </c>
      <c r="M556" s="1" t="e">
        <f>Tabelle12[[#This Row],[ELO vorher A2]]/Tabelle12[[#This Row],[ELO A gesamt]]</f>
        <v>#N/A</v>
      </c>
      <c r="N556" s="19"/>
      <c r="O556" s="1" t="e">
        <f>INDEX(Tabelle11[#All],(Tabelle12[[#This Row],[Spiel]]+13),Tabelle12[[#This Row],[ID B1]])</f>
        <v>#N/A</v>
      </c>
      <c r="P556" s="1" t="e">
        <f>INDEX(Tabelle11[#All],(Tabelle12[[#This Row],[Spiel]]+13),Tabelle12[[#This Row],[ID B2]])</f>
        <v>#N/A</v>
      </c>
      <c r="Q556" s="1" t="e">
        <f>SUM(Tabelle12[[#This Row],[ELO vorher B1]:[ELO vorher B2]])</f>
        <v>#N/A</v>
      </c>
      <c r="R556" s="1" t="e">
        <f>Tabelle12[[#This Row],[ELO vorher B1]]/Tabelle12[[#This Row],[ELO B gesamt]]</f>
        <v>#N/A</v>
      </c>
      <c r="S556" s="1" t="e">
        <f>Tabelle12[[#This Row],[ELO vorher B2]]/Tabelle12[[#This Row],[ELO B gesamt]]</f>
        <v>#N/A</v>
      </c>
      <c r="T556" s="19"/>
      <c r="U556" s="1" t="e">
        <f>1/(1+Ergebnisvorhersage!$C$5^((Q556-K556)/Ergebnisvorhersage!$C$6))</f>
        <v>#N/A</v>
      </c>
      <c r="V556" s="1" t="e">
        <f>1/(1+Ergebnisvorhersage!$C$5^((K556-Q556)/Ergebnisvorhersage!$C$6))</f>
        <v>#N/A</v>
      </c>
      <c r="W556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56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56" s="17"/>
      <c r="Z556" s="12" t="e">
        <f>Ergebnisbewertung!$C$5*(W556-U556)</f>
        <v>#N/A</v>
      </c>
      <c r="AA556" s="12" t="e">
        <f>Ergebnisbewertung!$C$5*(X556-V556)</f>
        <v>#N/A</v>
      </c>
      <c r="AB556" s="12" t="e">
        <f>IF(SIGN(Tabelle12[[#This Row],[Änderung A]])=-1,Tabelle12[[#This Row],[Änderung A]]*(Tabelle12[[#This Row],[Anteil A1]]),Tabelle12[[#This Row],[Änderung A]]*(1-Tabelle12[[#This Row],[Anteil A1]]))</f>
        <v>#N/A</v>
      </c>
      <c r="AC556" s="12" t="e">
        <f>IF(SIGN(Tabelle12[[#This Row],[Änderung A]])=-1,Tabelle12[[#This Row],[Änderung A]]*(Tabelle12[[#This Row],[Anteil A2]]),Tabelle12[[#This Row],[Änderung A]]*(1-Tabelle12[[#This Row],[Anteil A2]]))</f>
        <v>#N/A</v>
      </c>
      <c r="AD556" s="12" t="e">
        <f>IF(SIGN(Tabelle12[[#This Row],[Änderung B]])=-1,Tabelle12[[#This Row],[Änderung B]]*(Tabelle12[[#This Row],[Anteil B1]]),Tabelle12[[#This Row],[Änderung B]]*(1-Tabelle12[[#This Row],[Anteil B1]]))</f>
        <v>#N/A</v>
      </c>
      <c r="AE556" s="12" t="e">
        <f>IF(SIGN(Tabelle12[[#This Row],[Änderung B]])=-1,Tabelle12[[#This Row],[Änderung B]]*(Tabelle12[[#This Row],[Anteil B2]]),Tabelle12[[#This Row],[Änderung B]]*(1-Tabelle12[[#This Row],[Anteil B2]]))</f>
        <v>#N/A</v>
      </c>
      <c r="AF556" s="17"/>
      <c r="AG556">
        <f>IF(IFERROR(Tabelle12[[#This Row],[Änderung B2]],0)=0,0,Tabelle12[[#This Row],[Spiel]])</f>
        <v>0</v>
      </c>
      <c r="AH556" t="e">
        <f>MATCH(Tabelle12[[#This Row],[Team A]],SpielerDaten!$1:$1,0)</f>
        <v>#N/A</v>
      </c>
      <c r="AI556" t="e">
        <f>MATCH(Tabelle12[[#This Row],[Team A2]],SpielerDaten!$1:$1,0)</f>
        <v>#N/A</v>
      </c>
      <c r="AJ556" t="e">
        <f>MATCH(Tabelle12[[#This Row],[Team B]],SpielerDaten!$1:$1,0)</f>
        <v>#N/A</v>
      </c>
      <c r="AK556" t="e">
        <f>MATCH(Tabelle12[[#This Row],[Team B3]],SpielerDaten!$1:$1,0)</f>
        <v>#N/A</v>
      </c>
    </row>
    <row r="557" spans="1:37" x14ac:dyDescent="0.25">
      <c r="A557">
        <v>555</v>
      </c>
      <c r="B557">
        <f>Tabelle6[[#This Row],[player_A1]]</f>
        <v>0</v>
      </c>
      <c r="C557">
        <f>Tabelle6[[#This Row],[player_A2]]</f>
        <v>0</v>
      </c>
      <c r="D557">
        <f>Tabelle6[[#This Row],[player_B1]]</f>
        <v>0</v>
      </c>
      <c r="E557">
        <f>Tabelle6[[#This Row],[player_B2]]</f>
        <v>0</v>
      </c>
      <c r="F557">
        <f>Tabelle6[[#This Row],[Tore A]]</f>
        <v>0</v>
      </c>
      <c r="G557">
        <f>Tabelle6[[#This Row],[Tore B]]</f>
        <v>0</v>
      </c>
      <c r="H557" s="17"/>
      <c r="I557" s="1" t="e">
        <f>INDEX(Tabelle11[#All],(Tabelle12[[#This Row],[Spiel]]+13),Tabelle12[[#This Row],[ID A1]])</f>
        <v>#N/A</v>
      </c>
      <c r="J557" s="1" t="e">
        <f>INDEX(Tabelle11[#All],(Tabelle12[[#This Row],[Spiel]]+13),Tabelle12[[#This Row],[ID A2]])</f>
        <v>#N/A</v>
      </c>
      <c r="K557" s="1" t="e">
        <f>SUM(Tabelle12[[#This Row],[ELO vorher A1]:[ELO vorher A2]])</f>
        <v>#N/A</v>
      </c>
      <c r="L557" s="1" t="e">
        <f>Tabelle12[[#This Row],[ELO vorher A1]]/Tabelle12[[#This Row],[ELO A gesamt]]</f>
        <v>#N/A</v>
      </c>
      <c r="M557" s="1" t="e">
        <f>Tabelle12[[#This Row],[ELO vorher A2]]/Tabelle12[[#This Row],[ELO A gesamt]]</f>
        <v>#N/A</v>
      </c>
      <c r="N557" s="19"/>
      <c r="O557" s="1" t="e">
        <f>INDEX(Tabelle11[#All],(Tabelle12[[#This Row],[Spiel]]+13),Tabelle12[[#This Row],[ID B1]])</f>
        <v>#N/A</v>
      </c>
      <c r="P557" s="1" t="e">
        <f>INDEX(Tabelle11[#All],(Tabelle12[[#This Row],[Spiel]]+13),Tabelle12[[#This Row],[ID B2]])</f>
        <v>#N/A</v>
      </c>
      <c r="Q557" s="1" t="e">
        <f>SUM(Tabelle12[[#This Row],[ELO vorher B1]:[ELO vorher B2]])</f>
        <v>#N/A</v>
      </c>
      <c r="R557" s="1" t="e">
        <f>Tabelle12[[#This Row],[ELO vorher B1]]/Tabelle12[[#This Row],[ELO B gesamt]]</f>
        <v>#N/A</v>
      </c>
      <c r="S557" s="1" t="e">
        <f>Tabelle12[[#This Row],[ELO vorher B2]]/Tabelle12[[#This Row],[ELO B gesamt]]</f>
        <v>#N/A</v>
      </c>
      <c r="T557" s="19"/>
      <c r="U557" s="1" t="e">
        <f>1/(1+Ergebnisvorhersage!$C$5^((Q557-K557)/Ergebnisvorhersage!$C$6))</f>
        <v>#N/A</v>
      </c>
      <c r="V557" s="1" t="e">
        <f>1/(1+Ergebnisvorhersage!$C$5^((K557-Q557)/Ergebnisvorhersage!$C$6))</f>
        <v>#N/A</v>
      </c>
      <c r="W557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57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57" s="17"/>
      <c r="Z557" s="12" t="e">
        <f>Ergebnisbewertung!$C$5*(W557-U557)</f>
        <v>#N/A</v>
      </c>
      <c r="AA557" s="12" t="e">
        <f>Ergebnisbewertung!$C$5*(X557-V557)</f>
        <v>#N/A</v>
      </c>
      <c r="AB557" s="12" t="e">
        <f>IF(SIGN(Tabelle12[[#This Row],[Änderung A]])=-1,Tabelle12[[#This Row],[Änderung A]]*(Tabelle12[[#This Row],[Anteil A1]]),Tabelle12[[#This Row],[Änderung A]]*(1-Tabelle12[[#This Row],[Anteil A1]]))</f>
        <v>#N/A</v>
      </c>
      <c r="AC557" s="12" t="e">
        <f>IF(SIGN(Tabelle12[[#This Row],[Änderung A]])=-1,Tabelle12[[#This Row],[Änderung A]]*(Tabelle12[[#This Row],[Anteil A2]]),Tabelle12[[#This Row],[Änderung A]]*(1-Tabelle12[[#This Row],[Anteil A2]]))</f>
        <v>#N/A</v>
      </c>
      <c r="AD557" s="12" t="e">
        <f>IF(SIGN(Tabelle12[[#This Row],[Änderung B]])=-1,Tabelle12[[#This Row],[Änderung B]]*(Tabelle12[[#This Row],[Anteil B1]]),Tabelle12[[#This Row],[Änderung B]]*(1-Tabelle12[[#This Row],[Anteil B1]]))</f>
        <v>#N/A</v>
      </c>
      <c r="AE557" s="12" t="e">
        <f>IF(SIGN(Tabelle12[[#This Row],[Änderung B]])=-1,Tabelle12[[#This Row],[Änderung B]]*(Tabelle12[[#This Row],[Anteil B2]]),Tabelle12[[#This Row],[Änderung B]]*(1-Tabelle12[[#This Row],[Anteil B2]]))</f>
        <v>#N/A</v>
      </c>
      <c r="AF557" s="17"/>
      <c r="AG557">
        <f>IF(IFERROR(Tabelle12[[#This Row],[Änderung B2]],0)=0,0,Tabelle12[[#This Row],[Spiel]])</f>
        <v>0</v>
      </c>
      <c r="AH557" t="e">
        <f>MATCH(Tabelle12[[#This Row],[Team A]],SpielerDaten!$1:$1,0)</f>
        <v>#N/A</v>
      </c>
      <c r="AI557" t="e">
        <f>MATCH(Tabelle12[[#This Row],[Team A2]],SpielerDaten!$1:$1,0)</f>
        <v>#N/A</v>
      </c>
      <c r="AJ557" t="e">
        <f>MATCH(Tabelle12[[#This Row],[Team B]],SpielerDaten!$1:$1,0)</f>
        <v>#N/A</v>
      </c>
      <c r="AK557" t="e">
        <f>MATCH(Tabelle12[[#This Row],[Team B3]],SpielerDaten!$1:$1,0)</f>
        <v>#N/A</v>
      </c>
    </row>
    <row r="558" spans="1:37" x14ac:dyDescent="0.25">
      <c r="A558">
        <v>556</v>
      </c>
      <c r="B558">
        <f>Tabelle6[[#This Row],[player_A1]]</f>
        <v>0</v>
      </c>
      <c r="C558">
        <f>Tabelle6[[#This Row],[player_A2]]</f>
        <v>0</v>
      </c>
      <c r="D558">
        <f>Tabelle6[[#This Row],[player_B1]]</f>
        <v>0</v>
      </c>
      <c r="E558">
        <f>Tabelle6[[#This Row],[player_B2]]</f>
        <v>0</v>
      </c>
      <c r="F558">
        <f>Tabelle6[[#This Row],[Tore A]]</f>
        <v>0</v>
      </c>
      <c r="G558">
        <f>Tabelle6[[#This Row],[Tore B]]</f>
        <v>0</v>
      </c>
      <c r="H558" s="17"/>
      <c r="I558" s="1" t="e">
        <f>INDEX(Tabelle11[#All],(Tabelle12[[#This Row],[Spiel]]+13),Tabelle12[[#This Row],[ID A1]])</f>
        <v>#N/A</v>
      </c>
      <c r="J558" s="1" t="e">
        <f>INDEX(Tabelle11[#All],(Tabelle12[[#This Row],[Spiel]]+13),Tabelle12[[#This Row],[ID A2]])</f>
        <v>#N/A</v>
      </c>
      <c r="K558" s="1" t="e">
        <f>SUM(Tabelle12[[#This Row],[ELO vorher A1]:[ELO vorher A2]])</f>
        <v>#N/A</v>
      </c>
      <c r="L558" s="1" t="e">
        <f>Tabelle12[[#This Row],[ELO vorher A1]]/Tabelle12[[#This Row],[ELO A gesamt]]</f>
        <v>#N/A</v>
      </c>
      <c r="M558" s="1" t="e">
        <f>Tabelle12[[#This Row],[ELO vorher A2]]/Tabelle12[[#This Row],[ELO A gesamt]]</f>
        <v>#N/A</v>
      </c>
      <c r="N558" s="19"/>
      <c r="O558" s="1" t="e">
        <f>INDEX(Tabelle11[#All],(Tabelle12[[#This Row],[Spiel]]+13),Tabelle12[[#This Row],[ID B1]])</f>
        <v>#N/A</v>
      </c>
      <c r="P558" s="1" t="e">
        <f>INDEX(Tabelle11[#All],(Tabelle12[[#This Row],[Spiel]]+13),Tabelle12[[#This Row],[ID B2]])</f>
        <v>#N/A</v>
      </c>
      <c r="Q558" s="1" t="e">
        <f>SUM(Tabelle12[[#This Row],[ELO vorher B1]:[ELO vorher B2]])</f>
        <v>#N/A</v>
      </c>
      <c r="R558" s="1" t="e">
        <f>Tabelle12[[#This Row],[ELO vorher B1]]/Tabelle12[[#This Row],[ELO B gesamt]]</f>
        <v>#N/A</v>
      </c>
      <c r="S558" s="1" t="e">
        <f>Tabelle12[[#This Row],[ELO vorher B2]]/Tabelle12[[#This Row],[ELO B gesamt]]</f>
        <v>#N/A</v>
      </c>
      <c r="T558" s="19"/>
      <c r="U558" s="1" t="e">
        <f>1/(1+Ergebnisvorhersage!$C$5^((Q558-K558)/Ergebnisvorhersage!$C$6))</f>
        <v>#N/A</v>
      </c>
      <c r="V558" s="1" t="e">
        <f>1/(1+Ergebnisvorhersage!$C$5^((K558-Q558)/Ergebnisvorhersage!$C$6))</f>
        <v>#N/A</v>
      </c>
      <c r="W558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58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58" s="17"/>
      <c r="Z558" s="12" t="e">
        <f>Ergebnisbewertung!$C$5*(W558-U558)</f>
        <v>#N/A</v>
      </c>
      <c r="AA558" s="12" t="e">
        <f>Ergebnisbewertung!$C$5*(X558-V558)</f>
        <v>#N/A</v>
      </c>
      <c r="AB558" s="12" t="e">
        <f>IF(SIGN(Tabelle12[[#This Row],[Änderung A]])=-1,Tabelle12[[#This Row],[Änderung A]]*(Tabelle12[[#This Row],[Anteil A1]]),Tabelle12[[#This Row],[Änderung A]]*(1-Tabelle12[[#This Row],[Anteil A1]]))</f>
        <v>#N/A</v>
      </c>
      <c r="AC558" s="12" t="e">
        <f>IF(SIGN(Tabelle12[[#This Row],[Änderung A]])=-1,Tabelle12[[#This Row],[Änderung A]]*(Tabelle12[[#This Row],[Anteil A2]]),Tabelle12[[#This Row],[Änderung A]]*(1-Tabelle12[[#This Row],[Anteil A2]]))</f>
        <v>#N/A</v>
      </c>
      <c r="AD558" s="12" t="e">
        <f>IF(SIGN(Tabelle12[[#This Row],[Änderung B]])=-1,Tabelle12[[#This Row],[Änderung B]]*(Tabelle12[[#This Row],[Anteil B1]]),Tabelle12[[#This Row],[Änderung B]]*(1-Tabelle12[[#This Row],[Anteil B1]]))</f>
        <v>#N/A</v>
      </c>
      <c r="AE558" s="12" t="e">
        <f>IF(SIGN(Tabelle12[[#This Row],[Änderung B]])=-1,Tabelle12[[#This Row],[Änderung B]]*(Tabelle12[[#This Row],[Anteil B2]]),Tabelle12[[#This Row],[Änderung B]]*(1-Tabelle12[[#This Row],[Anteil B2]]))</f>
        <v>#N/A</v>
      </c>
      <c r="AF558" s="17"/>
      <c r="AG558">
        <f>IF(IFERROR(Tabelle12[[#This Row],[Änderung B2]],0)=0,0,Tabelle12[[#This Row],[Spiel]])</f>
        <v>0</v>
      </c>
      <c r="AH558" t="e">
        <f>MATCH(Tabelle12[[#This Row],[Team A]],SpielerDaten!$1:$1,0)</f>
        <v>#N/A</v>
      </c>
      <c r="AI558" t="e">
        <f>MATCH(Tabelle12[[#This Row],[Team A2]],SpielerDaten!$1:$1,0)</f>
        <v>#N/A</v>
      </c>
      <c r="AJ558" t="e">
        <f>MATCH(Tabelle12[[#This Row],[Team B]],SpielerDaten!$1:$1,0)</f>
        <v>#N/A</v>
      </c>
      <c r="AK558" t="e">
        <f>MATCH(Tabelle12[[#This Row],[Team B3]],SpielerDaten!$1:$1,0)</f>
        <v>#N/A</v>
      </c>
    </row>
    <row r="559" spans="1:37" x14ac:dyDescent="0.25">
      <c r="A559">
        <v>557</v>
      </c>
      <c r="B559">
        <f>Tabelle6[[#This Row],[player_A1]]</f>
        <v>0</v>
      </c>
      <c r="C559">
        <f>Tabelle6[[#This Row],[player_A2]]</f>
        <v>0</v>
      </c>
      <c r="D559">
        <f>Tabelle6[[#This Row],[player_B1]]</f>
        <v>0</v>
      </c>
      <c r="E559">
        <f>Tabelle6[[#This Row],[player_B2]]</f>
        <v>0</v>
      </c>
      <c r="F559">
        <f>Tabelle6[[#This Row],[Tore A]]</f>
        <v>0</v>
      </c>
      <c r="G559">
        <f>Tabelle6[[#This Row],[Tore B]]</f>
        <v>0</v>
      </c>
      <c r="H559" s="17"/>
      <c r="I559" s="1" t="e">
        <f>INDEX(Tabelle11[#All],(Tabelle12[[#This Row],[Spiel]]+13),Tabelle12[[#This Row],[ID A1]])</f>
        <v>#N/A</v>
      </c>
      <c r="J559" s="1" t="e">
        <f>INDEX(Tabelle11[#All],(Tabelle12[[#This Row],[Spiel]]+13),Tabelle12[[#This Row],[ID A2]])</f>
        <v>#N/A</v>
      </c>
      <c r="K559" s="1" t="e">
        <f>SUM(Tabelle12[[#This Row],[ELO vorher A1]:[ELO vorher A2]])</f>
        <v>#N/A</v>
      </c>
      <c r="L559" s="1" t="e">
        <f>Tabelle12[[#This Row],[ELO vorher A1]]/Tabelle12[[#This Row],[ELO A gesamt]]</f>
        <v>#N/A</v>
      </c>
      <c r="M559" s="1" t="e">
        <f>Tabelle12[[#This Row],[ELO vorher A2]]/Tabelle12[[#This Row],[ELO A gesamt]]</f>
        <v>#N/A</v>
      </c>
      <c r="N559" s="19"/>
      <c r="O559" s="1" t="e">
        <f>INDEX(Tabelle11[#All],(Tabelle12[[#This Row],[Spiel]]+13),Tabelle12[[#This Row],[ID B1]])</f>
        <v>#N/A</v>
      </c>
      <c r="P559" s="1" t="e">
        <f>INDEX(Tabelle11[#All],(Tabelle12[[#This Row],[Spiel]]+13),Tabelle12[[#This Row],[ID B2]])</f>
        <v>#N/A</v>
      </c>
      <c r="Q559" s="1" t="e">
        <f>SUM(Tabelle12[[#This Row],[ELO vorher B1]:[ELO vorher B2]])</f>
        <v>#N/A</v>
      </c>
      <c r="R559" s="1" t="e">
        <f>Tabelle12[[#This Row],[ELO vorher B1]]/Tabelle12[[#This Row],[ELO B gesamt]]</f>
        <v>#N/A</v>
      </c>
      <c r="S559" s="1" t="e">
        <f>Tabelle12[[#This Row],[ELO vorher B2]]/Tabelle12[[#This Row],[ELO B gesamt]]</f>
        <v>#N/A</v>
      </c>
      <c r="T559" s="19"/>
      <c r="U559" s="1" t="e">
        <f>1/(1+Ergebnisvorhersage!$C$5^((Q559-K559)/Ergebnisvorhersage!$C$6))</f>
        <v>#N/A</v>
      </c>
      <c r="V559" s="1" t="e">
        <f>1/(1+Ergebnisvorhersage!$C$5^((K559-Q559)/Ergebnisvorhersage!$C$6))</f>
        <v>#N/A</v>
      </c>
      <c r="W559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59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59" s="17"/>
      <c r="Z559" s="12" t="e">
        <f>Ergebnisbewertung!$C$5*(W559-U559)</f>
        <v>#N/A</v>
      </c>
      <c r="AA559" s="12" t="e">
        <f>Ergebnisbewertung!$C$5*(X559-V559)</f>
        <v>#N/A</v>
      </c>
      <c r="AB559" s="12" t="e">
        <f>IF(SIGN(Tabelle12[[#This Row],[Änderung A]])=-1,Tabelle12[[#This Row],[Änderung A]]*(Tabelle12[[#This Row],[Anteil A1]]),Tabelle12[[#This Row],[Änderung A]]*(1-Tabelle12[[#This Row],[Anteil A1]]))</f>
        <v>#N/A</v>
      </c>
      <c r="AC559" s="12" t="e">
        <f>IF(SIGN(Tabelle12[[#This Row],[Änderung A]])=-1,Tabelle12[[#This Row],[Änderung A]]*(Tabelle12[[#This Row],[Anteil A2]]),Tabelle12[[#This Row],[Änderung A]]*(1-Tabelle12[[#This Row],[Anteil A2]]))</f>
        <v>#N/A</v>
      </c>
      <c r="AD559" s="12" t="e">
        <f>IF(SIGN(Tabelle12[[#This Row],[Änderung B]])=-1,Tabelle12[[#This Row],[Änderung B]]*(Tabelle12[[#This Row],[Anteil B1]]),Tabelle12[[#This Row],[Änderung B]]*(1-Tabelle12[[#This Row],[Anteil B1]]))</f>
        <v>#N/A</v>
      </c>
      <c r="AE559" s="12" t="e">
        <f>IF(SIGN(Tabelle12[[#This Row],[Änderung B]])=-1,Tabelle12[[#This Row],[Änderung B]]*(Tabelle12[[#This Row],[Anteil B2]]),Tabelle12[[#This Row],[Änderung B]]*(1-Tabelle12[[#This Row],[Anteil B2]]))</f>
        <v>#N/A</v>
      </c>
      <c r="AF559" s="17"/>
      <c r="AG559">
        <f>IF(IFERROR(Tabelle12[[#This Row],[Änderung B2]],0)=0,0,Tabelle12[[#This Row],[Spiel]])</f>
        <v>0</v>
      </c>
      <c r="AH559" t="e">
        <f>MATCH(Tabelle12[[#This Row],[Team A]],SpielerDaten!$1:$1,0)</f>
        <v>#N/A</v>
      </c>
      <c r="AI559" t="e">
        <f>MATCH(Tabelle12[[#This Row],[Team A2]],SpielerDaten!$1:$1,0)</f>
        <v>#N/A</v>
      </c>
      <c r="AJ559" t="e">
        <f>MATCH(Tabelle12[[#This Row],[Team B]],SpielerDaten!$1:$1,0)</f>
        <v>#N/A</v>
      </c>
      <c r="AK559" t="e">
        <f>MATCH(Tabelle12[[#This Row],[Team B3]],SpielerDaten!$1:$1,0)</f>
        <v>#N/A</v>
      </c>
    </row>
    <row r="560" spans="1:37" x14ac:dyDescent="0.25">
      <c r="A560">
        <v>558</v>
      </c>
      <c r="B560">
        <f>Tabelle6[[#This Row],[player_A1]]</f>
        <v>0</v>
      </c>
      <c r="C560">
        <f>Tabelle6[[#This Row],[player_A2]]</f>
        <v>0</v>
      </c>
      <c r="D560">
        <f>Tabelle6[[#This Row],[player_B1]]</f>
        <v>0</v>
      </c>
      <c r="E560">
        <f>Tabelle6[[#This Row],[player_B2]]</f>
        <v>0</v>
      </c>
      <c r="F560">
        <f>Tabelle6[[#This Row],[Tore A]]</f>
        <v>0</v>
      </c>
      <c r="G560">
        <f>Tabelle6[[#This Row],[Tore B]]</f>
        <v>0</v>
      </c>
      <c r="H560" s="17"/>
      <c r="I560" s="1" t="e">
        <f>INDEX(Tabelle11[#All],(Tabelle12[[#This Row],[Spiel]]+13),Tabelle12[[#This Row],[ID A1]])</f>
        <v>#N/A</v>
      </c>
      <c r="J560" s="1" t="e">
        <f>INDEX(Tabelle11[#All],(Tabelle12[[#This Row],[Spiel]]+13),Tabelle12[[#This Row],[ID A2]])</f>
        <v>#N/A</v>
      </c>
      <c r="K560" s="1" t="e">
        <f>SUM(Tabelle12[[#This Row],[ELO vorher A1]:[ELO vorher A2]])</f>
        <v>#N/A</v>
      </c>
      <c r="L560" s="1" t="e">
        <f>Tabelle12[[#This Row],[ELO vorher A1]]/Tabelle12[[#This Row],[ELO A gesamt]]</f>
        <v>#N/A</v>
      </c>
      <c r="M560" s="1" t="e">
        <f>Tabelle12[[#This Row],[ELO vorher A2]]/Tabelle12[[#This Row],[ELO A gesamt]]</f>
        <v>#N/A</v>
      </c>
      <c r="N560" s="19"/>
      <c r="O560" s="1" t="e">
        <f>INDEX(Tabelle11[#All],(Tabelle12[[#This Row],[Spiel]]+13),Tabelle12[[#This Row],[ID B1]])</f>
        <v>#N/A</v>
      </c>
      <c r="P560" s="1" t="e">
        <f>INDEX(Tabelle11[#All],(Tabelle12[[#This Row],[Spiel]]+13),Tabelle12[[#This Row],[ID B2]])</f>
        <v>#N/A</v>
      </c>
      <c r="Q560" s="1" t="e">
        <f>SUM(Tabelle12[[#This Row],[ELO vorher B1]:[ELO vorher B2]])</f>
        <v>#N/A</v>
      </c>
      <c r="R560" s="1" t="e">
        <f>Tabelle12[[#This Row],[ELO vorher B1]]/Tabelle12[[#This Row],[ELO B gesamt]]</f>
        <v>#N/A</v>
      </c>
      <c r="S560" s="1" t="e">
        <f>Tabelle12[[#This Row],[ELO vorher B2]]/Tabelle12[[#This Row],[ELO B gesamt]]</f>
        <v>#N/A</v>
      </c>
      <c r="T560" s="19"/>
      <c r="U560" s="1" t="e">
        <f>1/(1+Ergebnisvorhersage!$C$5^((Q560-K560)/Ergebnisvorhersage!$C$6))</f>
        <v>#N/A</v>
      </c>
      <c r="V560" s="1" t="e">
        <f>1/(1+Ergebnisvorhersage!$C$5^((K560-Q560)/Ergebnisvorhersage!$C$6))</f>
        <v>#N/A</v>
      </c>
      <c r="W560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60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60" s="17"/>
      <c r="Z560" s="12" t="e">
        <f>Ergebnisbewertung!$C$5*(W560-U560)</f>
        <v>#N/A</v>
      </c>
      <c r="AA560" s="12" t="e">
        <f>Ergebnisbewertung!$C$5*(X560-V560)</f>
        <v>#N/A</v>
      </c>
      <c r="AB560" s="12" t="e">
        <f>IF(SIGN(Tabelle12[[#This Row],[Änderung A]])=-1,Tabelle12[[#This Row],[Änderung A]]*(Tabelle12[[#This Row],[Anteil A1]]),Tabelle12[[#This Row],[Änderung A]]*(1-Tabelle12[[#This Row],[Anteil A1]]))</f>
        <v>#N/A</v>
      </c>
      <c r="AC560" s="12" t="e">
        <f>IF(SIGN(Tabelle12[[#This Row],[Änderung A]])=-1,Tabelle12[[#This Row],[Änderung A]]*(Tabelle12[[#This Row],[Anteil A2]]),Tabelle12[[#This Row],[Änderung A]]*(1-Tabelle12[[#This Row],[Anteil A2]]))</f>
        <v>#N/A</v>
      </c>
      <c r="AD560" s="12" t="e">
        <f>IF(SIGN(Tabelle12[[#This Row],[Änderung B]])=-1,Tabelle12[[#This Row],[Änderung B]]*(Tabelle12[[#This Row],[Anteil B1]]),Tabelle12[[#This Row],[Änderung B]]*(1-Tabelle12[[#This Row],[Anteil B1]]))</f>
        <v>#N/A</v>
      </c>
      <c r="AE560" s="12" t="e">
        <f>IF(SIGN(Tabelle12[[#This Row],[Änderung B]])=-1,Tabelle12[[#This Row],[Änderung B]]*(Tabelle12[[#This Row],[Anteil B2]]),Tabelle12[[#This Row],[Änderung B]]*(1-Tabelle12[[#This Row],[Anteil B2]]))</f>
        <v>#N/A</v>
      </c>
      <c r="AF560" s="17"/>
      <c r="AG560">
        <f>IF(IFERROR(Tabelle12[[#This Row],[Änderung B2]],0)=0,0,Tabelle12[[#This Row],[Spiel]])</f>
        <v>0</v>
      </c>
      <c r="AH560" t="e">
        <f>MATCH(Tabelle12[[#This Row],[Team A]],SpielerDaten!$1:$1,0)</f>
        <v>#N/A</v>
      </c>
      <c r="AI560" t="e">
        <f>MATCH(Tabelle12[[#This Row],[Team A2]],SpielerDaten!$1:$1,0)</f>
        <v>#N/A</v>
      </c>
      <c r="AJ560" t="e">
        <f>MATCH(Tabelle12[[#This Row],[Team B]],SpielerDaten!$1:$1,0)</f>
        <v>#N/A</v>
      </c>
      <c r="AK560" t="e">
        <f>MATCH(Tabelle12[[#This Row],[Team B3]],SpielerDaten!$1:$1,0)</f>
        <v>#N/A</v>
      </c>
    </row>
    <row r="561" spans="1:37" x14ac:dyDescent="0.25">
      <c r="A561">
        <v>559</v>
      </c>
      <c r="B561">
        <f>Tabelle6[[#This Row],[player_A1]]</f>
        <v>0</v>
      </c>
      <c r="C561">
        <f>Tabelle6[[#This Row],[player_A2]]</f>
        <v>0</v>
      </c>
      <c r="D561">
        <f>Tabelle6[[#This Row],[player_B1]]</f>
        <v>0</v>
      </c>
      <c r="E561">
        <f>Tabelle6[[#This Row],[player_B2]]</f>
        <v>0</v>
      </c>
      <c r="F561">
        <f>Tabelle6[[#This Row],[Tore A]]</f>
        <v>0</v>
      </c>
      <c r="G561">
        <f>Tabelle6[[#This Row],[Tore B]]</f>
        <v>0</v>
      </c>
      <c r="H561" s="17"/>
      <c r="I561" s="1" t="e">
        <f>INDEX(Tabelle11[#All],(Tabelle12[[#This Row],[Spiel]]+13),Tabelle12[[#This Row],[ID A1]])</f>
        <v>#N/A</v>
      </c>
      <c r="J561" s="1" t="e">
        <f>INDEX(Tabelle11[#All],(Tabelle12[[#This Row],[Spiel]]+13),Tabelle12[[#This Row],[ID A2]])</f>
        <v>#N/A</v>
      </c>
      <c r="K561" s="1" t="e">
        <f>SUM(Tabelle12[[#This Row],[ELO vorher A1]:[ELO vorher A2]])</f>
        <v>#N/A</v>
      </c>
      <c r="L561" s="1" t="e">
        <f>Tabelle12[[#This Row],[ELO vorher A1]]/Tabelle12[[#This Row],[ELO A gesamt]]</f>
        <v>#N/A</v>
      </c>
      <c r="M561" s="1" t="e">
        <f>Tabelle12[[#This Row],[ELO vorher A2]]/Tabelle12[[#This Row],[ELO A gesamt]]</f>
        <v>#N/A</v>
      </c>
      <c r="N561" s="19"/>
      <c r="O561" s="1" t="e">
        <f>INDEX(Tabelle11[#All],(Tabelle12[[#This Row],[Spiel]]+13),Tabelle12[[#This Row],[ID B1]])</f>
        <v>#N/A</v>
      </c>
      <c r="P561" s="1" t="e">
        <f>INDEX(Tabelle11[#All],(Tabelle12[[#This Row],[Spiel]]+13),Tabelle12[[#This Row],[ID B2]])</f>
        <v>#N/A</v>
      </c>
      <c r="Q561" s="1" t="e">
        <f>SUM(Tabelle12[[#This Row],[ELO vorher B1]:[ELO vorher B2]])</f>
        <v>#N/A</v>
      </c>
      <c r="R561" s="1" t="e">
        <f>Tabelle12[[#This Row],[ELO vorher B1]]/Tabelle12[[#This Row],[ELO B gesamt]]</f>
        <v>#N/A</v>
      </c>
      <c r="S561" s="1" t="e">
        <f>Tabelle12[[#This Row],[ELO vorher B2]]/Tabelle12[[#This Row],[ELO B gesamt]]</f>
        <v>#N/A</v>
      </c>
      <c r="T561" s="19"/>
      <c r="U561" s="1" t="e">
        <f>1/(1+Ergebnisvorhersage!$C$5^((Q561-K561)/Ergebnisvorhersage!$C$6))</f>
        <v>#N/A</v>
      </c>
      <c r="V561" s="1" t="e">
        <f>1/(1+Ergebnisvorhersage!$C$5^((K561-Q561)/Ergebnisvorhersage!$C$6))</f>
        <v>#N/A</v>
      </c>
      <c r="W561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61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61" s="17"/>
      <c r="Z561" s="12" t="e">
        <f>Ergebnisbewertung!$C$5*(W561-U561)</f>
        <v>#N/A</v>
      </c>
      <c r="AA561" s="12" t="e">
        <f>Ergebnisbewertung!$C$5*(X561-V561)</f>
        <v>#N/A</v>
      </c>
      <c r="AB561" s="12" t="e">
        <f>IF(SIGN(Tabelle12[[#This Row],[Änderung A]])=-1,Tabelle12[[#This Row],[Änderung A]]*(Tabelle12[[#This Row],[Anteil A1]]),Tabelle12[[#This Row],[Änderung A]]*(1-Tabelle12[[#This Row],[Anteil A1]]))</f>
        <v>#N/A</v>
      </c>
      <c r="AC561" s="12" t="e">
        <f>IF(SIGN(Tabelle12[[#This Row],[Änderung A]])=-1,Tabelle12[[#This Row],[Änderung A]]*(Tabelle12[[#This Row],[Anteil A2]]),Tabelle12[[#This Row],[Änderung A]]*(1-Tabelle12[[#This Row],[Anteil A2]]))</f>
        <v>#N/A</v>
      </c>
      <c r="AD561" s="12" t="e">
        <f>IF(SIGN(Tabelle12[[#This Row],[Änderung B]])=-1,Tabelle12[[#This Row],[Änderung B]]*(Tabelle12[[#This Row],[Anteil B1]]),Tabelle12[[#This Row],[Änderung B]]*(1-Tabelle12[[#This Row],[Anteil B1]]))</f>
        <v>#N/A</v>
      </c>
      <c r="AE561" s="12" t="e">
        <f>IF(SIGN(Tabelle12[[#This Row],[Änderung B]])=-1,Tabelle12[[#This Row],[Änderung B]]*(Tabelle12[[#This Row],[Anteil B2]]),Tabelle12[[#This Row],[Änderung B]]*(1-Tabelle12[[#This Row],[Anteil B2]]))</f>
        <v>#N/A</v>
      </c>
      <c r="AF561" s="17"/>
      <c r="AG561">
        <f>IF(IFERROR(Tabelle12[[#This Row],[Änderung B2]],0)=0,0,Tabelle12[[#This Row],[Spiel]])</f>
        <v>0</v>
      </c>
      <c r="AH561" t="e">
        <f>MATCH(Tabelle12[[#This Row],[Team A]],SpielerDaten!$1:$1,0)</f>
        <v>#N/A</v>
      </c>
      <c r="AI561" t="e">
        <f>MATCH(Tabelle12[[#This Row],[Team A2]],SpielerDaten!$1:$1,0)</f>
        <v>#N/A</v>
      </c>
      <c r="AJ561" t="e">
        <f>MATCH(Tabelle12[[#This Row],[Team B]],SpielerDaten!$1:$1,0)</f>
        <v>#N/A</v>
      </c>
      <c r="AK561" t="e">
        <f>MATCH(Tabelle12[[#This Row],[Team B3]],SpielerDaten!$1:$1,0)</f>
        <v>#N/A</v>
      </c>
    </row>
    <row r="562" spans="1:37" x14ac:dyDescent="0.25">
      <c r="A562">
        <v>560</v>
      </c>
      <c r="B562">
        <f>Tabelle6[[#This Row],[player_A1]]</f>
        <v>0</v>
      </c>
      <c r="C562">
        <f>Tabelle6[[#This Row],[player_A2]]</f>
        <v>0</v>
      </c>
      <c r="D562">
        <f>Tabelle6[[#This Row],[player_B1]]</f>
        <v>0</v>
      </c>
      <c r="E562">
        <f>Tabelle6[[#This Row],[player_B2]]</f>
        <v>0</v>
      </c>
      <c r="F562">
        <f>Tabelle6[[#This Row],[Tore A]]</f>
        <v>0</v>
      </c>
      <c r="G562">
        <f>Tabelle6[[#This Row],[Tore B]]</f>
        <v>0</v>
      </c>
      <c r="H562" s="17"/>
      <c r="I562" s="1" t="e">
        <f>INDEX(Tabelle11[#All],(Tabelle12[[#This Row],[Spiel]]+13),Tabelle12[[#This Row],[ID A1]])</f>
        <v>#N/A</v>
      </c>
      <c r="J562" s="1" t="e">
        <f>INDEX(Tabelle11[#All],(Tabelle12[[#This Row],[Spiel]]+13),Tabelle12[[#This Row],[ID A2]])</f>
        <v>#N/A</v>
      </c>
      <c r="K562" s="1" t="e">
        <f>SUM(Tabelle12[[#This Row],[ELO vorher A1]:[ELO vorher A2]])</f>
        <v>#N/A</v>
      </c>
      <c r="L562" s="1" t="e">
        <f>Tabelle12[[#This Row],[ELO vorher A1]]/Tabelle12[[#This Row],[ELO A gesamt]]</f>
        <v>#N/A</v>
      </c>
      <c r="M562" s="1" t="e">
        <f>Tabelle12[[#This Row],[ELO vorher A2]]/Tabelle12[[#This Row],[ELO A gesamt]]</f>
        <v>#N/A</v>
      </c>
      <c r="N562" s="19"/>
      <c r="O562" s="1" t="e">
        <f>INDEX(Tabelle11[#All],(Tabelle12[[#This Row],[Spiel]]+13),Tabelle12[[#This Row],[ID B1]])</f>
        <v>#N/A</v>
      </c>
      <c r="P562" s="1" t="e">
        <f>INDEX(Tabelle11[#All],(Tabelle12[[#This Row],[Spiel]]+13),Tabelle12[[#This Row],[ID B2]])</f>
        <v>#N/A</v>
      </c>
      <c r="Q562" s="1" t="e">
        <f>SUM(Tabelle12[[#This Row],[ELO vorher B1]:[ELO vorher B2]])</f>
        <v>#N/A</v>
      </c>
      <c r="R562" s="1" t="e">
        <f>Tabelle12[[#This Row],[ELO vorher B1]]/Tabelle12[[#This Row],[ELO B gesamt]]</f>
        <v>#N/A</v>
      </c>
      <c r="S562" s="1" t="e">
        <f>Tabelle12[[#This Row],[ELO vorher B2]]/Tabelle12[[#This Row],[ELO B gesamt]]</f>
        <v>#N/A</v>
      </c>
      <c r="T562" s="19"/>
      <c r="U562" s="1" t="e">
        <f>1/(1+Ergebnisvorhersage!$C$5^((Q562-K562)/Ergebnisvorhersage!$C$6))</f>
        <v>#N/A</v>
      </c>
      <c r="V562" s="1" t="e">
        <f>1/(1+Ergebnisvorhersage!$C$5^((K562-Q562)/Ergebnisvorhersage!$C$6))</f>
        <v>#N/A</v>
      </c>
      <c r="W562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62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62" s="17"/>
      <c r="Z562" s="12" t="e">
        <f>Ergebnisbewertung!$C$5*(W562-U562)</f>
        <v>#N/A</v>
      </c>
      <c r="AA562" s="12" t="e">
        <f>Ergebnisbewertung!$C$5*(X562-V562)</f>
        <v>#N/A</v>
      </c>
      <c r="AB562" s="12" t="e">
        <f>IF(SIGN(Tabelle12[[#This Row],[Änderung A]])=-1,Tabelle12[[#This Row],[Änderung A]]*(Tabelle12[[#This Row],[Anteil A1]]),Tabelle12[[#This Row],[Änderung A]]*(1-Tabelle12[[#This Row],[Anteil A1]]))</f>
        <v>#N/A</v>
      </c>
      <c r="AC562" s="12" t="e">
        <f>IF(SIGN(Tabelle12[[#This Row],[Änderung A]])=-1,Tabelle12[[#This Row],[Änderung A]]*(Tabelle12[[#This Row],[Anteil A2]]),Tabelle12[[#This Row],[Änderung A]]*(1-Tabelle12[[#This Row],[Anteil A2]]))</f>
        <v>#N/A</v>
      </c>
      <c r="AD562" s="12" t="e">
        <f>IF(SIGN(Tabelle12[[#This Row],[Änderung B]])=-1,Tabelle12[[#This Row],[Änderung B]]*(Tabelle12[[#This Row],[Anteil B1]]),Tabelle12[[#This Row],[Änderung B]]*(1-Tabelle12[[#This Row],[Anteil B1]]))</f>
        <v>#N/A</v>
      </c>
      <c r="AE562" s="12" t="e">
        <f>IF(SIGN(Tabelle12[[#This Row],[Änderung B]])=-1,Tabelle12[[#This Row],[Änderung B]]*(Tabelle12[[#This Row],[Anteil B2]]),Tabelle12[[#This Row],[Änderung B]]*(1-Tabelle12[[#This Row],[Anteil B2]]))</f>
        <v>#N/A</v>
      </c>
      <c r="AF562" s="17"/>
      <c r="AG562">
        <f>IF(IFERROR(Tabelle12[[#This Row],[Änderung B2]],0)=0,0,Tabelle12[[#This Row],[Spiel]])</f>
        <v>0</v>
      </c>
      <c r="AH562" t="e">
        <f>MATCH(Tabelle12[[#This Row],[Team A]],SpielerDaten!$1:$1,0)</f>
        <v>#N/A</v>
      </c>
      <c r="AI562" t="e">
        <f>MATCH(Tabelle12[[#This Row],[Team A2]],SpielerDaten!$1:$1,0)</f>
        <v>#N/A</v>
      </c>
      <c r="AJ562" t="e">
        <f>MATCH(Tabelle12[[#This Row],[Team B]],SpielerDaten!$1:$1,0)</f>
        <v>#N/A</v>
      </c>
      <c r="AK562" t="e">
        <f>MATCH(Tabelle12[[#This Row],[Team B3]],SpielerDaten!$1:$1,0)</f>
        <v>#N/A</v>
      </c>
    </row>
    <row r="563" spans="1:37" x14ac:dyDescent="0.25">
      <c r="A563">
        <v>561</v>
      </c>
      <c r="B563">
        <f>Tabelle6[[#This Row],[player_A1]]</f>
        <v>0</v>
      </c>
      <c r="C563">
        <f>Tabelle6[[#This Row],[player_A2]]</f>
        <v>0</v>
      </c>
      <c r="D563">
        <f>Tabelle6[[#This Row],[player_B1]]</f>
        <v>0</v>
      </c>
      <c r="E563">
        <f>Tabelle6[[#This Row],[player_B2]]</f>
        <v>0</v>
      </c>
      <c r="F563">
        <f>Tabelle6[[#This Row],[Tore A]]</f>
        <v>0</v>
      </c>
      <c r="G563">
        <f>Tabelle6[[#This Row],[Tore B]]</f>
        <v>0</v>
      </c>
      <c r="H563" s="17"/>
      <c r="I563" s="1" t="e">
        <f>INDEX(Tabelle11[#All],(Tabelle12[[#This Row],[Spiel]]+13),Tabelle12[[#This Row],[ID A1]])</f>
        <v>#N/A</v>
      </c>
      <c r="J563" s="1" t="e">
        <f>INDEX(Tabelle11[#All],(Tabelle12[[#This Row],[Spiel]]+13),Tabelle12[[#This Row],[ID A2]])</f>
        <v>#N/A</v>
      </c>
      <c r="K563" s="1" t="e">
        <f>SUM(Tabelle12[[#This Row],[ELO vorher A1]:[ELO vorher A2]])</f>
        <v>#N/A</v>
      </c>
      <c r="L563" s="1" t="e">
        <f>Tabelle12[[#This Row],[ELO vorher A1]]/Tabelle12[[#This Row],[ELO A gesamt]]</f>
        <v>#N/A</v>
      </c>
      <c r="M563" s="1" t="e">
        <f>Tabelle12[[#This Row],[ELO vorher A2]]/Tabelle12[[#This Row],[ELO A gesamt]]</f>
        <v>#N/A</v>
      </c>
      <c r="N563" s="19"/>
      <c r="O563" s="1" t="e">
        <f>INDEX(Tabelle11[#All],(Tabelle12[[#This Row],[Spiel]]+13),Tabelle12[[#This Row],[ID B1]])</f>
        <v>#N/A</v>
      </c>
      <c r="P563" s="1" t="e">
        <f>INDEX(Tabelle11[#All],(Tabelle12[[#This Row],[Spiel]]+13),Tabelle12[[#This Row],[ID B2]])</f>
        <v>#N/A</v>
      </c>
      <c r="Q563" s="1" t="e">
        <f>SUM(Tabelle12[[#This Row],[ELO vorher B1]:[ELO vorher B2]])</f>
        <v>#N/A</v>
      </c>
      <c r="R563" s="1" t="e">
        <f>Tabelle12[[#This Row],[ELO vorher B1]]/Tabelle12[[#This Row],[ELO B gesamt]]</f>
        <v>#N/A</v>
      </c>
      <c r="S563" s="1" t="e">
        <f>Tabelle12[[#This Row],[ELO vorher B2]]/Tabelle12[[#This Row],[ELO B gesamt]]</f>
        <v>#N/A</v>
      </c>
      <c r="T563" s="19"/>
      <c r="U563" s="1" t="e">
        <f>1/(1+Ergebnisvorhersage!$C$5^((Q563-K563)/Ergebnisvorhersage!$C$6))</f>
        <v>#N/A</v>
      </c>
      <c r="V563" s="1" t="e">
        <f>1/(1+Ergebnisvorhersage!$C$5^((K563-Q563)/Ergebnisvorhersage!$C$6))</f>
        <v>#N/A</v>
      </c>
      <c r="W563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63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63" s="17"/>
      <c r="Z563" s="12" t="e">
        <f>Ergebnisbewertung!$C$5*(W563-U563)</f>
        <v>#N/A</v>
      </c>
      <c r="AA563" s="12" t="e">
        <f>Ergebnisbewertung!$C$5*(X563-V563)</f>
        <v>#N/A</v>
      </c>
      <c r="AB563" s="12" t="e">
        <f>IF(SIGN(Tabelle12[[#This Row],[Änderung A]])=-1,Tabelle12[[#This Row],[Änderung A]]*(Tabelle12[[#This Row],[Anteil A1]]),Tabelle12[[#This Row],[Änderung A]]*(1-Tabelle12[[#This Row],[Anteil A1]]))</f>
        <v>#N/A</v>
      </c>
      <c r="AC563" s="12" t="e">
        <f>IF(SIGN(Tabelle12[[#This Row],[Änderung A]])=-1,Tabelle12[[#This Row],[Änderung A]]*(Tabelle12[[#This Row],[Anteil A2]]),Tabelle12[[#This Row],[Änderung A]]*(1-Tabelle12[[#This Row],[Anteil A2]]))</f>
        <v>#N/A</v>
      </c>
      <c r="AD563" s="12" t="e">
        <f>IF(SIGN(Tabelle12[[#This Row],[Änderung B]])=-1,Tabelle12[[#This Row],[Änderung B]]*(Tabelle12[[#This Row],[Anteil B1]]),Tabelle12[[#This Row],[Änderung B]]*(1-Tabelle12[[#This Row],[Anteil B1]]))</f>
        <v>#N/A</v>
      </c>
      <c r="AE563" s="12" t="e">
        <f>IF(SIGN(Tabelle12[[#This Row],[Änderung B]])=-1,Tabelle12[[#This Row],[Änderung B]]*(Tabelle12[[#This Row],[Anteil B2]]),Tabelle12[[#This Row],[Änderung B]]*(1-Tabelle12[[#This Row],[Anteil B2]]))</f>
        <v>#N/A</v>
      </c>
      <c r="AF563" s="17"/>
      <c r="AG563">
        <f>IF(IFERROR(Tabelle12[[#This Row],[Änderung B2]],0)=0,0,Tabelle12[[#This Row],[Spiel]])</f>
        <v>0</v>
      </c>
      <c r="AH563" t="e">
        <f>MATCH(Tabelle12[[#This Row],[Team A]],SpielerDaten!$1:$1,0)</f>
        <v>#N/A</v>
      </c>
      <c r="AI563" t="e">
        <f>MATCH(Tabelle12[[#This Row],[Team A2]],SpielerDaten!$1:$1,0)</f>
        <v>#N/A</v>
      </c>
      <c r="AJ563" t="e">
        <f>MATCH(Tabelle12[[#This Row],[Team B]],SpielerDaten!$1:$1,0)</f>
        <v>#N/A</v>
      </c>
      <c r="AK563" t="e">
        <f>MATCH(Tabelle12[[#This Row],[Team B3]],SpielerDaten!$1:$1,0)</f>
        <v>#N/A</v>
      </c>
    </row>
    <row r="564" spans="1:37" x14ac:dyDescent="0.25">
      <c r="A564">
        <v>562</v>
      </c>
      <c r="B564">
        <f>Tabelle6[[#This Row],[player_A1]]</f>
        <v>0</v>
      </c>
      <c r="C564">
        <f>Tabelle6[[#This Row],[player_A2]]</f>
        <v>0</v>
      </c>
      <c r="D564">
        <f>Tabelle6[[#This Row],[player_B1]]</f>
        <v>0</v>
      </c>
      <c r="E564">
        <f>Tabelle6[[#This Row],[player_B2]]</f>
        <v>0</v>
      </c>
      <c r="F564">
        <f>Tabelle6[[#This Row],[Tore A]]</f>
        <v>0</v>
      </c>
      <c r="G564">
        <f>Tabelle6[[#This Row],[Tore B]]</f>
        <v>0</v>
      </c>
      <c r="H564" s="17"/>
      <c r="I564" s="1" t="e">
        <f>INDEX(Tabelle11[#All],(Tabelle12[[#This Row],[Spiel]]+13),Tabelle12[[#This Row],[ID A1]])</f>
        <v>#N/A</v>
      </c>
      <c r="J564" s="1" t="e">
        <f>INDEX(Tabelle11[#All],(Tabelle12[[#This Row],[Spiel]]+13),Tabelle12[[#This Row],[ID A2]])</f>
        <v>#N/A</v>
      </c>
      <c r="K564" s="1" t="e">
        <f>SUM(Tabelle12[[#This Row],[ELO vorher A1]:[ELO vorher A2]])</f>
        <v>#N/A</v>
      </c>
      <c r="L564" s="1" t="e">
        <f>Tabelle12[[#This Row],[ELO vorher A1]]/Tabelle12[[#This Row],[ELO A gesamt]]</f>
        <v>#N/A</v>
      </c>
      <c r="M564" s="1" t="e">
        <f>Tabelle12[[#This Row],[ELO vorher A2]]/Tabelle12[[#This Row],[ELO A gesamt]]</f>
        <v>#N/A</v>
      </c>
      <c r="N564" s="19"/>
      <c r="O564" s="1" t="e">
        <f>INDEX(Tabelle11[#All],(Tabelle12[[#This Row],[Spiel]]+13),Tabelle12[[#This Row],[ID B1]])</f>
        <v>#N/A</v>
      </c>
      <c r="P564" s="1" t="e">
        <f>INDEX(Tabelle11[#All],(Tabelle12[[#This Row],[Spiel]]+13),Tabelle12[[#This Row],[ID B2]])</f>
        <v>#N/A</v>
      </c>
      <c r="Q564" s="1" t="e">
        <f>SUM(Tabelle12[[#This Row],[ELO vorher B1]:[ELO vorher B2]])</f>
        <v>#N/A</v>
      </c>
      <c r="R564" s="1" t="e">
        <f>Tabelle12[[#This Row],[ELO vorher B1]]/Tabelle12[[#This Row],[ELO B gesamt]]</f>
        <v>#N/A</v>
      </c>
      <c r="S564" s="1" t="e">
        <f>Tabelle12[[#This Row],[ELO vorher B2]]/Tabelle12[[#This Row],[ELO B gesamt]]</f>
        <v>#N/A</v>
      </c>
      <c r="T564" s="19"/>
      <c r="U564" s="1" t="e">
        <f>1/(1+Ergebnisvorhersage!$C$5^((Q564-K564)/Ergebnisvorhersage!$C$6))</f>
        <v>#N/A</v>
      </c>
      <c r="V564" s="1" t="e">
        <f>1/(1+Ergebnisvorhersage!$C$5^((K564-Q564)/Ergebnisvorhersage!$C$6))</f>
        <v>#N/A</v>
      </c>
      <c r="W564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64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64" s="17"/>
      <c r="Z564" s="12" t="e">
        <f>Ergebnisbewertung!$C$5*(W564-U564)</f>
        <v>#N/A</v>
      </c>
      <c r="AA564" s="12" t="e">
        <f>Ergebnisbewertung!$C$5*(X564-V564)</f>
        <v>#N/A</v>
      </c>
      <c r="AB564" s="12" t="e">
        <f>IF(SIGN(Tabelle12[[#This Row],[Änderung A]])=-1,Tabelle12[[#This Row],[Änderung A]]*(Tabelle12[[#This Row],[Anteil A1]]),Tabelle12[[#This Row],[Änderung A]]*(1-Tabelle12[[#This Row],[Anteil A1]]))</f>
        <v>#N/A</v>
      </c>
      <c r="AC564" s="12" t="e">
        <f>IF(SIGN(Tabelle12[[#This Row],[Änderung A]])=-1,Tabelle12[[#This Row],[Änderung A]]*(Tabelle12[[#This Row],[Anteil A2]]),Tabelle12[[#This Row],[Änderung A]]*(1-Tabelle12[[#This Row],[Anteil A2]]))</f>
        <v>#N/A</v>
      </c>
      <c r="AD564" s="12" t="e">
        <f>IF(SIGN(Tabelle12[[#This Row],[Änderung B]])=-1,Tabelle12[[#This Row],[Änderung B]]*(Tabelle12[[#This Row],[Anteil B1]]),Tabelle12[[#This Row],[Änderung B]]*(1-Tabelle12[[#This Row],[Anteil B1]]))</f>
        <v>#N/A</v>
      </c>
      <c r="AE564" s="12" t="e">
        <f>IF(SIGN(Tabelle12[[#This Row],[Änderung B]])=-1,Tabelle12[[#This Row],[Änderung B]]*(Tabelle12[[#This Row],[Anteil B2]]),Tabelle12[[#This Row],[Änderung B]]*(1-Tabelle12[[#This Row],[Anteil B2]]))</f>
        <v>#N/A</v>
      </c>
      <c r="AF564" s="17"/>
      <c r="AG564">
        <f>IF(IFERROR(Tabelle12[[#This Row],[Änderung B2]],0)=0,0,Tabelle12[[#This Row],[Spiel]])</f>
        <v>0</v>
      </c>
      <c r="AH564" t="e">
        <f>MATCH(Tabelle12[[#This Row],[Team A]],SpielerDaten!$1:$1,0)</f>
        <v>#N/A</v>
      </c>
      <c r="AI564" t="e">
        <f>MATCH(Tabelle12[[#This Row],[Team A2]],SpielerDaten!$1:$1,0)</f>
        <v>#N/A</v>
      </c>
      <c r="AJ564" t="e">
        <f>MATCH(Tabelle12[[#This Row],[Team B]],SpielerDaten!$1:$1,0)</f>
        <v>#N/A</v>
      </c>
      <c r="AK564" t="e">
        <f>MATCH(Tabelle12[[#This Row],[Team B3]],SpielerDaten!$1:$1,0)</f>
        <v>#N/A</v>
      </c>
    </row>
    <row r="565" spans="1:37" x14ac:dyDescent="0.25">
      <c r="A565">
        <v>563</v>
      </c>
      <c r="B565">
        <f>Tabelle6[[#This Row],[player_A1]]</f>
        <v>0</v>
      </c>
      <c r="C565">
        <f>Tabelle6[[#This Row],[player_A2]]</f>
        <v>0</v>
      </c>
      <c r="D565">
        <f>Tabelle6[[#This Row],[player_B1]]</f>
        <v>0</v>
      </c>
      <c r="E565">
        <f>Tabelle6[[#This Row],[player_B2]]</f>
        <v>0</v>
      </c>
      <c r="F565">
        <f>Tabelle6[[#This Row],[Tore A]]</f>
        <v>0</v>
      </c>
      <c r="G565">
        <f>Tabelle6[[#This Row],[Tore B]]</f>
        <v>0</v>
      </c>
      <c r="H565" s="17"/>
      <c r="I565" s="1" t="e">
        <f>INDEX(Tabelle11[#All],(Tabelle12[[#This Row],[Spiel]]+13),Tabelle12[[#This Row],[ID A1]])</f>
        <v>#N/A</v>
      </c>
      <c r="J565" s="1" t="e">
        <f>INDEX(Tabelle11[#All],(Tabelle12[[#This Row],[Spiel]]+13),Tabelle12[[#This Row],[ID A2]])</f>
        <v>#N/A</v>
      </c>
      <c r="K565" s="1" t="e">
        <f>SUM(Tabelle12[[#This Row],[ELO vorher A1]:[ELO vorher A2]])</f>
        <v>#N/A</v>
      </c>
      <c r="L565" s="1" t="e">
        <f>Tabelle12[[#This Row],[ELO vorher A1]]/Tabelle12[[#This Row],[ELO A gesamt]]</f>
        <v>#N/A</v>
      </c>
      <c r="M565" s="1" t="e">
        <f>Tabelle12[[#This Row],[ELO vorher A2]]/Tabelle12[[#This Row],[ELO A gesamt]]</f>
        <v>#N/A</v>
      </c>
      <c r="N565" s="19"/>
      <c r="O565" s="1" t="e">
        <f>INDEX(Tabelle11[#All],(Tabelle12[[#This Row],[Spiel]]+13),Tabelle12[[#This Row],[ID B1]])</f>
        <v>#N/A</v>
      </c>
      <c r="P565" s="1" t="e">
        <f>INDEX(Tabelle11[#All],(Tabelle12[[#This Row],[Spiel]]+13),Tabelle12[[#This Row],[ID B2]])</f>
        <v>#N/A</v>
      </c>
      <c r="Q565" s="1" t="e">
        <f>SUM(Tabelle12[[#This Row],[ELO vorher B1]:[ELO vorher B2]])</f>
        <v>#N/A</v>
      </c>
      <c r="R565" s="1" t="e">
        <f>Tabelle12[[#This Row],[ELO vorher B1]]/Tabelle12[[#This Row],[ELO B gesamt]]</f>
        <v>#N/A</v>
      </c>
      <c r="S565" s="1" t="e">
        <f>Tabelle12[[#This Row],[ELO vorher B2]]/Tabelle12[[#This Row],[ELO B gesamt]]</f>
        <v>#N/A</v>
      </c>
      <c r="T565" s="19"/>
      <c r="U565" s="1" t="e">
        <f>1/(1+Ergebnisvorhersage!$C$5^((Q565-K565)/Ergebnisvorhersage!$C$6))</f>
        <v>#N/A</v>
      </c>
      <c r="V565" s="1" t="e">
        <f>1/(1+Ergebnisvorhersage!$C$5^((K565-Q565)/Ergebnisvorhersage!$C$6))</f>
        <v>#N/A</v>
      </c>
      <c r="W565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65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65" s="17"/>
      <c r="Z565" s="12" t="e">
        <f>Ergebnisbewertung!$C$5*(W565-U565)</f>
        <v>#N/A</v>
      </c>
      <c r="AA565" s="12" t="e">
        <f>Ergebnisbewertung!$C$5*(X565-V565)</f>
        <v>#N/A</v>
      </c>
      <c r="AB565" s="12" t="e">
        <f>IF(SIGN(Tabelle12[[#This Row],[Änderung A]])=-1,Tabelle12[[#This Row],[Änderung A]]*(Tabelle12[[#This Row],[Anteil A1]]),Tabelle12[[#This Row],[Änderung A]]*(1-Tabelle12[[#This Row],[Anteil A1]]))</f>
        <v>#N/A</v>
      </c>
      <c r="AC565" s="12" t="e">
        <f>IF(SIGN(Tabelle12[[#This Row],[Änderung A]])=-1,Tabelle12[[#This Row],[Änderung A]]*(Tabelle12[[#This Row],[Anteil A2]]),Tabelle12[[#This Row],[Änderung A]]*(1-Tabelle12[[#This Row],[Anteil A2]]))</f>
        <v>#N/A</v>
      </c>
      <c r="AD565" s="12" t="e">
        <f>IF(SIGN(Tabelle12[[#This Row],[Änderung B]])=-1,Tabelle12[[#This Row],[Änderung B]]*(Tabelle12[[#This Row],[Anteil B1]]),Tabelle12[[#This Row],[Änderung B]]*(1-Tabelle12[[#This Row],[Anteil B1]]))</f>
        <v>#N/A</v>
      </c>
      <c r="AE565" s="12" t="e">
        <f>IF(SIGN(Tabelle12[[#This Row],[Änderung B]])=-1,Tabelle12[[#This Row],[Änderung B]]*(Tabelle12[[#This Row],[Anteil B2]]),Tabelle12[[#This Row],[Änderung B]]*(1-Tabelle12[[#This Row],[Anteil B2]]))</f>
        <v>#N/A</v>
      </c>
      <c r="AF565" s="17"/>
      <c r="AG565">
        <f>IF(IFERROR(Tabelle12[[#This Row],[Änderung B2]],0)=0,0,Tabelle12[[#This Row],[Spiel]])</f>
        <v>0</v>
      </c>
      <c r="AH565" t="e">
        <f>MATCH(Tabelle12[[#This Row],[Team A]],SpielerDaten!$1:$1,0)</f>
        <v>#N/A</v>
      </c>
      <c r="AI565" t="e">
        <f>MATCH(Tabelle12[[#This Row],[Team A2]],SpielerDaten!$1:$1,0)</f>
        <v>#N/A</v>
      </c>
      <c r="AJ565" t="e">
        <f>MATCH(Tabelle12[[#This Row],[Team B]],SpielerDaten!$1:$1,0)</f>
        <v>#N/A</v>
      </c>
      <c r="AK565" t="e">
        <f>MATCH(Tabelle12[[#This Row],[Team B3]],SpielerDaten!$1:$1,0)</f>
        <v>#N/A</v>
      </c>
    </row>
    <row r="566" spans="1:37" x14ac:dyDescent="0.25">
      <c r="A566">
        <v>564</v>
      </c>
      <c r="B566">
        <f>Tabelle6[[#This Row],[player_A1]]</f>
        <v>0</v>
      </c>
      <c r="C566">
        <f>Tabelle6[[#This Row],[player_A2]]</f>
        <v>0</v>
      </c>
      <c r="D566">
        <f>Tabelle6[[#This Row],[player_B1]]</f>
        <v>0</v>
      </c>
      <c r="E566">
        <f>Tabelle6[[#This Row],[player_B2]]</f>
        <v>0</v>
      </c>
      <c r="F566">
        <f>Tabelle6[[#This Row],[Tore A]]</f>
        <v>0</v>
      </c>
      <c r="G566">
        <f>Tabelle6[[#This Row],[Tore B]]</f>
        <v>0</v>
      </c>
      <c r="H566" s="17"/>
      <c r="I566" s="1" t="e">
        <f>INDEX(Tabelle11[#All],(Tabelle12[[#This Row],[Spiel]]+13),Tabelle12[[#This Row],[ID A1]])</f>
        <v>#N/A</v>
      </c>
      <c r="J566" s="1" t="e">
        <f>INDEX(Tabelle11[#All],(Tabelle12[[#This Row],[Spiel]]+13),Tabelle12[[#This Row],[ID A2]])</f>
        <v>#N/A</v>
      </c>
      <c r="K566" s="1" t="e">
        <f>SUM(Tabelle12[[#This Row],[ELO vorher A1]:[ELO vorher A2]])</f>
        <v>#N/A</v>
      </c>
      <c r="L566" s="1" t="e">
        <f>Tabelle12[[#This Row],[ELO vorher A1]]/Tabelle12[[#This Row],[ELO A gesamt]]</f>
        <v>#N/A</v>
      </c>
      <c r="M566" s="1" t="e">
        <f>Tabelle12[[#This Row],[ELO vorher A2]]/Tabelle12[[#This Row],[ELO A gesamt]]</f>
        <v>#N/A</v>
      </c>
      <c r="N566" s="19"/>
      <c r="O566" s="1" t="e">
        <f>INDEX(Tabelle11[#All],(Tabelle12[[#This Row],[Spiel]]+13),Tabelle12[[#This Row],[ID B1]])</f>
        <v>#N/A</v>
      </c>
      <c r="P566" s="1" t="e">
        <f>INDEX(Tabelle11[#All],(Tabelle12[[#This Row],[Spiel]]+13),Tabelle12[[#This Row],[ID B2]])</f>
        <v>#N/A</v>
      </c>
      <c r="Q566" s="1" t="e">
        <f>SUM(Tabelle12[[#This Row],[ELO vorher B1]:[ELO vorher B2]])</f>
        <v>#N/A</v>
      </c>
      <c r="R566" s="1" t="e">
        <f>Tabelle12[[#This Row],[ELO vorher B1]]/Tabelle12[[#This Row],[ELO B gesamt]]</f>
        <v>#N/A</v>
      </c>
      <c r="S566" s="1" t="e">
        <f>Tabelle12[[#This Row],[ELO vorher B2]]/Tabelle12[[#This Row],[ELO B gesamt]]</f>
        <v>#N/A</v>
      </c>
      <c r="T566" s="19"/>
      <c r="U566" s="1" t="e">
        <f>1/(1+Ergebnisvorhersage!$C$5^((Q566-K566)/Ergebnisvorhersage!$C$6))</f>
        <v>#N/A</v>
      </c>
      <c r="V566" s="1" t="e">
        <f>1/(1+Ergebnisvorhersage!$C$5^((K566-Q566)/Ergebnisvorhersage!$C$6))</f>
        <v>#N/A</v>
      </c>
      <c r="W566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66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66" s="17"/>
      <c r="Z566" s="12" t="e">
        <f>Ergebnisbewertung!$C$5*(W566-U566)</f>
        <v>#N/A</v>
      </c>
      <c r="AA566" s="12" t="e">
        <f>Ergebnisbewertung!$C$5*(X566-V566)</f>
        <v>#N/A</v>
      </c>
      <c r="AB566" s="12" t="e">
        <f>IF(SIGN(Tabelle12[[#This Row],[Änderung A]])=-1,Tabelle12[[#This Row],[Änderung A]]*(Tabelle12[[#This Row],[Anteil A1]]),Tabelle12[[#This Row],[Änderung A]]*(1-Tabelle12[[#This Row],[Anteil A1]]))</f>
        <v>#N/A</v>
      </c>
      <c r="AC566" s="12" t="e">
        <f>IF(SIGN(Tabelle12[[#This Row],[Änderung A]])=-1,Tabelle12[[#This Row],[Änderung A]]*(Tabelle12[[#This Row],[Anteil A2]]),Tabelle12[[#This Row],[Änderung A]]*(1-Tabelle12[[#This Row],[Anteil A2]]))</f>
        <v>#N/A</v>
      </c>
      <c r="AD566" s="12" t="e">
        <f>IF(SIGN(Tabelle12[[#This Row],[Änderung B]])=-1,Tabelle12[[#This Row],[Änderung B]]*(Tabelle12[[#This Row],[Anteil B1]]),Tabelle12[[#This Row],[Änderung B]]*(1-Tabelle12[[#This Row],[Anteil B1]]))</f>
        <v>#N/A</v>
      </c>
      <c r="AE566" s="12" t="e">
        <f>IF(SIGN(Tabelle12[[#This Row],[Änderung B]])=-1,Tabelle12[[#This Row],[Änderung B]]*(Tabelle12[[#This Row],[Anteil B2]]),Tabelle12[[#This Row],[Änderung B]]*(1-Tabelle12[[#This Row],[Anteil B2]]))</f>
        <v>#N/A</v>
      </c>
      <c r="AF566" s="17"/>
      <c r="AG566">
        <f>IF(IFERROR(Tabelle12[[#This Row],[Änderung B2]],0)=0,0,Tabelle12[[#This Row],[Spiel]])</f>
        <v>0</v>
      </c>
      <c r="AH566" t="e">
        <f>MATCH(Tabelle12[[#This Row],[Team A]],SpielerDaten!$1:$1,0)</f>
        <v>#N/A</v>
      </c>
      <c r="AI566" t="e">
        <f>MATCH(Tabelle12[[#This Row],[Team A2]],SpielerDaten!$1:$1,0)</f>
        <v>#N/A</v>
      </c>
      <c r="AJ566" t="e">
        <f>MATCH(Tabelle12[[#This Row],[Team B]],SpielerDaten!$1:$1,0)</f>
        <v>#N/A</v>
      </c>
      <c r="AK566" t="e">
        <f>MATCH(Tabelle12[[#This Row],[Team B3]],SpielerDaten!$1:$1,0)</f>
        <v>#N/A</v>
      </c>
    </row>
    <row r="567" spans="1:37" x14ac:dyDescent="0.25">
      <c r="A567">
        <v>565</v>
      </c>
      <c r="B567">
        <f>Tabelle6[[#This Row],[player_A1]]</f>
        <v>0</v>
      </c>
      <c r="C567">
        <f>Tabelle6[[#This Row],[player_A2]]</f>
        <v>0</v>
      </c>
      <c r="D567">
        <f>Tabelle6[[#This Row],[player_B1]]</f>
        <v>0</v>
      </c>
      <c r="E567">
        <f>Tabelle6[[#This Row],[player_B2]]</f>
        <v>0</v>
      </c>
      <c r="F567">
        <f>Tabelle6[[#This Row],[Tore A]]</f>
        <v>0</v>
      </c>
      <c r="G567">
        <f>Tabelle6[[#This Row],[Tore B]]</f>
        <v>0</v>
      </c>
      <c r="H567" s="17"/>
      <c r="I567" s="1" t="e">
        <f>INDEX(Tabelle11[#All],(Tabelle12[[#This Row],[Spiel]]+13),Tabelle12[[#This Row],[ID A1]])</f>
        <v>#N/A</v>
      </c>
      <c r="J567" s="1" t="e">
        <f>INDEX(Tabelle11[#All],(Tabelle12[[#This Row],[Spiel]]+13),Tabelle12[[#This Row],[ID A2]])</f>
        <v>#N/A</v>
      </c>
      <c r="K567" s="1" t="e">
        <f>SUM(Tabelle12[[#This Row],[ELO vorher A1]:[ELO vorher A2]])</f>
        <v>#N/A</v>
      </c>
      <c r="L567" s="1" t="e">
        <f>Tabelle12[[#This Row],[ELO vorher A1]]/Tabelle12[[#This Row],[ELO A gesamt]]</f>
        <v>#N/A</v>
      </c>
      <c r="M567" s="1" t="e">
        <f>Tabelle12[[#This Row],[ELO vorher A2]]/Tabelle12[[#This Row],[ELO A gesamt]]</f>
        <v>#N/A</v>
      </c>
      <c r="N567" s="19"/>
      <c r="O567" s="1" t="e">
        <f>INDEX(Tabelle11[#All],(Tabelle12[[#This Row],[Spiel]]+13),Tabelle12[[#This Row],[ID B1]])</f>
        <v>#N/A</v>
      </c>
      <c r="P567" s="1" t="e">
        <f>INDEX(Tabelle11[#All],(Tabelle12[[#This Row],[Spiel]]+13),Tabelle12[[#This Row],[ID B2]])</f>
        <v>#N/A</v>
      </c>
      <c r="Q567" s="1" t="e">
        <f>SUM(Tabelle12[[#This Row],[ELO vorher B1]:[ELO vorher B2]])</f>
        <v>#N/A</v>
      </c>
      <c r="R567" s="1" t="e">
        <f>Tabelle12[[#This Row],[ELO vorher B1]]/Tabelle12[[#This Row],[ELO B gesamt]]</f>
        <v>#N/A</v>
      </c>
      <c r="S567" s="1" t="e">
        <f>Tabelle12[[#This Row],[ELO vorher B2]]/Tabelle12[[#This Row],[ELO B gesamt]]</f>
        <v>#N/A</v>
      </c>
      <c r="T567" s="19"/>
      <c r="U567" s="1" t="e">
        <f>1/(1+Ergebnisvorhersage!$C$5^((Q567-K567)/Ergebnisvorhersage!$C$6))</f>
        <v>#N/A</v>
      </c>
      <c r="V567" s="1" t="e">
        <f>1/(1+Ergebnisvorhersage!$C$5^((K567-Q567)/Ergebnisvorhersage!$C$6))</f>
        <v>#N/A</v>
      </c>
      <c r="W567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67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67" s="17"/>
      <c r="Z567" s="12" t="e">
        <f>Ergebnisbewertung!$C$5*(W567-U567)</f>
        <v>#N/A</v>
      </c>
      <c r="AA567" s="12" t="e">
        <f>Ergebnisbewertung!$C$5*(X567-V567)</f>
        <v>#N/A</v>
      </c>
      <c r="AB567" s="12" t="e">
        <f>IF(SIGN(Tabelle12[[#This Row],[Änderung A]])=-1,Tabelle12[[#This Row],[Änderung A]]*(Tabelle12[[#This Row],[Anteil A1]]),Tabelle12[[#This Row],[Änderung A]]*(1-Tabelle12[[#This Row],[Anteil A1]]))</f>
        <v>#N/A</v>
      </c>
      <c r="AC567" s="12" t="e">
        <f>IF(SIGN(Tabelle12[[#This Row],[Änderung A]])=-1,Tabelle12[[#This Row],[Änderung A]]*(Tabelle12[[#This Row],[Anteil A2]]),Tabelle12[[#This Row],[Änderung A]]*(1-Tabelle12[[#This Row],[Anteil A2]]))</f>
        <v>#N/A</v>
      </c>
      <c r="AD567" s="12" t="e">
        <f>IF(SIGN(Tabelle12[[#This Row],[Änderung B]])=-1,Tabelle12[[#This Row],[Änderung B]]*(Tabelle12[[#This Row],[Anteil B1]]),Tabelle12[[#This Row],[Änderung B]]*(1-Tabelle12[[#This Row],[Anteil B1]]))</f>
        <v>#N/A</v>
      </c>
      <c r="AE567" s="12" t="e">
        <f>IF(SIGN(Tabelle12[[#This Row],[Änderung B]])=-1,Tabelle12[[#This Row],[Änderung B]]*(Tabelle12[[#This Row],[Anteil B2]]),Tabelle12[[#This Row],[Änderung B]]*(1-Tabelle12[[#This Row],[Anteil B2]]))</f>
        <v>#N/A</v>
      </c>
      <c r="AF567" s="17"/>
      <c r="AG567">
        <f>IF(IFERROR(Tabelle12[[#This Row],[Änderung B2]],0)=0,0,Tabelle12[[#This Row],[Spiel]])</f>
        <v>0</v>
      </c>
      <c r="AH567" t="e">
        <f>MATCH(Tabelle12[[#This Row],[Team A]],SpielerDaten!$1:$1,0)</f>
        <v>#N/A</v>
      </c>
      <c r="AI567" t="e">
        <f>MATCH(Tabelle12[[#This Row],[Team A2]],SpielerDaten!$1:$1,0)</f>
        <v>#N/A</v>
      </c>
      <c r="AJ567" t="e">
        <f>MATCH(Tabelle12[[#This Row],[Team B]],SpielerDaten!$1:$1,0)</f>
        <v>#N/A</v>
      </c>
      <c r="AK567" t="e">
        <f>MATCH(Tabelle12[[#This Row],[Team B3]],SpielerDaten!$1:$1,0)</f>
        <v>#N/A</v>
      </c>
    </row>
    <row r="568" spans="1:37" x14ac:dyDescent="0.25">
      <c r="A568">
        <v>566</v>
      </c>
      <c r="B568">
        <f>Tabelle6[[#This Row],[player_A1]]</f>
        <v>0</v>
      </c>
      <c r="C568">
        <f>Tabelle6[[#This Row],[player_A2]]</f>
        <v>0</v>
      </c>
      <c r="D568">
        <f>Tabelle6[[#This Row],[player_B1]]</f>
        <v>0</v>
      </c>
      <c r="E568">
        <f>Tabelle6[[#This Row],[player_B2]]</f>
        <v>0</v>
      </c>
      <c r="F568">
        <f>Tabelle6[[#This Row],[Tore A]]</f>
        <v>0</v>
      </c>
      <c r="G568">
        <f>Tabelle6[[#This Row],[Tore B]]</f>
        <v>0</v>
      </c>
      <c r="H568" s="17"/>
      <c r="I568" s="1" t="e">
        <f>INDEX(Tabelle11[#All],(Tabelle12[[#This Row],[Spiel]]+13),Tabelle12[[#This Row],[ID A1]])</f>
        <v>#N/A</v>
      </c>
      <c r="J568" s="1" t="e">
        <f>INDEX(Tabelle11[#All],(Tabelle12[[#This Row],[Spiel]]+13),Tabelle12[[#This Row],[ID A2]])</f>
        <v>#N/A</v>
      </c>
      <c r="K568" s="1" t="e">
        <f>SUM(Tabelle12[[#This Row],[ELO vorher A1]:[ELO vorher A2]])</f>
        <v>#N/A</v>
      </c>
      <c r="L568" s="1" t="e">
        <f>Tabelle12[[#This Row],[ELO vorher A1]]/Tabelle12[[#This Row],[ELO A gesamt]]</f>
        <v>#N/A</v>
      </c>
      <c r="M568" s="1" t="e">
        <f>Tabelle12[[#This Row],[ELO vorher A2]]/Tabelle12[[#This Row],[ELO A gesamt]]</f>
        <v>#N/A</v>
      </c>
      <c r="N568" s="19"/>
      <c r="O568" s="1" t="e">
        <f>INDEX(Tabelle11[#All],(Tabelle12[[#This Row],[Spiel]]+13),Tabelle12[[#This Row],[ID B1]])</f>
        <v>#N/A</v>
      </c>
      <c r="P568" s="1" t="e">
        <f>INDEX(Tabelle11[#All],(Tabelle12[[#This Row],[Spiel]]+13),Tabelle12[[#This Row],[ID B2]])</f>
        <v>#N/A</v>
      </c>
      <c r="Q568" s="1" t="e">
        <f>SUM(Tabelle12[[#This Row],[ELO vorher B1]:[ELO vorher B2]])</f>
        <v>#N/A</v>
      </c>
      <c r="R568" s="1" t="e">
        <f>Tabelle12[[#This Row],[ELO vorher B1]]/Tabelle12[[#This Row],[ELO B gesamt]]</f>
        <v>#N/A</v>
      </c>
      <c r="S568" s="1" t="e">
        <f>Tabelle12[[#This Row],[ELO vorher B2]]/Tabelle12[[#This Row],[ELO B gesamt]]</f>
        <v>#N/A</v>
      </c>
      <c r="T568" s="19"/>
      <c r="U568" s="1" t="e">
        <f>1/(1+Ergebnisvorhersage!$C$5^((Q568-K568)/Ergebnisvorhersage!$C$6))</f>
        <v>#N/A</v>
      </c>
      <c r="V568" s="1" t="e">
        <f>1/(1+Ergebnisvorhersage!$C$5^((K568-Q568)/Ergebnisvorhersage!$C$6))</f>
        <v>#N/A</v>
      </c>
      <c r="W568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68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68" s="17"/>
      <c r="Z568" s="12" t="e">
        <f>Ergebnisbewertung!$C$5*(W568-U568)</f>
        <v>#N/A</v>
      </c>
      <c r="AA568" s="12" t="e">
        <f>Ergebnisbewertung!$C$5*(X568-V568)</f>
        <v>#N/A</v>
      </c>
      <c r="AB568" s="12" t="e">
        <f>IF(SIGN(Tabelle12[[#This Row],[Änderung A]])=-1,Tabelle12[[#This Row],[Änderung A]]*(Tabelle12[[#This Row],[Anteil A1]]),Tabelle12[[#This Row],[Änderung A]]*(1-Tabelle12[[#This Row],[Anteil A1]]))</f>
        <v>#N/A</v>
      </c>
      <c r="AC568" s="12" t="e">
        <f>IF(SIGN(Tabelle12[[#This Row],[Änderung A]])=-1,Tabelle12[[#This Row],[Änderung A]]*(Tabelle12[[#This Row],[Anteil A2]]),Tabelle12[[#This Row],[Änderung A]]*(1-Tabelle12[[#This Row],[Anteil A2]]))</f>
        <v>#N/A</v>
      </c>
      <c r="AD568" s="12" t="e">
        <f>IF(SIGN(Tabelle12[[#This Row],[Änderung B]])=-1,Tabelle12[[#This Row],[Änderung B]]*(Tabelle12[[#This Row],[Anteil B1]]),Tabelle12[[#This Row],[Änderung B]]*(1-Tabelle12[[#This Row],[Anteil B1]]))</f>
        <v>#N/A</v>
      </c>
      <c r="AE568" s="12" t="e">
        <f>IF(SIGN(Tabelle12[[#This Row],[Änderung B]])=-1,Tabelle12[[#This Row],[Änderung B]]*(Tabelle12[[#This Row],[Anteil B2]]),Tabelle12[[#This Row],[Änderung B]]*(1-Tabelle12[[#This Row],[Anteil B2]]))</f>
        <v>#N/A</v>
      </c>
      <c r="AF568" s="17"/>
      <c r="AG568">
        <f>IF(IFERROR(Tabelle12[[#This Row],[Änderung B2]],0)=0,0,Tabelle12[[#This Row],[Spiel]])</f>
        <v>0</v>
      </c>
      <c r="AH568" t="e">
        <f>MATCH(Tabelle12[[#This Row],[Team A]],SpielerDaten!$1:$1,0)</f>
        <v>#N/A</v>
      </c>
      <c r="AI568" t="e">
        <f>MATCH(Tabelle12[[#This Row],[Team A2]],SpielerDaten!$1:$1,0)</f>
        <v>#N/A</v>
      </c>
      <c r="AJ568" t="e">
        <f>MATCH(Tabelle12[[#This Row],[Team B]],SpielerDaten!$1:$1,0)</f>
        <v>#N/A</v>
      </c>
      <c r="AK568" t="e">
        <f>MATCH(Tabelle12[[#This Row],[Team B3]],SpielerDaten!$1:$1,0)</f>
        <v>#N/A</v>
      </c>
    </row>
    <row r="569" spans="1:37" x14ac:dyDescent="0.25">
      <c r="A569">
        <v>567</v>
      </c>
      <c r="B569">
        <f>Tabelle6[[#This Row],[player_A1]]</f>
        <v>0</v>
      </c>
      <c r="C569">
        <f>Tabelle6[[#This Row],[player_A2]]</f>
        <v>0</v>
      </c>
      <c r="D569">
        <f>Tabelle6[[#This Row],[player_B1]]</f>
        <v>0</v>
      </c>
      <c r="E569">
        <f>Tabelle6[[#This Row],[player_B2]]</f>
        <v>0</v>
      </c>
      <c r="F569">
        <f>Tabelle6[[#This Row],[Tore A]]</f>
        <v>0</v>
      </c>
      <c r="G569">
        <f>Tabelle6[[#This Row],[Tore B]]</f>
        <v>0</v>
      </c>
      <c r="H569" s="17"/>
      <c r="I569" s="1" t="e">
        <f>INDEX(Tabelle11[#All],(Tabelle12[[#This Row],[Spiel]]+13),Tabelle12[[#This Row],[ID A1]])</f>
        <v>#N/A</v>
      </c>
      <c r="J569" s="1" t="e">
        <f>INDEX(Tabelle11[#All],(Tabelle12[[#This Row],[Spiel]]+13),Tabelle12[[#This Row],[ID A2]])</f>
        <v>#N/A</v>
      </c>
      <c r="K569" s="1" t="e">
        <f>SUM(Tabelle12[[#This Row],[ELO vorher A1]:[ELO vorher A2]])</f>
        <v>#N/A</v>
      </c>
      <c r="L569" s="1" t="e">
        <f>Tabelle12[[#This Row],[ELO vorher A1]]/Tabelle12[[#This Row],[ELO A gesamt]]</f>
        <v>#N/A</v>
      </c>
      <c r="M569" s="1" t="e">
        <f>Tabelle12[[#This Row],[ELO vorher A2]]/Tabelle12[[#This Row],[ELO A gesamt]]</f>
        <v>#N/A</v>
      </c>
      <c r="N569" s="19"/>
      <c r="O569" s="1" t="e">
        <f>INDEX(Tabelle11[#All],(Tabelle12[[#This Row],[Spiel]]+13),Tabelle12[[#This Row],[ID B1]])</f>
        <v>#N/A</v>
      </c>
      <c r="P569" s="1" t="e">
        <f>INDEX(Tabelle11[#All],(Tabelle12[[#This Row],[Spiel]]+13),Tabelle12[[#This Row],[ID B2]])</f>
        <v>#N/A</v>
      </c>
      <c r="Q569" s="1" t="e">
        <f>SUM(Tabelle12[[#This Row],[ELO vorher B1]:[ELO vorher B2]])</f>
        <v>#N/A</v>
      </c>
      <c r="R569" s="1" t="e">
        <f>Tabelle12[[#This Row],[ELO vorher B1]]/Tabelle12[[#This Row],[ELO B gesamt]]</f>
        <v>#N/A</v>
      </c>
      <c r="S569" s="1" t="e">
        <f>Tabelle12[[#This Row],[ELO vorher B2]]/Tabelle12[[#This Row],[ELO B gesamt]]</f>
        <v>#N/A</v>
      </c>
      <c r="T569" s="19"/>
      <c r="U569" s="1" t="e">
        <f>1/(1+Ergebnisvorhersage!$C$5^((Q569-K569)/Ergebnisvorhersage!$C$6))</f>
        <v>#N/A</v>
      </c>
      <c r="V569" s="1" t="e">
        <f>1/(1+Ergebnisvorhersage!$C$5^((K569-Q569)/Ergebnisvorhersage!$C$6))</f>
        <v>#N/A</v>
      </c>
      <c r="W569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69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69" s="17"/>
      <c r="Z569" s="12" t="e">
        <f>Ergebnisbewertung!$C$5*(W569-U569)</f>
        <v>#N/A</v>
      </c>
      <c r="AA569" s="12" t="e">
        <f>Ergebnisbewertung!$C$5*(X569-V569)</f>
        <v>#N/A</v>
      </c>
      <c r="AB569" s="12" t="e">
        <f>IF(SIGN(Tabelle12[[#This Row],[Änderung A]])=-1,Tabelle12[[#This Row],[Änderung A]]*(Tabelle12[[#This Row],[Anteil A1]]),Tabelle12[[#This Row],[Änderung A]]*(1-Tabelle12[[#This Row],[Anteil A1]]))</f>
        <v>#N/A</v>
      </c>
      <c r="AC569" s="12" t="e">
        <f>IF(SIGN(Tabelle12[[#This Row],[Änderung A]])=-1,Tabelle12[[#This Row],[Änderung A]]*(Tabelle12[[#This Row],[Anteil A2]]),Tabelle12[[#This Row],[Änderung A]]*(1-Tabelle12[[#This Row],[Anteil A2]]))</f>
        <v>#N/A</v>
      </c>
      <c r="AD569" s="12" t="e">
        <f>IF(SIGN(Tabelle12[[#This Row],[Änderung B]])=-1,Tabelle12[[#This Row],[Änderung B]]*(Tabelle12[[#This Row],[Anteil B1]]),Tabelle12[[#This Row],[Änderung B]]*(1-Tabelle12[[#This Row],[Anteil B1]]))</f>
        <v>#N/A</v>
      </c>
      <c r="AE569" s="12" t="e">
        <f>IF(SIGN(Tabelle12[[#This Row],[Änderung B]])=-1,Tabelle12[[#This Row],[Änderung B]]*(Tabelle12[[#This Row],[Anteil B2]]),Tabelle12[[#This Row],[Änderung B]]*(1-Tabelle12[[#This Row],[Anteil B2]]))</f>
        <v>#N/A</v>
      </c>
      <c r="AF569" s="17"/>
      <c r="AG569">
        <f>IF(IFERROR(Tabelle12[[#This Row],[Änderung B2]],0)=0,0,Tabelle12[[#This Row],[Spiel]])</f>
        <v>0</v>
      </c>
      <c r="AH569" t="e">
        <f>MATCH(Tabelle12[[#This Row],[Team A]],SpielerDaten!$1:$1,0)</f>
        <v>#N/A</v>
      </c>
      <c r="AI569" t="e">
        <f>MATCH(Tabelle12[[#This Row],[Team A2]],SpielerDaten!$1:$1,0)</f>
        <v>#N/A</v>
      </c>
      <c r="AJ569" t="e">
        <f>MATCH(Tabelle12[[#This Row],[Team B]],SpielerDaten!$1:$1,0)</f>
        <v>#N/A</v>
      </c>
      <c r="AK569" t="e">
        <f>MATCH(Tabelle12[[#This Row],[Team B3]],SpielerDaten!$1:$1,0)</f>
        <v>#N/A</v>
      </c>
    </row>
    <row r="570" spans="1:37" x14ac:dyDescent="0.25">
      <c r="A570">
        <v>568</v>
      </c>
      <c r="B570">
        <f>Tabelle6[[#This Row],[player_A1]]</f>
        <v>0</v>
      </c>
      <c r="C570">
        <f>Tabelle6[[#This Row],[player_A2]]</f>
        <v>0</v>
      </c>
      <c r="D570">
        <f>Tabelle6[[#This Row],[player_B1]]</f>
        <v>0</v>
      </c>
      <c r="E570">
        <f>Tabelle6[[#This Row],[player_B2]]</f>
        <v>0</v>
      </c>
      <c r="F570">
        <f>Tabelle6[[#This Row],[Tore A]]</f>
        <v>0</v>
      </c>
      <c r="G570">
        <f>Tabelle6[[#This Row],[Tore B]]</f>
        <v>0</v>
      </c>
      <c r="H570" s="17"/>
      <c r="I570" s="1" t="e">
        <f>INDEX(Tabelle11[#All],(Tabelle12[[#This Row],[Spiel]]+13),Tabelle12[[#This Row],[ID A1]])</f>
        <v>#N/A</v>
      </c>
      <c r="J570" s="1" t="e">
        <f>INDEX(Tabelle11[#All],(Tabelle12[[#This Row],[Spiel]]+13),Tabelle12[[#This Row],[ID A2]])</f>
        <v>#N/A</v>
      </c>
      <c r="K570" s="1" t="e">
        <f>SUM(Tabelle12[[#This Row],[ELO vorher A1]:[ELO vorher A2]])</f>
        <v>#N/A</v>
      </c>
      <c r="L570" s="1" t="e">
        <f>Tabelle12[[#This Row],[ELO vorher A1]]/Tabelle12[[#This Row],[ELO A gesamt]]</f>
        <v>#N/A</v>
      </c>
      <c r="M570" s="1" t="e">
        <f>Tabelle12[[#This Row],[ELO vorher A2]]/Tabelle12[[#This Row],[ELO A gesamt]]</f>
        <v>#N/A</v>
      </c>
      <c r="N570" s="19"/>
      <c r="O570" s="1" t="e">
        <f>INDEX(Tabelle11[#All],(Tabelle12[[#This Row],[Spiel]]+13),Tabelle12[[#This Row],[ID B1]])</f>
        <v>#N/A</v>
      </c>
      <c r="P570" s="1" t="e">
        <f>INDEX(Tabelle11[#All],(Tabelle12[[#This Row],[Spiel]]+13),Tabelle12[[#This Row],[ID B2]])</f>
        <v>#N/A</v>
      </c>
      <c r="Q570" s="1" t="e">
        <f>SUM(Tabelle12[[#This Row],[ELO vorher B1]:[ELO vorher B2]])</f>
        <v>#N/A</v>
      </c>
      <c r="R570" s="1" t="e">
        <f>Tabelle12[[#This Row],[ELO vorher B1]]/Tabelle12[[#This Row],[ELO B gesamt]]</f>
        <v>#N/A</v>
      </c>
      <c r="S570" s="1" t="e">
        <f>Tabelle12[[#This Row],[ELO vorher B2]]/Tabelle12[[#This Row],[ELO B gesamt]]</f>
        <v>#N/A</v>
      </c>
      <c r="T570" s="19"/>
      <c r="U570" s="1" t="e">
        <f>1/(1+Ergebnisvorhersage!$C$5^((Q570-K570)/Ergebnisvorhersage!$C$6))</f>
        <v>#N/A</v>
      </c>
      <c r="V570" s="1" t="e">
        <f>1/(1+Ergebnisvorhersage!$C$5^((K570-Q570)/Ergebnisvorhersage!$C$6))</f>
        <v>#N/A</v>
      </c>
      <c r="W570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70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70" s="17"/>
      <c r="Z570" s="12" t="e">
        <f>Ergebnisbewertung!$C$5*(W570-U570)</f>
        <v>#N/A</v>
      </c>
      <c r="AA570" s="12" t="e">
        <f>Ergebnisbewertung!$C$5*(X570-V570)</f>
        <v>#N/A</v>
      </c>
      <c r="AB570" s="12" t="e">
        <f>IF(SIGN(Tabelle12[[#This Row],[Änderung A]])=-1,Tabelle12[[#This Row],[Änderung A]]*(Tabelle12[[#This Row],[Anteil A1]]),Tabelle12[[#This Row],[Änderung A]]*(1-Tabelle12[[#This Row],[Anteil A1]]))</f>
        <v>#N/A</v>
      </c>
      <c r="AC570" s="12" t="e">
        <f>IF(SIGN(Tabelle12[[#This Row],[Änderung A]])=-1,Tabelle12[[#This Row],[Änderung A]]*(Tabelle12[[#This Row],[Anteil A2]]),Tabelle12[[#This Row],[Änderung A]]*(1-Tabelle12[[#This Row],[Anteil A2]]))</f>
        <v>#N/A</v>
      </c>
      <c r="AD570" s="12" t="e">
        <f>IF(SIGN(Tabelle12[[#This Row],[Änderung B]])=-1,Tabelle12[[#This Row],[Änderung B]]*(Tabelle12[[#This Row],[Anteil B1]]),Tabelle12[[#This Row],[Änderung B]]*(1-Tabelle12[[#This Row],[Anteil B1]]))</f>
        <v>#N/A</v>
      </c>
      <c r="AE570" s="12" t="e">
        <f>IF(SIGN(Tabelle12[[#This Row],[Änderung B]])=-1,Tabelle12[[#This Row],[Änderung B]]*(Tabelle12[[#This Row],[Anteil B2]]),Tabelle12[[#This Row],[Änderung B]]*(1-Tabelle12[[#This Row],[Anteil B2]]))</f>
        <v>#N/A</v>
      </c>
      <c r="AF570" s="17"/>
      <c r="AG570">
        <f>IF(IFERROR(Tabelle12[[#This Row],[Änderung B2]],0)=0,0,Tabelle12[[#This Row],[Spiel]])</f>
        <v>0</v>
      </c>
      <c r="AH570" t="e">
        <f>MATCH(Tabelle12[[#This Row],[Team A]],SpielerDaten!$1:$1,0)</f>
        <v>#N/A</v>
      </c>
      <c r="AI570" t="e">
        <f>MATCH(Tabelle12[[#This Row],[Team A2]],SpielerDaten!$1:$1,0)</f>
        <v>#N/A</v>
      </c>
      <c r="AJ570" t="e">
        <f>MATCH(Tabelle12[[#This Row],[Team B]],SpielerDaten!$1:$1,0)</f>
        <v>#N/A</v>
      </c>
      <c r="AK570" t="e">
        <f>MATCH(Tabelle12[[#This Row],[Team B3]],SpielerDaten!$1:$1,0)</f>
        <v>#N/A</v>
      </c>
    </row>
    <row r="571" spans="1:37" x14ac:dyDescent="0.25">
      <c r="A571">
        <v>569</v>
      </c>
      <c r="B571">
        <f>Tabelle6[[#This Row],[player_A1]]</f>
        <v>0</v>
      </c>
      <c r="C571">
        <f>Tabelle6[[#This Row],[player_A2]]</f>
        <v>0</v>
      </c>
      <c r="D571">
        <f>Tabelle6[[#This Row],[player_B1]]</f>
        <v>0</v>
      </c>
      <c r="E571">
        <f>Tabelle6[[#This Row],[player_B2]]</f>
        <v>0</v>
      </c>
      <c r="F571">
        <f>Tabelle6[[#This Row],[Tore A]]</f>
        <v>0</v>
      </c>
      <c r="G571">
        <f>Tabelle6[[#This Row],[Tore B]]</f>
        <v>0</v>
      </c>
      <c r="H571" s="17"/>
      <c r="I571" s="1" t="e">
        <f>INDEX(Tabelle11[#All],(Tabelle12[[#This Row],[Spiel]]+13),Tabelle12[[#This Row],[ID A1]])</f>
        <v>#N/A</v>
      </c>
      <c r="J571" s="1" t="e">
        <f>INDEX(Tabelle11[#All],(Tabelle12[[#This Row],[Spiel]]+13),Tabelle12[[#This Row],[ID A2]])</f>
        <v>#N/A</v>
      </c>
      <c r="K571" s="1" t="e">
        <f>SUM(Tabelle12[[#This Row],[ELO vorher A1]:[ELO vorher A2]])</f>
        <v>#N/A</v>
      </c>
      <c r="L571" s="1" t="e">
        <f>Tabelle12[[#This Row],[ELO vorher A1]]/Tabelle12[[#This Row],[ELO A gesamt]]</f>
        <v>#N/A</v>
      </c>
      <c r="M571" s="1" t="e">
        <f>Tabelle12[[#This Row],[ELO vorher A2]]/Tabelle12[[#This Row],[ELO A gesamt]]</f>
        <v>#N/A</v>
      </c>
      <c r="N571" s="19"/>
      <c r="O571" s="1" t="e">
        <f>INDEX(Tabelle11[#All],(Tabelle12[[#This Row],[Spiel]]+13),Tabelle12[[#This Row],[ID B1]])</f>
        <v>#N/A</v>
      </c>
      <c r="P571" s="1" t="e">
        <f>INDEX(Tabelle11[#All],(Tabelle12[[#This Row],[Spiel]]+13),Tabelle12[[#This Row],[ID B2]])</f>
        <v>#N/A</v>
      </c>
      <c r="Q571" s="1" t="e">
        <f>SUM(Tabelle12[[#This Row],[ELO vorher B1]:[ELO vorher B2]])</f>
        <v>#N/A</v>
      </c>
      <c r="R571" s="1" t="e">
        <f>Tabelle12[[#This Row],[ELO vorher B1]]/Tabelle12[[#This Row],[ELO B gesamt]]</f>
        <v>#N/A</v>
      </c>
      <c r="S571" s="1" t="e">
        <f>Tabelle12[[#This Row],[ELO vorher B2]]/Tabelle12[[#This Row],[ELO B gesamt]]</f>
        <v>#N/A</v>
      </c>
      <c r="T571" s="19"/>
      <c r="U571" s="1" t="e">
        <f>1/(1+Ergebnisvorhersage!$C$5^((Q571-K571)/Ergebnisvorhersage!$C$6))</f>
        <v>#N/A</v>
      </c>
      <c r="V571" s="1" t="e">
        <f>1/(1+Ergebnisvorhersage!$C$5^((K571-Q571)/Ergebnisvorhersage!$C$6))</f>
        <v>#N/A</v>
      </c>
      <c r="W571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71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71" s="17"/>
      <c r="Z571" s="12" t="e">
        <f>Ergebnisbewertung!$C$5*(W571-U571)</f>
        <v>#N/A</v>
      </c>
      <c r="AA571" s="12" t="e">
        <f>Ergebnisbewertung!$C$5*(X571-V571)</f>
        <v>#N/A</v>
      </c>
      <c r="AB571" s="12" t="e">
        <f>IF(SIGN(Tabelle12[[#This Row],[Änderung A]])=-1,Tabelle12[[#This Row],[Änderung A]]*(Tabelle12[[#This Row],[Anteil A1]]),Tabelle12[[#This Row],[Änderung A]]*(1-Tabelle12[[#This Row],[Anteil A1]]))</f>
        <v>#N/A</v>
      </c>
      <c r="AC571" s="12" t="e">
        <f>IF(SIGN(Tabelle12[[#This Row],[Änderung A]])=-1,Tabelle12[[#This Row],[Änderung A]]*(Tabelle12[[#This Row],[Anteil A2]]),Tabelle12[[#This Row],[Änderung A]]*(1-Tabelle12[[#This Row],[Anteil A2]]))</f>
        <v>#N/A</v>
      </c>
      <c r="AD571" s="12" t="e">
        <f>IF(SIGN(Tabelle12[[#This Row],[Änderung B]])=-1,Tabelle12[[#This Row],[Änderung B]]*(Tabelle12[[#This Row],[Anteil B1]]),Tabelle12[[#This Row],[Änderung B]]*(1-Tabelle12[[#This Row],[Anteil B1]]))</f>
        <v>#N/A</v>
      </c>
      <c r="AE571" s="12" t="e">
        <f>IF(SIGN(Tabelle12[[#This Row],[Änderung B]])=-1,Tabelle12[[#This Row],[Änderung B]]*(Tabelle12[[#This Row],[Anteil B2]]),Tabelle12[[#This Row],[Änderung B]]*(1-Tabelle12[[#This Row],[Anteil B2]]))</f>
        <v>#N/A</v>
      </c>
      <c r="AF571" s="17"/>
      <c r="AG571">
        <f>IF(IFERROR(Tabelle12[[#This Row],[Änderung B2]],0)=0,0,Tabelle12[[#This Row],[Spiel]])</f>
        <v>0</v>
      </c>
      <c r="AH571" t="e">
        <f>MATCH(Tabelle12[[#This Row],[Team A]],SpielerDaten!$1:$1,0)</f>
        <v>#N/A</v>
      </c>
      <c r="AI571" t="e">
        <f>MATCH(Tabelle12[[#This Row],[Team A2]],SpielerDaten!$1:$1,0)</f>
        <v>#N/A</v>
      </c>
      <c r="AJ571" t="e">
        <f>MATCH(Tabelle12[[#This Row],[Team B]],SpielerDaten!$1:$1,0)</f>
        <v>#N/A</v>
      </c>
      <c r="AK571" t="e">
        <f>MATCH(Tabelle12[[#This Row],[Team B3]],SpielerDaten!$1:$1,0)</f>
        <v>#N/A</v>
      </c>
    </row>
    <row r="572" spans="1:37" x14ac:dyDescent="0.25">
      <c r="A572">
        <v>570</v>
      </c>
      <c r="B572">
        <f>Tabelle6[[#This Row],[player_A1]]</f>
        <v>0</v>
      </c>
      <c r="C572">
        <f>Tabelle6[[#This Row],[player_A2]]</f>
        <v>0</v>
      </c>
      <c r="D572">
        <f>Tabelle6[[#This Row],[player_B1]]</f>
        <v>0</v>
      </c>
      <c r="E572">
        <f>Tabelle6[[#This Row],[player_B2]]</f>
        <v>0</v>
      </c>
      <c r="F572">
        <f>Tabelle6[[#This Row],[Tore A]]</f>
        <v>0</v>
      </c>
      <c r="G572">
        <f>Tabelle6[[#This Row],[Tore B]]</f>
        <v>0</v>
      </c>
      <c r="H572" s="17"/>
      <c r="I572" s="1" t="e">
        <f>INDEX(Tabelle11[#All],(Tabelle12[[#This Row],[Spiel]]+13),Tabelle12[[#This Row],[ID A1]])</f>
        <v>#N/A</v>
      </c>
      <c r="J572" s="1" t="e">
        <f>INDEX(Tabelle11[#All],(Tabelle12[[#This Row],[Spiel]]+13),Tabelle12[[#This Row],[ID A2]])</f>
        <v>#N/A</v>
      </c>
      <c r="K572" s="1" t="e">
        <f>SUM(Tabelle12[[#This Row],[ELO vorher A1]:[ELO vorher A2]])</f>
        <v>#N/A</v>
      </c>
      <c r="L572" s="1" t="e">
        <f>Tabelle12[[#This Row],[ELO vorher A1]]/Tabelle12[[#This Row],[ELO A gesamt]]</f>
        <v>#N/A</v>
      </c>
      <c r="M572" s="1" t="e">
        <f>Tabelle12[[#This Row],[ELO vorher A2]]/Tabelle12[[#This Row],[ELO A gesamt]]</f>
        <v>#N/A</v>
      </c>
      <c r="N572" s="19"/>
      <c r="O572" s="1" t="e">
        <f>INDEX(Tabelle11[#All],(Tabelle12[[#This Row],[Spiel]]+13),Tabelle12[[#This Row],[ID B1]])</f>
        <v>#N/A</v>
      </c>
      <c r="P572" s="1" t="e">
        <f>INDEX(Tabelle11[#All],(Tabelle12[[#This Row],[Spiel]]+13),Tabelle12[[#This Row],[ID B2]])</f>
        <v>#N/A</v>
      </c>
      <c r="Q572" s="1" t="e">
        <f>SUM(Tabelle12[[#This Row],[ELO vorher B1]:[ELO vorher B2]])</f>
        <v>#N/A</v>
      </c>
      <c r="R572" s="1" t="e">
        <f>Tabelle12[[#This Row],[ELO vorher B1]]/Tabelle12[[#This Row],[ELO B gesamt]]</f>
        <v>#N/A</v>
      </c>
      <c r="S572" s="1" t="e">
        <f>Tabelle12[[#This Row],[ELO vorher B2]]/Tabelle12[[#This Row],[ELO B gesamt]]</f>
        <v>#N/A</v>
      </c>
      <c r="T572" s="19"/>
      <c r="U572" s="1" t="e">
        <f>1/(1+Ergebnisvorhersage!$C$5^((Q572-K572)/Ergebnisvorhersage!$C$6))</f>
        <v>#N/A</v>
      </c>
      <c r="V572" s="1" t="e">
        <f>1/(1+Ergebnisvorhersage!$C$5^((K572-Q572)/Ergebnisvorhersage!$C$6))</f>
        <v>#N/A</v>
      </c>
      <c r="W572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72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72" s="17"/>
      <c r="Z572" s="12" t="e">
        <f>Ergebnisbewertung!$C$5*(W572-U572)</f>
        <v>#N/A</v>
      </c>
      <c r="AA572" s="12" t="e">
        <f>Ergebnisbewertung!$C$5*(X572-V572)</f>
        <v>#N/A</v>
      </c>
      <c r="AB572" s="12" t="e">
        <f>IF(SIGN(Tabelle12[[#This Row],[Änderung A]])=-1,Tabelle12[[#This Row],[Änderung A]]*(Tabelle12[[#This Row],[Anteil A1]]),Tabelle12[[#This Row],[Änderung A]]*(1-Tabelle12[[#This Row],[Anteil A1]]))</f>
        <v>#N/A</v>
      </c>
      <c r="AC572" s="12" t="e">
        <f>IF(SIGN(Tabelle12[[#This Row],[Änderung A]])=-1,Tabelle12[[#This Row],[Änderung A]]*(Tabelle12[[#This Row],[Anteil A2]]),Tabelle12[[#This Row],[Änderung A]]*(1-Tabelle12[[#This Row],[Anteil A2]]))</f>
        <v>#N/A</v>
      </c>
      <c r="AD572" s="12" t="e">
        <f>IF(SIGN(Tabelle12[[#This Row],[Änderung B]])=-1,Tabelle12[[#This Row],[Änderung B]]*(Tabelle12[[#This Row],[Anteil B1]]),Tabelle12[[#This Row],[Änderung B]]*(1-Tabelle12[[#This Row],[Anteil B1]]))</f>
        <v>#N/A</v>
      </c>
      <c r="AE572" s="12" t="e">
        <f>IF(SIGN(Tabelle12[[#This Row],[Änderung B]])=-1,Tabelle12[[#This Row],[Änderung B]]*(Tabelle12[[#This Row],[Anteil B2]]),Tabelle12[[#This Row],[Änderung B]]*(1-Tabelle12[[#This Row],[Anteil B2]]))</f>
        <v>#N/A</v>
      </c>
      <c r="AF572" s="17"/>
      <c r="AG572">
        <f>IF(IFERROR(Tabelle12[[#This Row],[Änderung B2]],0)=0,0,Tabelle12[[#This Row],[Spiel]])</f>
        <v>0</v>
      </c>
      <c r="AH572" t="e">
        <f>MATCH(Tabelle12[[#This Row],[Team A]],SpielerDaten!$1:$1,0)</f>
        <v>#N/A</v>
      </c>
      <c r="AI572" t="e">
        <f>MATCH(Tabelle12[[#This Row],[Team A2]],SpielerDaten!$1:$1,0)</f>
        <v>#N/A</v>
      </c>
      <c r="AJ572" t="e">
        <f>MATCH(Tabelle12[[#This Row],[Team B]],SpielerDaten!$1:$1,0)</f>
        <v>#N/A</v>
      </c>
      <c r="AK572" t="e">
        <f>MATCH(Tabelle12[[#This Row],[Team B3]],SpielerDaten!$1:$1,0)</f>
        <v>#N/A</v>
      </c>
    </row>
    <row r="573" spans="1:37" x14ac:dyDescent="0.25">
      <c r="A573">
        <v>571</v>
      </c>
      <c r="B573">
        <f>Tabelle6[[#This Row],[player_A1]]</f>
        <v>0</v>
      </c>
      <c r="C573">
        <f>Tabelle6[[#This Row],[player_A2]]</f>
        <v>0</v>
      </c>
      <c r="D573">
        <f>Tabelle6[[#This Row],[player_B1]]</f>
        <v>0</v>
      </c>
      <c r="E573">
        <f>Tabelle6[[#This Row],[player_B2]]</f>
        <v>0</v>
      </c>
      <c r="F573">
        <f>Tabelle6[[#This Row],[Tore A]]</f>
        <v>0</v>
      </c>
      <c r="G573">
        <f>Tabelle6[[#This Row],[Tore B]]</f>
        <v>0</v>
      </c>
      <c r="H573" s="17"/>
      <c r="I573" s="1" t="e">
        <f>INDEX(Tabelle11[#All],(Tabelle12[[#This Row],[Spiel]]+13),Tabelle12[[#This Row],[ID A1]])</f>
        <v>#N/A</v>
      </c>
      <c r="J573" s="1" t="e">
        <f>INDEX(Tabelle11[#All],(Tabelle12[[#This Row],[Spiel]]+13),Tabelle12[[#This Row],[ID A2]])</f>
        <v>#N/A</v>
      </c>
      <c r="K573" s="1" t="e">
        <f>SUM(Tabelle12[[#This Row],[ELO vorher A1]:[ELO vorher A2]])</f>
        <v>#N/A</v>
      </c>
      <c r="L573" s="1" t="e">
        <f>Tabelle12[[#This Row],[ELO vorher A1]]/Tabelle12[[#This Row],[ELO A gesamt]]</f>
        <v>#N/A</v>
      </c>
      <c r="M573" s="1" t="e">
        <f>Tabelle12[[#This Row],[ELO vorher A2]]/Tabelle12[[#This Row],[ELO A gesamt]]</f>
        <v>#N/A</v>
      </c>
      <c r="N573" s="19"/>
      <c r="O573" s="1" t="e">
        <f>INDEX(Tabelle11[#All],(Tabelle12[[#This Row],[Spiel]]+13),Tabelle12[[#This Row],[ID B1]])</f>
        <v>#N/A</v>
      </c>
      <c r="P573" s="1" t="e">
        <f>INDEX(Tabelle11[#All],(Tabelle12[[#This Row],[Spiel]]+13),Tabelle12[[#This Row],[ID B2]])</f>
        <v>#N/A</v>
      </c>
      <c r="Q573" s="1" t="e">
        <f>SUM(Tabelle12[[#This Row],[ELO vorher B1]:[ELO vorher B2]])</f>
        <v>#N/A</v>
      </c>
      <c r="R573" s="1" t="e">
        <f>Tabelle12[[#This Row],[ELO vorher B1]]/Tabelle12[[#This Row],[ELO B gesamt]]</f>
        <v>#N/A</v>
      </c>
      <c r="S573" s="1" t="e">
        <f>Tabelle12[[#This Row],[ELO vorher B2]]/Tabelle12[[#This Row],[ELO B gesamt]]</f>
        <v>#N/A</v>
      </c>
      <c r="T573" s="19"/>
      <c r="U573" s="1" t="e">
        <f>1/(1+Ergebnisvorhersage!$C$5^((Q573-K573)/Ergebnisvorhersage!$C$6))</f>
        <v>#N/A</v>
      </c>
      <c r="V573" s="1" t="e">
        <f>1/(1+Ergebnisvorhersage!$C$5^((K573-Q573)/Ergebnisvorhersage!$C$6))</f>
        <v>#N/A</v>
      </c>
      <c r="W573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73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73" s="17"/>
      <c r="Z573" s="12" t="e">
        <f>Ergebnisbewertung!$C$5*(W573-U573)</f>
        <v>#N/A</v>
      </c>
      <c r="AA573" s="12" t="e">
        <f>Ergebnisbewertung!$C$5*(X573-V573)</f>
        <v>#N/A</v>
      </c>
      <c r="AB573" s="12" t="e">
        <f>IF(SIGN(Tabelle12[[#This Row],[Änderung A]])=-1,Tabelle12[[#This Row],[Änderung A]]*(Tabelle12[[#This Row],[Anteil A1]]),Tabelle12[[#This Row],[Änderung A]]*(1-Tabelle12[[#This Row],[Anteil A1]]))</f>
        <v>#N/A</v>
      </c>
      <c r="AC573" s="12" t="e">
        <f>IF(SIGN(Tabelle12[[#This Row],[Änderung A]])=-1,Tabelle12[[#This Row],[Änderung A]]*(Tabelle12[[#This Row],[Anteil A2]]),Tabelle12[[#This Row],[Änderung A]]*(1-Tabelle12[[#This Row],[Anteil A2]]))</f>
        <v>#N/A</v>
      </c>
      <c r="AD573" s="12" t="e">
        <f>IF(SIGN(Tabelle12[[#This Row],[Änderung B]])=-1,Tabelle12[[#This Row],[Änderung B]]*(Tabelle12[[#This Row],[Anteil B1]]),Tabelle12[[#This Row],[Änderung B]]*(1-Tabelle12[[#This Row],[Anteil B1]]))</f>
        <v>#N/A</v>
      </c>
      <c r="AE573" s="12" t="e">
        <f>IF(SIGN(Tabelle12[[#This Row],[Änderung B]])=-1,Tabelle12[[#This Row],[Änderung B]]*(Tabelle12[[#This Row],[Anteil B2]]),Tabelle12[[#This Row],[Änderung B]]*(1-Tabelle12[[#This Row],[Anteil B2]]))</f>
        <v>#N/A</v>
      </c>
      <c r="AF573" s="17"/>
      <c r="AG573">
        <f>IF(IFERROR(Tabelle12[[#This Row],[Änderung B2]],0)=0,0,Tabelle12[[#This Row],[Spiel]])</f>
        <v>0</v>
      </c>
      <c r="AH573" t="e">
        <f>MATCH(Tabelle12[[#This Row],[Team A]],SpielerDaten!$1:$1,0)</f>
        <v>#N/A</v>
      </c>
      <c r="AI573" t="e">
        <f>MATCH(Tabelle12[[#This Row],[Team A2]],SpielerDaten!$1:$1,0)</f>
        <v>#N/A</v>
      </c>
      <c r="AJ573" t="e">
        <f>MATCH(Tabelle12[[#This Row],[Team B]],SpielerDaten!$1:$1,0)</f>
        <v>#N/A</v>
      </c>
      <c r="AK573" t="e">
        <f>MATCH(Tabelle12[[#This Row],[Team B3]],SpielerDaten!$1:$1,0)</f>
        <v>#N/A</v>
      </c>
    </row>
    <row r="574" spans="1:37" x14ac:dyDescent="0.25">
      <c r="A574">
        <v>572</v>
      </c>
      <c r="B574">
        <f>Tabelle6[[#This Row],[player_A1]]</f>
        <v>0</v>
      </c>
      <c r="C574">
        <f>Tabelle6[[#This Row],[player_A2]]</f>
        <v>0</v>
      </c>
      <c r="D574">
        <f>Tabelle6[[#This Row],[player_B1]]</f>
        <v>0</v>
      </c>
      <c r="E574">
        <f>Tabelle6[[#This Row],[player_B2]]</f>
        <v>0</v>
      </c>
      <c r="F574">
        <f>Tabelle6[[#This Row],[Tore A]]</f>
        <v>0</v>
      </c>
      <c r="G574">
        <f>Tabelle6[[#This Row],[Tore B]]</f>
        <v>0</v>
      </c>
      <c r="H574" s="17"/>
      <c r="I574" s="1" t="e">
        <f>INDEX(Tabelle11[#All],(Tabelle12[[#This Row],[Spiel]]+13),Tabelle12[[#This Row],[ID A1]])</f>
        <v>#N/A</v>
      </c>
      <c r="J574" s="1" t="e">
        <f>INDEX(Tabelle11[#All],(Tabelle12[[#This Row],[Spiel]]+13),Tabelle12[[#This Row],[ID A2]])</f>
        <v>#N/A</v>
      </c>
      <c r="K574" s="1" t="e">
        <f>SUM(Tabelle12[[#This Row],[ELO vorher A1]:[ELO vorher A2]])</f>
        <v>#N/A</v>
      </c>
      <c r="L574" s="1" t="e">
        <f>Tabelle12[[#This Row],[ELO vorher A1]]/Tabelle12[[#This Row],[ELO A gesamt]]</f>
        <v>#N/A</v>
      </c>
      <c r="M574" s="1" t="e">
        <f>Tabelle12[[#This Row],[ELO vorher A2]]/Tabelle12[[#This Row],[ELO A gesamt]]</f>
        <v>#N/A</v>
      </c>
      <c r="N574" s="19"/>
      <c r="O574" s="1" t="e">
        <f>INDEX(Tabelle11[#All],(Tabelle12[[#This Row],[Spiel]]+13),Tabelle12[[#This Row],[ID B1]])</f>
        <v>#N/A</v>
      </c>
      <c r="P574" s="1" t="e">
        <f>INDEX(Tabelle11[#All],(Tabelle12[[#This Row],[Spiel]]+13),Tabelle12[[#This Row],[ID B2]])</f>
        <v>#N/A</v>
      </c>
      <c r="Q574" s="1" t="e">
        <f>SUM(Tabelle12[[#This Row],[ELO vorher B1]:[ELO vorher B2]])</f>
        <v>#N/A</v>
      </c>
      <c r="R574" s="1" t="e">
        <f>Tabelle12[[#This Row],[ELO vorher B1]]/Tabelle12[[#This Row],[ELO B gesamt]]</f>
        <v>#N/A</v>
      </c>
      <c r="S574" s="1" t="e">
        <f>Tabelle12[[#This Row],[ELO vorher B2]]/Tabelle12[[#This Row],[ELO B gesamt]]</f>
        <v>#N/A</v>
      </c>
      <c r="T574" s="19"/>
      <c r="U574" s="1" t="e">
        <f>1/(1+Ergebnisvorhersage!$C$5^((Q574-K574)/Ergebnisvorhersage!$C$6))</f>
        <v>#N/A</v>
      </c>
      <c r="V574" s="1" t="e">
        <f>1/(1+Ergebnisvorhersage!$C$5^((K574-Q574)/Ergebnisvorhersage!$C$6))</f>
        <v>#N/A</v>
      </c>
      <c r="W574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74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74" s="17"/>
      <c r="Z574" s="12" t="e">
        <f>Ergebnisbewertung!$C$5*(W574-U574)</f>
        <v>#N/A</v>
      </c>
      <c r="AA574" s="12" t="e">
        <f>Ergebnisbewertung!$C$5*(X574-V574)</f>
        <v>#N/A</v>
      </c>
      <c r="AB574" s="12" t="e">
        <f>IF(SIGN(Tabelle12[[#This Row],[Änderung A]])=-1,Tabelle12[[#This Row],[Änderung A]]*(Tabelle12[[#This Row],[Anteil A1]]),Tabelle12[[#This Row],[Änderung A]]*(1-Tabelle12[[#This Row],[Anteil A1]]))</f>
        <v>#N/A</v>
      </c>
      <c r="AC574" s="12" t="e">
        <f>IF(SIGN(Tabelle12[[#This Row],[Änderung A]])=-1,Tabelle12[[#This Row],[Änderung A]]*(Tabelle12[[#This Row],[Anteil A2]]),Tabelle12[[#This Row],[Änderung A]]*(1-Tabelle12[[#This Row],[Anteil A2]]))</f>
        <v>#N/A</v>
      </c>
      <c r="AD574" s="12" t="e">
        <f>IF(SIGN(Tabelle12[[#This Row],[Änderung B]])=-1,Tabelle12[[#This Row],[Änderung B]]*(Tabelle12[[#This Row],[Anteil B1]]),Tabelle12[[#This Row],[Änderung B]]*(1-Tabelle12[[#This Row],[Anteil B1]]))</f>
        <v>#N/A</v>
      </c>
      <c r="AE574" s="12" t="e">
        <f>IF(SIGN(Tabelle12[[#This Row],[Änderung B]])=-1,Tabelle12[[#This Row],[Änderung B]]*(Tabelle12[[#This Row],[Anteil B2]]),Tabelle12[[#This Row],[Änderung B]]*(1-Tabelle12[[#This Row],[Anteil B2]]))</f>
        <v>#N/A</v>
      </c>
      <c r="AF574" s="17"/>
      <c r="AG574">
        <f>IF(IFERROR(Tabelle12[[#This Row],[Änderung B2]],0)=0,0,Tabelle12[[#This Row],[Spiel]])</f>
        <v>0</v>
      </c>
      <c r="AH574" t="e">
        <f>MATCH(Tabelle12[[#This Row],[Team A]],SpielerDaten!$1:$1,0)</f>
        <v>#N/A</v>
      </c>
      <c r="AI574" t="e">
        <f>MATCH(Tabelle12[[#This Row],[Team A2]],SpielerDaten!$1:$1,0)</f>
        <v>#N/A</v>
      </c>
      <c r="AJ574" t="e">
        <f>MATCH(Tabelle12[[#This Row],[Team B]],SpielerDaten!$1:$1,0)</f>
        <v>#N/A</v>
      </c>
      <c r="AK574" t="e">
        <f>MATCH(Tabelle12[[#This Row],[Team B3]],SpielerDaten!$1:$1,0)</f>
        <v>#N/A</v>
      </c>
    </row>
    <row r="575" spans="1:37" x14ac:dyDescent="0.25">
      <c r="A575">
        <v>573</v>
      </c>
      <c r="B575">
        <f>Tabelle6[[#This Row],[player_A1]]</f>
        <v>0</v>
      </c>
      <c r="C575">
        <f>Tabelle6[[#This Row],[player_A2]]</f>
        <v>0</v>
      </c>
      <c r="D575">
        <f>Tabelle6[[#This Row],[player_B1]]</f>
        <v>0</v>
      </c>
      <c r="E575">
        <f>Tabelle6[[#This Row],[player_B2]]</f>
        <v>0</v>
      </c>
      <c r="F575">
        <f>Tabelle6[[#This Row],[Tore A]]</f>
        <v>0</v>
      </c>
      <c r="G575">
        <f>Tabelle6[[#This Row],[Tore B]]</f>
        <v>0</v>
      </c>
      <c r="H575" s="17"/>
      <c r="I575" s="1" t="e">
        <f>INDEX(Tabelle11[#All],(Tabelle12[[#This Row],[Spiel]]+13),Tabelle12[[#This Row],[ID A1]])</f>
        <v>#N/A</v>
      </c>
      <c r="J575" s="1" t="e">
        <f>INDEX(Tabelle11[#All],(Tabelle12[[#This Row],[Spiel]]+13),Tabelle12[[#This Row],[ID A2]])</f>
        <v>#N/A</v>
      </c>
      <c r="K575" s="1" t="e">
        <f>SUM(Tabelle12[[#This Row],[ELO vorher A1]:[ELO vorher A2]])</f>
        <v>#N/A</v>
      </c>
      <c r="L575" s="1" t="e">
        <f>Tabelle12[[#This Row],[ELO vorher A1]]/Tabelle12[[#This Row],[ELO A gesamt]]</f>
        <v>#N/A</v>
      </c>
      <c r="M575" s="1" t="e">
        <f>Tabelle12[[#This Row],[ELO vorher A2]]/Tabelle12[[#This Row],[ELO A gesamt]]</f>
        <v>#N/A</v>
      </c>
      <c r="N575" s="19"/>
      <c r="O575" s="1" t="e">
        <f>INDEX(Tabelle11[#All],(Tabelle12[[#This Row],[Spiel]]+13),Tabelle12[[#This Row],[ID B1]])</f>
        <v>#N/A</v>
      </c>
      <c r="P575" s="1" t="e">
        <f>INDEX(Tabelle11[#All],(Tabelle12[[#This Row],[Spiel]]+13),Tabelle12[[#This Row],[ID B2]])</f>
        <v>#N/A</v>
      </c>
      <c r="Q575" s="1" t="e">
        <f>SUM(Tabelle12[[#This Row],[ELO vorher B1]:[ELO vorher B2]])</f>
        <v>#N/A</v>
      </c>
      <c r="R575" s="1" t="e">
        <f>Tabelle12[[#This Row],[ELO vorher B1]]/Tabelle12[[#This Row],[ELO B gesamt]]</f>
        <v>#N/A</v>
      </c>
      <c r="S575" s="1" t="e">
        <f>Tabelle12[[#This Row],[ELO vorher B2]]/Tabelle12[[#This Row],[ELO B gesamt]]</f>
        <v>#N/A</v>
      </c>
      <c r="T575" s="19"/>
      <c r="U575" s="1" t="e">
        <f>1/(1+Ergebnisvorhersage!$C$5^((Q575-K575)/Ergebnisvorhersage!$C$6))</f>
        <v>#N/A</v>
      </c>
      <c r="V575" s="1" t="e">
        <f>1/(1+Ergebnisvorhersage!$C$5^((K575-Q575)/Ergebnisvorhersage!$C$6))</f>
        <v>#N/A</v>
      </c>
      <c r="W575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75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75" s="17"/>
      <c r="Z575" s="12" t="e">
        <f>Ergebnisbewertung!$C$5*(W575-U575)</f>
        <v>#N/A</v>
      </c>
      <c r="AA575" s="12" t="e">
        <f>Ergebnisbewertung!$C$5*(X575-V575)</f>
        <v>#N/A</v>
      </c>
      <c r="AB575" s="12" t="e">
        <f>IF(SIGN(Tabelle12[[#This Row],[Änderung A]])=-1,Tabelle12[[#This Row],[Änderung A]]*(Tabelle12[[#This Row],[Anteil A1]]),Tabelle12[[#This Row],[Änderung A]]*(1-Tabelle12[[#This Row],[Anteil A1]]))</f>
        <v>#N/A</v>
      </c>
      <c r="AC575" s="12" t="e">
        <f>IF(SIGN(Tabelle12[[#This Row],[Änderung A]])=-1,Tabelle12[[#This Row],[Änderung A]]*(Tabelle12[[#This Row],[Anteil A2]]),Tabelle12[[#This Row],[Änderung A]]*(1-Tabelle12[[#This Row],[Anteil A2]]))</f>
        <v>#N/A</v>
      </c>
      <c r="AD575" s="12" t="e">
        <f>IF(SIGN(Tabelle12[[#This Row],[Änderung B]])=-1,Tabelle12[[#This Row],[Änderung B]]*(Tabelle12[[#This Row],[Anteil B1]]),Tabelle12[[#This Row],[Änderung B]]*(1-Tabelle12[[#This Row],[Anteil B1]]))</f>
        <v>#N/A</v>
      </c>
      <c r="AE575" s="12" t="e">
        <f>IF(SIGN(Tabelle12[[#This Row],[Änderung B]])=-1,Tabelle12[[#This Row],[Änderung B]]*(Tabelle12[[#This Row],[Anteil B2]]),Tabelle12[[#This Row],[Änderung B]]*(1-Tabelle12[[#This Row],[Anteil B2]]))</f>
        <v>#N/A</v>
      </c>
      <c r="AF575" s="17"/>
      <c r="AG575">
        <f>IF(IFERROR(Tabelle12[[#This Row],[Änderung B2]],0)=0,0,Tabelle12[[#This Row],[Spiel]])</f>
        <v>0</v>
      </c>
      <c r="AH575" t="e">
        <f>MATCH(Tabelle12[[#This Row],[Team A]],SpielerDaten!$1:$1,0)</f>
        <v>#N/A</v>
      </c>
      <c r="AI575" t="e">
        <f>MATCH(Tabelle12[[#This Row],[Team A2]],SpielerDaten!$1:$1,0)</f>
        <v>#N/A</v>
      </c>
      <c r="AJ575" t="e">
        <f>MATCH(Tabelle12[[#This Row],[Team B]],SpielerDaten!$1:$1,0)</f>
        <v>#N/A</v>
      </c>
      <c r="AK575" t="e">
        <f>MATCH(Tabelle12[[#This Row],[Team B3]],SpielerDaten!$1:$1,0)</f>
        <v>#N/A</v>
      </c>
    </row>
    <row r="576" spans="1:37" x14ac:dyDescent="0.25">
      <c r="A576">
        <v>574</v>
      </c>
      <c r="B576">
        <f>Tabelle6[[#This Row],[player_A1]]</f>
        <v>0</v>
      </c>
      <c r="C576">
        <f>Tabelle6[[#This Row],[player_A2]]</f>
        <v>0</v>
      </c>
      <c r="D576">
        <f>Tabelle6[[#This Row],[player_B1]]</f>
        <v>0</v>
      </c>
      <c r="E576">
        <f>Tabelle6[[#This Row],[player_B2]]</f>
        <v>0</v>
      </c>
      <c r="F576">
        <f>Tabelle6[[#This Row],[Tore A]]</f>
        <v>0</v>
      </c>
      <c r="G576">
        <f>Tabelle6[[#This Row],[Tore B]]</f>
        <v>0</v>
      </c>
      <c r="H576" s="17"/>
      <c r="I576" s="1" t="e">
        <f>INDEX(Tabelle11[#All],(Tabelle12[[#This Row],[Spiel]]+13),Tabelle12[[#This Row],[ID A1]])</f>
        <v>#N/A</v>
      </c>
      <c r="J576" s="1" t="e">
        <f>INDEX(Tabelle11[#All],(Tabelle12[[#This Row],[Spiel]]+13),Tabelle12[[#This Row],[ID A2]])</f>
        <v>#N/A</v>
      </c>
      <c r="K576" s="1" t="e">
        <f>SUM(Tabelle12[[#This Row],[ELO vorher A1]:[ELO vorher A2]])</f>
        <v>#N/A</v>
      </c>
      <c r="L576" s="1" t="e">
        <f>Tabelle12[[#This Row],[ELO vorher A1]]/Tabelle12[[#This Row],[ELO A gesamt]]</f>
        <v>#N/A</v>
      </c>
      <c r="M576" s="1" t="e">
        <f>Tabelle12[[#This Row],[ELO vorher A2]]/Tabelle12[[#This Row],[ELO A gesamt]]</f>
        <v>#N/A</v>
      </c>
      <c r="N576" s="19"/>
      <c r="O576" s="1" t="e">
        <f>INDEX(Tabelle11[#All],(Tabelle12[[#This Row],[Spiel]]+13),Tabelle12[[#This Row],[ID B1]])</f>
        <v>#N/A</v>
      </c>
      <c r="P576" s="1" t="e">
        <f>INDEX(Tabelle11[#All],(Tabelle12[[#This Row],[Spiel]]+13),Tabelle12[[#This Row],[ID B2]])</f>
        <v>#N/A</v>
      </c>
      <c r="Q576" s="1" t="e">
        <f>SUM(Tabelle12[[#This Row],[ELO vorher B1]:[ELO vorher B2]])</f>
        <v>#N/A</v>
      </c>
      <c r="R576" s="1" t="e">
        <f>Tabelle12[[#This Row],[ELO vorher B1]]/Tabelle12[[#This Row],[ELO B gesamt]]</f>
        <v>#N/A</v>
      </c>
      <c r="S576" s="1" t="e">
        <f>Tabelle12[[#This Row],[ELO vorher B2]]/Tabelle12[[#This Row],[ELO B gesamt]]</f>
        <v>#N/A</v>
      </c>
      <c r="T576" s="19"/>
      <c r="U576" s="1" t="e">
        <f>1/(1+Ergebnisvorhersage!$C$5^((Q576-K576)/Ergebnisvorhersage!$C$6))</f>
        <v>#N/A</v>
      </c>
      <c r="V576" s="1" t="e">
        <f>1/(1+Ergebnisvorhersage!$C$5^((K576-Q576)/Ergebnisvorhersage!$C$6))</f>
        <v>#N/A</v>
      </c>
      <c r="W576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76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76" s="17"/>
      <c r="Z576" s="12" t="e">
        <f>Ergebnisbewertung!$C$5*(W576-U576)</f>
        <v>#N/A</v>
      </c>
      <c r="AA576" s="12" t="e">
        <f>Ergebnisbewertung!$C$5*(X576-V576)</f>
        <v>#N/A</v>
      </c>
      <c r="AB576" s="12" t="e">
        <f>IF(SIGN(Tabelle12[[#This Row],[Änderung A]])=-1,Tabelle12[[#This Row],[Änderung A]]*(Tabelle12[[#This Row],[Anteil A1]]),Tabelle12[[#This Row],[Änderung A]]*(1-Tabelle12[[#This Row],[Anteil A1]]))</f>
        <v>#N/A</v>
      </c>
      <c r="AC576" s="12" t="e">
        <f>IF(SIGN(Tabelle12[[#This Row],[Änderung A]])=-1,Tabelle12[[#This Row],[Änderung A]]*(Tabelle12[[#This Row],[Anteil A2]]),Tabelle12[[#This Row],[Änderung A]]*(1-Tabelle12[[#This Row],[Anteil A2]]))</f>
        <v>#N/A</v>
      </c>
      <c r="AD576" s="12" t="e">
        <f>IF(SIGN(Tabelle12[[#This Row],[Änderung B]])=-1,Tabelle12[[#This Row],[Änderung B]]*(Tabelle12[[#This Row],[Anteil B1]]),Tabelle12[[#This Row],[Änderung B]]*(1-Tabelle12[[#This Row],[Anteil B1]]))</f>
        <v>#N/A</v>
      </c>
      <c r="AE576" s="12" t="e">
        <f>IF(SIGN(Tabelle12[[#This Row],[Änderung B]])=-1,Tabelle12[[#This Row],[Änderung B]]*(Tabelle12[[#This Row],[Anteil B2]]),Tabelle12[[#This Row],[Änderung B]]*(1-Tabelle12[[#This Row],[Anteil B2]]))</f>
        <v>#N/A</v>
      </c>
      <c r="AF576" s="17"/>
      <c r="AG576">
        <f>IF(IFERROR(Tabelle12[[#This Row],[Änderung B2]],0)=0,0,Tabelle12[[#This Row],[Spiel]])</f>
        <v>0</v>
      </c>
      <c r="AH576" t="e">
        <f>MATCH(Tabelle12[[#This Row],[Team A]],SpielerDaten!$1:$1,0)</f>
        <v>#N/A</v>
      </c>
      <c r="AI576" t="e">
        <f>MATCH(Tabelle12[[#This Row],[Team A2]],SpielerDaten!$1:$1,0)</f>
        <v>#N/A</v>
      </c>
      <c r="AJ576" t="e">
        <f>MATCH(Tabelle12[[#This Row],[Team B]],SpielerDaten!$1:$1,0)</f>
        <v>#N/A</v>
      </c>
      <c r="AK576" t="e">
        <f>MATCH(Tabelle12[[#This Row],[Team B3]],SpielerDaten!$1:$1,0)</f>
        <v>#N/A</v>
      </c>
    </row>
    <row r="577" spans="1:37" x14ac:dyDescent="0.25">
      <c r="A577">
        <v>575</v>
      </c>
      <c r="B577">
        <f>Tabelle6[[#This Row],[player_A1]]</f>
        <v>0</v>
      </c>
      <c r="C577">
        <f>Tabelle6[[#This Row],[player_A2]]</f>
        <v>0</v>
      </c>
      <c r="D577">
        <f>Tabelle6[[#This Row],[player_B1]]</f>
        <v>0</v>
      </c>
      <c r="E577">
        <f>Tabelle6[[#This Row],[player_B2]]</f>
        <v>0</v>
      </c>
      <c r="F577">
        <f>Tabelle6[[#This Row],[Tore A]]</f>
        <v>0</v>
      </c>
      <c r="G577">
        <f>Tabelle6[[#This Row],[Tore B]]</f>
        <v>0</v>
      </c>
      <c r="H577" s="17"/>
      <c r="I577" s="1" t="e">
        <f>INDEX(Tabelle11[#All],(Tabelle12[[#This Row],[Spiel]]+13),Tabelle12[[#This Row],[ID A1]])</f>
        <v>#N/A</v>
      </c>
      <c r="J577" s="1" t="e">
        <f>INDEX(Tabelle11[#All],(Tabelle12[[#This Row],[Spiel]]+13),Tabelle12[[#This Row],[ID A2]])</f>
        <v>#N/A</v>
      </c>
      <c r="K577" s="1" t="e">
        <f>SUM(Tabelle12[[#This Row],[ELO vorher A1]:[ELO vorher A2]])</f>
        <v>#N/A</v>
      </c>
      <c r="L577" s="1" t="e">
        <f>Tabelle12[[#This Row],[ELO vorher A1]]/Tabelle12[[#This Row],[ELO A gesamt]]</f>
        <v>#N/A</v>
      </c>
      <c r="M577" s="1" t="e">
        <f>Tabelle12[[#This Row],[ELO vorher A2]]/Tabelle12[[#This Row],[ELO A gesamt]]</f>
        <v>#N/A</v>
      </c>
      <c r="N577" s="19"/>
      <c r="O577" s="1" t="e">
        <f>INDEX(Tabelle11[#All],(Tabelle12[[#This Row],[Spiel]]+13),Tabelle12[[#This Row],[ID B1]])</f>
        <v>#N/A</v>
      </c>
      <c r="P577" s="1" t="e">
        <f>INDEX(Tabelle11[#All],(Tabelle12[[#This Row],[Spiel]]+13),Tabelle12[[#This Row],[ID B2]])</f>
        <v>#N/A</v>
      </c>
      <c r="Q577" s="1" t="e">
        <f>SUM(Tabelle12[[#This Row],[ELO vorher B1]:[ELO vorher B2]])</f>
        <v>#N/A</v>
      </c>
      <c r="R577" s="1" t="e">
        <f>Tabelle12[[#This Row],[ELO vorher B1]]/Tabelle12[[#This Row],[ELO B gesamt]]</f>
        <v>#N/A</v>
      </c>
      <c r="S577" s="1" t="e">
        <f>Tabelle12[[#This Row],[ELO vorher B2]]/Tabelle12[[#This Row],[ELO B gesamt]]</f>
        <v>#N/A</v>
      </c>
      <c r="T577" s="19"/>
      <c r="U577" s="1" t="e">
        <f>1/(1+Ergebnisvorhersage!$C$5^((Q577-K577)/Ergebnisvorhersage!$C$6))</f>
        <v>#N/A</v>
      </c>
      <c r="V577" s="1" t="e">
        <f>1/(1+Ergebnisvorhersage!$C$5^((K577-Q577)/Ergebnisvorhersage!$C$6))</f>
        <v>#N/A</v>
      </c>
      <c r="W577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77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77" s="17"/>
      <c r="Z577" s="12" t="e">
        <f>Ergebnisbewertung!$C$5*(W577-U577)</f>
        <v>#N/A</v>
      </c>
      <c r="AA577" s="12" t="e">
        <f>Ergebnisbewertung!$C$5*(X577-V577)</f>
        <v>#N/A</v>
      </c>
      <c r="AB577" s="12" t="e">
        <f>IF(SIGN(Tabelle12[[#This Row],[Änderung A]])=-1,Tabelle12[[#This Row],[Änderung A]]*(Tabelle12[[#This Row],[Anteil A1]]),Tabelle12[[#This Row],[Änderung A]]*(1-Tabelle12[[#This Row],[Anteil A1]]))</f>
        <v>#N/A</v>
      </c>
      <c r="AC577" s="12" t="e">
        <f>IF(SIGN(Tabelle12[[#This Row],[Änderung A]])=-1,Tabelle12[[#This Row],[Änderung A]]*(Tabelle12[[#This Row],[Anteil A2]]),Tabelle12[[#This Row],[Änderung A]]*(1-Tabelle12[[#This Row],[Anteil A2]]))</f>
        <v>#N/A</v>
      </c>
      <c r="AD577" s="12" t="e">
        <f>IF(SIGN(Tabelle12[[#This Row],[Änderung B]])=-1,Tabelle12[[#This Row],[Änderung B]]*(Tabelle12[[#This Row],[Anteil B1]]),Tabelle12[[#This Row],[Änderung B]]*(1-Tabelle12[[#This Row],[Anteil B1]]))</f>
        <v>#N/A</v>
      </c>
      <c r="AE577" s="12" t="e">
        <f>IF(SIGN(Tabelle12[[#This Row],[Änderung B]])=-1,Tabelle12[[#This Row],[Änderung B]]*(Tabelle12[[#This Row],[Anteil B2]]),Tabelle12[[#This Row],[Änderung B]]*(1-Tabelle12[[#This Row],[Anteil B2]]))</f>
        <v>#N/A</v>
      </c>
      <c r="AF577" s="17"/>
      <c r="AG577">
        <f>IF(IFERROR(Tabelle12[[#This Row],[Änderung B2]],0)=0,0,Tabelle12[[#This Row],[Spiel]])</f>
        <v>0</v>
      </c>
      <c r="AH577" t="e">
        <f>MATCH(Tabelle12[[#This Row],[Team A]],SpielerDaten!$1:$1,0)</f>
        <v>#N/A</v>
      </c>
      <c r="AI577" t="e">
        <f>MATCH(Tabelle12[[#This Row],[Team A2]],SpielerDaten!$1:$1,0)</f>
        <v>#N/A</v>
      </c>
      <c r="AJ577" t="e">
        <f>MATCH(Tabelle12[[#This Row],[Team B]],SpielerDaten!$1:$1,0)</f>
        <v>#N/A</v>
      </c>
      <c r="AK577" t="e">
        <f>MATCH(Tabelle12[[#This Row],[Team B3]],SpielerDaten!$1:$1,0)</f>
        <v>#N/A</v>
      </c>
    </row>
    <row r="578" spans="1:37" x14ac:dyDescent="0.25">
      <c r="A578">
        <v>576</v>
      </c>
      <c r="B578">
        <f>Tabelle6[[#This Row],[player_A1]]</f>
        <v>0</v>
      </c>
      <c r="C578">
        <f>Tabelle6[[#This Row],[player_A2]]</f>
        <v>0</v>
      </c>
      <c r="D578">
        <f>Tabelle6[[#This Row],[player_B1]]</f>
        <v>0</v>
      </c>
      <c r="E578">
        <f>Tabelle6[[#This Row],[player_B2]]</f>
        <v>0</v>
      </c>
      <c r="F578">
        <f>Tabelle6[[#This Row],[Tore A]]</f>
        <v>0</v>
      </c>
      <c r="G578">
        <f>Tabelle6[[#This Row],[Tore B]]</f>
        <v>0</v>
      </c>
      <c r="H578" s="17"/>
      <c r="I578" s="1" t="e">
        <f>INDEX(Tabelle11[#All],(Tabelle12[[#This Row],[Spiel]]+13),Tabelle12[[#This Row],[ID A1]])</f>
        <v>#N/A</v>
      </c>
      <c r="J578" s="1" t="e">
        <f>INDEX(Tabelle11[#All],(Tabelle12[[#This Row],[Spiel]]+13),Tabelle12[[#This Row],[ID A2]])</f>
        <v>#N/A</v>
      </c>
      <c r="K578" s="1" t="e">
        <f>SUM(Tabelle12[[#This Row],[ELO vorher A1]:[ELO vorher A2]])</f>
        <v>#N/A</v>
      </c>
      <c r="L578" s="1" t="e">
        <f>Tabelle12[[#This Row],[ELO vorher A1]]/Tabelle12[[#This Row],[ELO A gesamt]]</f>
        <v>#N/A</v>
      </c>
      <c r="M578" s="1" t="e">
        <f>Tabelle12[[#This Row],[ELO vorher A2]]/Tabelle12[[#This Row],[ELO A gesamt]]</f>
        <v>#N/A</v>
      </c>
      <c r="N578" s="19"/>
      <c r="O578" s="1" t="e">
        <f>INDEX(Tabelle11[#All],(Tabelle12[[#This Row],[Spiel]]+13),Tabelle12[[#This Row],[ID B1]])</f>
        <v>#N/A</v>
      </c>
      <c r="P578" s="1" t="e">
        <f>INDEX(Tabelle11[#All],(Tabelle12[[#This Row],[Spiel]]+13),Tabelle12[[#This Row],[ID B2]])</f>
        <v>#N/A</v>
      </c>
      <c r="Q578" s="1" t="e">
        <f>SUM(Tabelle12[[#This Row],[ELO vorher B1]:[ELO vorher B2]])</f>
        <v>#N/A</v>
      </c>
      <c r="R578" s="1" t="e">
        <f>Tabelle12[[#This Row],[ELO vorher B1]]/Tabelle12[[#This Row],[ELO B gesamt]]</f>
        <v>#N/A</v>
      </c>
      <c r="S578" s="1" t="e">
        <f>Tabelle12[[#This Row],[ELO vorher B2]]/Tabelle12[[#This Row],[ELO B gesamt]]</f>
        <v>#N/A</v>
      </c>
      <c r="T578" s="19"/>
      <c r="U578" s="1" t="e">
        <f>1/(1+Ergebnisvorhersage!$C$5^((Q578-K578)/Ergebnisvorhersage!$C$6))</f>
        <v>#N/A</v>
      </c>
      <c r="V578" s="1" t="e">
        <f>1/(1+Ergebnisvorhersage!$C$5^((K578-Q578)/Ergebnisvorhersage!$C$6))</f>
        <v>#N/A</v>
      </c>
      <c r="W578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78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78" s="17"/>
      <c r="Z578" s="12" t="e">
        <f>Ergebnisbewertung!$C$5*(W578-U578)</f>
        <v>#N/A</v>
      </c>
      <c r="AA578" s="12" t="e">
        <f>Ergebnisbewertung!$C$5*(X578-V578)</f>
        <v>#N/A</v>
      </c>
      <c r="AB578" s="12" t="e">
        <f>IF(SIGN(Tabelle12[[#This Row],[Änderung A]])=-1,Tabelle12[[#This Row],[Änderung A]]*(Tabelle12[[#This Row],[Anteil A1]]),Tabelle12[[#This Row],[Änderung A]]*(1-Tabelle12[[#This Row],[Anteil A1]]))</f>
        <v>#N/A</v>
      </c>
      <c r="AC578" s="12" t="e">
        <f>IF(SIGN(Tabelle12[[#This Row],[Änderung A]])=-1,Tabelle12[[#This Row],[Änderung A]]*(Tabelle12[[#This Row],[Anteil A2]]),Tabelle12[[#This Row],[Änderung A]]*(1-Tabelle12[[#This Row],[Anteil A2]]))</f>
        <v>#N/A</v>
      </c>
      <c r="AD578" s="12" t="e">
        <f>IF(SIGN(Tabelle12[[#This Row],[Änderung B]])=-1,Tabelle12[[#This Row],[Änderung B]]*(Tabelle12[[#This Row],[Anteil B1]]),Tabelle12[[#This Row],[Änderung B]]*(1-Tabelle12[[#This Row],[Anteil B1]]))</f>
        <v>#N/A</v>
      </c>
      <c r="AE578" s="12" t="e">
        <f>IF(SIGN(Tabelle12[[#This Row],[Änderung B]])=-1,Tabelle12[[#This Row],[Änderung B]]*(Tabelle12[[#This Row],[Anteil B2]]),Tabelle12[[#This Row],[Änderung B]]*(1-Tabelle12[[#This Row],[Anteil B2]]))</f>
        <v>#N/A</v>
      </c>
      <c r="AF578" s="17"/>
      <c r="AG578">
        <f>IF(IFERROR(Tabelle12[[#This Row],[Änderung B2]],0)=0,0,Tabelle12[[#This Row],[Spiel]])</f>
        <v>0</v>
      </c>
      <c r="AH578" t="e">
        <f>MATCH(Tabelle12[[#This Row],[Team A]],SpielerDaten!$1:$1,0)</f>
        <v>#N/A</v>
      </c>
      <c r="AI578" t="e">
        <f>MATCH(Tabelle12[[#This Row],[Team A2]],SpielerDaten!$1:$1,0)</f>
        <v>#N/A</v>
      </c>
      <c r="AJ578" t="e">
        <f>MATCH(Tabelle12[[#This Row],[Team B]],SpielerDaten!$1:$1,0)</f>
        <v>#N/A</v>
      </c>
      <c r="AK578" t="e">
        <f>MATCH(Tabelle12[[#This Row],[Team B3]],SpielerDaten!$1:$1,0)</f>
        <v>#N/A</v>
      </c>
    </row>
    <row r="579" spans="1:37" x14ac:dyDescent="0.25">
      <c r="A579">
        <v>577</v>
      </c>
      <c r="B579">
        <f>Tabelle6[[#This Row],[player_A1]]</f>
        <v>0</v>
      </c>
      <c r="C579">
        <f>Tabelle6[[#This Row],[player_A2]]</f>
        <v>0</v>
      </c>
      <c r="D579">
        <f>Tabelle6[[#This Row],[player_B1]]</f>
        <v>0</v>
      </c>
      <c r="E579">
        <f>Tabelle6[[#This Row],[player_B2]]</f>
        <v>0</v>
      </c>
      <c r="F579">
        <f>Tabelle6[[#This Row],[Tore A]]</f>
        <v>0</v>
      </c>
      <c r="G579">
        <f>Tabelle6[[#This Row],[Tore B]]</f>
        <v>0</v>
      </c>
      <c r="H579" s="17"/>
      <c r="I579" s="1" t="e">
        <f>INDEX(Tabelle11[#All],(Tabelle12[[#This Row],[Spiel]]+13),Tabelle12[[#This Row],[ID A1]])</f>
        <v>#N/A</v>
      </c>
      <c r="J579" s="1" t="e">
        <f>INDEX(Tabelle11[#All],(Tabelle12[[#This Row],[Spiel]]+13),Tabelle12[[#This Row],[ID A2]])</f>
        <v>#N/A</v>
      </c>
      <c r="K579" s="1" t="e">
        <f>SUM(Tabelle12[[#This Row],[ELO vorher A1]:[ELO vorher A2]])</f>
        <v>#N/A</v>
      </c>
      <c r="L579" s="1" t="e">
        <f>Tabelle12[[#This Row],[ELO vorher A1]]/Tabelle12[[#This Row],[ELO A gesamt]]</f>
        <v>#N/A</v>
      </c>
      <c r="M579" s="1" t="e">
        <f>Tabelle12[[#This Row],[ELO vorher A2]]/Tabelle12[[#This Row],[ELO A gesamt]]</f>
        <v>#N/A</v>
      </c>
      <c r="N579" s="19"/>
      <c r="O579" s="1" t="e">
        <f>INDEX(Tabelle11[#All],(Tabelle12[[#This Row],[Spiel]]+13),Tabelle12[[#This Row],[ID B1]])</f>
        <v>#N/A</v>
      </c>
      <c r="P579" s="1" t="e">
        <f>INDEX(Tabelle11[#All],(Tabelle12[[#This Row],[Spiel]]+13),Tabelle12[[#This Row],[ID B2]])</f>
        <v>#N/A</v>
      </c>
      <c r="Q579" s="1" t="e">
        <f>SUM(Tabelle12[[#This Row],[ELO vorher B1]:[ELO vorher B2]])</f>
        <v>#N/A</v>
      </c>
      <c r="R579" s="1" t="e">
        <f>Tabelle12[[#This Row],[ELO vorher B1]]/Tabelle12[[#This Row],[ELO B gesamt]]</f>
        <v>#N/A</v>
      </c>
      <c r="S579" s="1" t="e">
        <f>Tabelle12[[#This Row],[ELO vorher B2]]/Tabelle12[[#This Row],[ELO B gesamt]]</f>
        <v>#N/A</v>
      </c>
      <c r="T579" s="19"/>
      <c r="U579" s="1" t="e">
        <f>1/(1+Ergebnisvorhersage!$C$5^((Q579-K579)/Ergebnisvorhersage!$C$6))</f>
        <v>#N/A</v>
      </c>
      <c r="V579" s="1" t="e">
        <f>1/(1+Ergebnisvorhersage!$C$5^((K579-Q579)/Ergebnisvorhersage!$C$6))</f>
        <v>#N/A</v>
      </c>
      <c r="W579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79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79" s="17"/>
      <c r="Z579" s="12" t="e">
        <f>Ergebnisbewertung!$C$5*(W579-U579)</f>
        <v>#N/A</v>
      </c>
      <c r="AA579" s="12" t="e">
        <f>Ergebnisbewertung!$C$5*(X579-V579)</f>
        <v>#N/A</v>
      </c>
      <c r="AB579" s="12" t="e">
        <f>IF(SIGN(Tabelle12[[#This Row],[Änderung A]])=-1,Tabelle12[[#This Row],[Änderung A]]*(Tabelle12[[#This Row],[Anteil A1]]),Tabelle12[[#This Row],[Änderung A]]*(1-Tabelle12[[#This Row],[Anteil A1]]))</f>
        <v>#N/A</v>
      </c>
      <c r="AC579" s="12" t="e">
        <f>IF(SIGN(Tabelle12[[#This Row],[Änderung A]])=-1,Tabelle12[[#This Row],[Änderung A]]*(Tabelle12[[#This Row],[Anteil A2]]),Tabelle12[[#This Row],[Änderung A]]*(1-Tabelle12[[#This Row],[Anteil A2]]))</f>
        <v>#N/A</v>
      </c>
      <c r="AD579" s="12" t="e">
        <f>IF(SIGN(Tabelle12[[#This Row],[Änderung B]])=-1,Tabelle12[[#This Row],[Änderung B]]*(Tabelle12[[#This Row],[Anteil B1]]),Tabelle12[[#This Row],[Änderung B]]*(1-Tabelle12[[#This Row],[Anteil B1]]))</f>
        <v>#N/A</v>
      </c>
      <c r="AE579" s="12" t="e">
        <f>IF(SIGN(Tabelle12[[#This Row],[Änderung B]])=-1,Tabelle12[[#This Row],[Änderung B]]*(Tabelle12[[#This Row],[Anteil B2]]),Tabelle12[[#This Row],[Änderung B]]*(1-Tabelle12[[#This Row],[Anteil B2]]))</f>
        <v>#N/A</v>
      </c>
      <c r="AF579" s="17"/>
      <c r="AG579">
        <f>IF(IFERROR(Tabelle12[[#This Row],[Änderung B2]],0)=0,0,Tabelle12[[#This Row],[Spiel]])</f>
        <v>0</v>
      </c>
      <c r="AH579" t="e">
        <f>MATCH(Tabelle12[[#This Row],[Team A]],SpielerDaten!$1:$1,0)</f>
        <v>#N/A</v>
      </c>
      <c r="AI579" t="e">
        <f>MATCH(Tabelle12[[#This Row],[Team A2]],SpielerDaten!$1:$1,0)</f>
        <v>#N/A</v>
      </c>
      <c r="AJ579" t="e">
        <f>MATCH(Tabelle12[[#This Row],[Team B]],SpielerDaten!$1:$1,0)</f>
        <v>#N/A</v>
      </c>
      <c r="AK579" t="e">
        <f>MATCH(Tabelle12[[#This Row],[Team B3]],SpielerDaten!$1:$1,0)</f>
        <v>#N/A</v>
      </c>
    </row>
    <row r="580" spans="1:37" x14ac:dyDescent="0.25">
      <c r="A580">
        <v>578</v>
      </c>
      <c r="B580">
        <f>Tabelle6[[#This Row],[player_A1]]</f>
        <v>0</v>
      </c>
      <c r="C580">
        <f>Tabelle6[[#This Row],[player_A2]]</f>
        <v>0</v>
      </c>
      <c r="D580">
        <f>Tabelle6[[#This Row],[player_B1]]</f>
        <v>0</v>
      </c>
      <c r="E580">
        <f>Tabelle6[[#This Row],[player_B2]]</f>
        <v>0</v>
      </c>
      <c r="F580">
        <f>Tabelle6[[#This Row],[Tore A]]</f>
        <v>0</v>
      </c>
      <c r="G580">
        <f>Tabelle6[[#This Row],[Tore B]]</f>
        <v>0</v>
      </c>
      <c r="H580" s="17"/>
      <c r="I580" s="1" t="e">
        <f>INDEX(Tabelle11[#All],(Tabelle12[[#This Row],[Spiel]]+13),Tabelle12[[#This Row],[ID A1]])</f>
        <v>#N/A</v>
      </c>
      <c r="J580" s="1" t="e">
        <f>INDEX(Tabelle11[#All],(Tabelle12[[#This Row],[Spiel]]+13),Tabelle12[[#This Row],[ID A2]])</f>
        <v>#N/A</v>
      </c>
      <c r="K580" s="1" t="e">
        <f>SUM(Tabelle12[[#This Row],[ELO vorher A1]:[ELO vorher A2]])</f>
        <v>#N/A</v>
      </c>
      <c r="L580" s="1" t="e">
        <f>Tabelle12[[#This Row],[ELO vorher A1]]/Tabelle12[[#This Row],[ELO A gesamt]]</f>
        <v>#N/A</v>
      </c>
      <c r="M580" s="1" t="e">
        <f>Tabelle12[[#This Row],[ELO vorher A2]]/Tabelle12[[#This Row],[ELO A gesamt]]</f>
        <v>#N/A</v>
      </c>
      <c r="N580" s="19"/>
      <c r="O580" s="1" t="e">
        <f>INDEX(Tabelle11[#All],(Tabelle12[[#This Row],[Spiel]]+13),Tabelle12[[#This Row],[ID B1]])</f>
        <v>#N/A</v>
      </c>
      <c r="P580" s="1" t="e">
        <f>INDEX(Tabelle11[#All],(Tabelle12[[#This Row],[Spiel]]+13),Tabelle12[[#This Row],[ID B2]])</f>
        <v>#N/A</v>
      </c>
      <c r="Q580" s="1" t="e">
        <f>SUM(Tabelle12[[#This Row],[ELO vorher B1]:[ELO vorher B2]])</f>
        <v>#N/A</v>
      </c>
      <c r="R580" s="1" t="e">
        <f>Tabelle12[[#This Row],[ELO vorher B1]]/Tabelle12[[#This Row],[ELO B gesamt]]</f>
        <v>#N/A</v>
      </c>
      <c r="S580" s="1" t="e">
        <f>Tabelle12[[#This Row],[ELO vorher B2]]/Tabelle12[[#This Row],[ELO B gesamt]]</f>
        <v>#N/A</v>
      </c>
      <c r="T580" s="19"/>
      <c r="U580" s="1" t="e">
        <f>1/(1+Ergebnisvorhersage!$C$5^((Q580-K580)/Ergebnisvorhersage!$C$6))</f>
        <v>#N/A</v>
      </c>
      <c r="V580" s="1" t="e">
        <f>1/(1+Ergebnisvorhersage!$C$5^((K580-Q580)/Ergebnisvorhersage!$C$6))</f>
        <v>#N/A</v>
      </c>
      <c r="W580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80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80" s="17"/>
      <c r="Z580" s="12" t="e">
        <f>Ergebnisbewertung!$C$5*(W580-U580)</f>
        <v>#N/A</v>
      </c>
      <c r="AA580" s="12" t="e">
        <f>Ergebnisbewertung!$C$5*(X580-V580)</f>
        <v>#N/A</v>
      </c>
      <c r="AB580" s="12" t="e">
        <f>IF(SIGN(Tabelle12[[#This Row],[Änderung A]])=-1,Tabelle12[[#This Row],[Änderung A]]*(Tabelle12[[#This Row],[Anteil A1]]),Tabelle12[[#This Row],[Änderung A]]*(1-Tabelle12[[#This Row],[Anteil A1]]))</f>
        <v>#N/A</v>
      </c>
      <c r="AC580" s="12" t="e">
        <f>IF(SIGN(Tabelle12[[#This Row],[Änderung A]])=-1,Tabelle12[[#This Row],[Änderung A]]*(Tabelle12[[#This Row],[Anteil A2]]),Tabelle12[[#This Row],[Änderung A]]*(1-Tabelle12[[#This Row],[Anteil A2]]))</f>
        <v>#N/A</v>
      </c>
      <c r="AD580" s="12" t="e">
        <f>IF(SIGN(Tabelle12[[#This Row],[Änderung B]])=-1,Tabelle12[[#This Row],[Änderung B]]*(Tabelle12[[#This Row],[Anteil B1]]),Tabelle12[[#This Row],[Änderung B]]*(1-Tabelle12[[#This Row],[Anteil B1]]))</f>
        <v>#N/A</v>
      </c>
      <c r="AE580" s="12" t="e">
        <f>IF(SIGN(Tabelle12[[#This Row],[Änderung B]])=-1,Tabelle12[[#This Row],[Änderung B]]*(Tabelle12[[#This Row],[Anteil B2]]),Tabelle12[[#This Row],[Änderung B]]*(1-Tabelle12[[#This Row],[Anteil B2]]))</f>
        <v>#N/A</v>
      </c>
      <c r="AF580" s="17"/>
      <c r="AG580">
        <f>IF(IFERROR(Tabelle12[[#This Row],[Änderung B2]],0)=0,0,Tabelle12[[#This Row],[Spiel]])</f>
        <v>0</v>
      </c>
      <c r="AH580" t="e">
        <f>MATCH(Tabelle12[[#This Row],[Team A]],SpielerDaten!$1:$1,0)</f>
        <v>#N/A</v>
      </c>
      <c r="AI580" t="e">
        <f>MATCH(Tabelle12[[#This Row],[Team A2]],SpielerDaten!$1:$1,0)</f>
        <v>#N/A</v>
      </c>
      <c r="AJ580" t="e">
        <f>MATCH(Tabelle12[[#This Row],[Team B]],SpielerDaten!$1:$1,0)</f>
        <v>#N/A</v>
      </c>
      <c r="AK580" t="e">
        <f>MATCH(Tabelle12[[#This Row],[Team B3]],SpielerDaten!$1:$1,0)</f>
        <v>#N/A</v>
      </c>
    </row>
    <row r="581" spans="1:37" x14ac:dyDescent="0.25">
      <c r="A581">
        <v>579</v>
      </c>
      <c r="B581">
        <f>Tabelle6[[#This Row],[player_A1]]</f>
        <v>0</v>
      </c>
      <c r="C581">
        <f>Tabelle6[[#This Row],[player_A2]]</f>
        <v>0</v>
      </c>
      <c r="D581">
        <f>Tabelle6[[#This Row],[player_B1]]</f>
        <v>0</v>
      </c>
      <c r="E581">
        <f>Tabelle6[[#This Row],[player_B2]]</f>
        <v>0</v>
      </c>
      <c r="F581">
        <f>Tabelle6[[#This Row],[Tore A]]</f>
        <v>0</v>
      </c>
      <c r="G581">
        <f>Tabelle6[[#This Row],[Tore B]]</f>
        <v>0</v>
      </c>
      <c r="H581" s="17"/>
      <c r="I581" s="1" t="e">
        <f>INDEX(Tabelle11[#All],(Tabelle12[[#This Row],[Spiel]]+13),Tabelle12[[#This Row],[ID A1]])</f>
        <v>#N/A</v>
      </c>
      <c r="J581" s="1" t="e">
        <f>INDEX(Tabelle11[#All],(Tabelle12[[#This Row],[Spiel]]+13),Tabelle12[[#This Row],[ID A2]])</f>
        <v>#N/A</v>
      </c>
      <c r="K581" s="1" t="e">
        <f>SUM(Tabelle12[[#This Row],[ELO vorher A1]:[ELO vorher A2]])</f>
        <v>#N/A</v>
      </c>
      <c r="L581" s="1" t="e">
        <f>Tabelle12[[#This Row],[ELO vorher A1]]/Tabelle12[[#This Row],[ELO A gesamt]]</f>
        <v>#N/A</v>
      </c>
      <c r="M581" s="1" t="e">
        <f>Tabelle12[[#This Row],[ELO vorher A2]]/Tabelle12[[#This Row],[ELO A gesamt]]</f>
        <v>#N/A</v>
      </c>
      <c r="N581" s="19"/>
      <c r="O581" s="1" t="e">
        <f>INDEX(Tabelle11[#All],(Tabelle12[[#This Row],[Spiel]]+13),Tabelle12[[#This Row],[ID B1]])</f>
        <v>#N/A</v>
      </c>
      <c r="P581" s="1" t="e">
        <f>INDEX(Tabelle11[#All],(Tabelle12[[#This Row],[Spiel]]+13),Tabelle12[[#This Row],[ID B2]])</f>
        <v>#N/A</v>
      </c>
      <c r="Q581" s="1" t="e">
        <f>SUM(Tabelle12[[#This Row],[ELO vorher B1]:[ELO vorher B2]])</f>
        <v>#N/A</v>
      </c>
      <c r="R581" s="1" t="e">
        <f>Tabelle12[[#This Row],[ELO vorher B1]]/Tabelle12[[#This Row],[ELO B gesamt]]</f>
        <v>#N/A</v>
      </c>
      <c r="S581" s="1" t="e">
        <f>Tabelle12[[#This Row],[ELO vorher B2]]/Tabelle12[[#This Row],[ELO B gesamt]]</f>
        <v>#N/A</v>
      </c>
      <c r="T581" s="19"/>
      <c r="U581" s="1" t="e">
        <f>1/(1+Ergebnisvorhersage!$C$5^((Q581-K581)/Ergebnisvorhersage!$C$6))</f>
        <v>#N/A</v>
      </c>
      <c r="V581" s="1" t="e">
        <f>1/(1+Ergebnisvorhersage!$C$5^((K581-Q581)/Ergebnisvorhersage!$C$6))</f>
        <v>#N/A</v>
      </c>
      <c r="W581" s="1">
        <f>Ergebnisbewertung!$C$8*(Tabelle12[[#This Row],[Tore A]]-Tabelle12[[#This Row],[Tore B]])^3+Ergebnisbewertung!$C$9*(Tabelle12[[#This Row],[Tore A]]-Tabelle12[[#This Row],[Tore B]])^2+Ergebnisbewertung!$C$10*(Tabelle12[[#This Row],[Tore A]]-Tabelle12[[#This Row],[Tore B]])+Ergebnisbewertung!$C$11</f>
        <v>0.5</v>
      </c>
      <c r="X581" s="1">
        <f>Ergebnisbewertung!$C$8*(Tabelle12[[#This Row],[Tore B]]-Tabelle12[[#This Row],[Tore A]])^3+Ergebnisbewertung!$C$9*(Tabelle12[[#This Row],[Tore B]]-Tabelle12[[#This Row],[Tore A]])^2+Ergebnisbewertung!$C$10*(Tabelle12[[#This Row],[Tore B]]-Tabelle12[[#This Row],[Tore A]])+Ergebnisbewertung!$C$11</f>
        <v>0.5</v>
      </c>
      <c r="Y581" s="17"/>
      <c r="Z581" s="12" t="e">
        <f>Ergebnisbewertung!$C$5*(W581-U581)</f>
        <v>#N/A</v>
      </c>
      <c r="AA581" s="12" t="e">
        <f>Ergebnisbewertung!$C$5*(X581-V581)</f>
        <v>#N/A</v>
      </c>
      <c r="AB581" s="12" t="e">
        <f>IF(SIGN(Tabelle12[[#This Row],[Änderung A]])=-1,Tabelle12[[#This Row],[Änderung A]]*(Tabelle12[[#This Row],[Anteil A1]]),Tabelle12[[#This Row],[Änderung A]]*(1-Tabelle12[[#This Row],[Anteil A1]]))</f>
        <v>#N/A</v>
      </c>
      <c r="AC581" s="12" t="e">
        <f>IF(SIGN(Tabelle12[[#This Row],[Änderung A]])=-1,Tabelle12[[#This Row],[Änderung A]]*(Tabelle12[[#This Row],[Anteil A2]]),Tabelle12[[#This Row],[Änderung A]]*(1-Tabelle12[[#This Row],[Anteil A2]]))</f>
        <v>#N/A</v>
      </c>
      <c r="AD581" s="12" t="e">
        <f>IF(SIGN(Tabelle12[[#This Row],[Änderung B]])=-1,Tabelle12[[#This Row],[Änderung B]]*(Tabelle12[[#This Row],[Anteil B1]]),Tabelle12[[#This Row],[Änderung B]]*(1-Tabelle12[[#This Row],[Anteil B1]]))</f>
        <v>#N/A</v>
      </c>
      <c r="AE581" s="12" t="e">
        <f>IF(SIGN(Tabelle12[[#This Row],[Änderung B]])=-1,Tabelle12[[#This Row],[Änderung B]]*(Tabelle12[[#This Row],[Anteil B2]]),Tabelle12[[#This Row],[Änderung B]]*(1-Tabelle12[[#This Row],[Anteil B2]]))</f>
        <v>#N/A</v>
      </c>
      <c r="AF581" s="17"/>
      <c r="AG581">
        <f>IF(IFERROR(Tabelle12[[#This Row],[Änderung B2]],0)=0,0,Tabelle12[[#This Row],[Spiel]])</f>
        <v>0</v>
      </c>
      <c r="AH581" t="e">
        <f>MATCH(Tabelle12[[#This Row],[Team A]],SpielerDaten!$1:$1,0)</f>
        <v>#N/A</v>
      </c>
      <c r="AI581" t="e">
        <f>MATCH(Tabelle12[[#This Row],[Team A2]],SpielerDaten!$1:$1,0)</f>
        <v>#N/A</v>
      </c>
      <c r="AJ581" t="e">
        <f>MATCH(Tabelle12[[#This Row],[Team B]],SpielerDaten!$1:$1,0)</f>
        <v>#N/A</v>
      </c>
      <c r="AK581" t="e">
        <f>MATCH(Tabelle12[[#This Row],[Team B3]],SpielerDaten!$1:$1,0)</f>
        <v>#N/A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56"/>
  <sheetViews>
    <sheetView workbookViewId="0">
      <selection activeCell="E29" sqref="E29"/>
    </sheetView>
  </sheetViews>
  <sheetFormatPr baseColWidth="10" defaultRowHeight="15" x14ac:dyDescent="0.25"/>
  <cols>
    <col min="3" max="3" width="14.42578125" customWidth="1"/>
  </cols>
  <sheetData>
    <row r="1" spans="1:60" ht="15.75" thickBot="1" x14ac:dyDescent="0.3">
      <c r="A1" t="s">
        <v>35</v>
      </c>
      <c r="B1" s="20" t="s">
        <v>190</v>
      </c>
      <c r="C1" s="20" t="s">
        <v>197</v>
      </c>
      <c r="D1" s="20" t="s">
        <v>191</v>
      </c>
      <c r="E1" s="20" t="s">
        <v>192</v>
      </c>
      <c r="F1" s="20" t="s">
        <v>193</v>
      </c>
      <c r="G1" s="20" t="s">
        <v>194</v>
      </c>
      <c r="H1" s="20" t="s">
        <v>195</v>
      </c>
      <c r="I1" s="20" t="s">
        <v>196</v>
      </c>
      <c r="J1" s="20" t="s">
        <v>198</v>
      </c>
      <c r="K1" s="20" t="s">
        <v>199</v>
      </c>
      <c r="L1" s="20" t="s">
        <v>200</v>
      </c>
      <c r="M1" s="20" t="s">
        <v>201</v>
      </c>
      <c r="N1" s="20" t="s">
        <v>202</v>
      </c>
      <c r="O1" s="20" t="s">
        <v>203</v>
      </c>
      <c r="P1" s="20" t="s">
        <v>204</v>
      </c>
      <c r="Q1" s="20" t="s">
        <v>205</v>
      </c>
      <c r="R1" s="20" t="s">
        <v>206</v>
      </c>
      <c r="S1" s="20" t="s">
        <v>207</v>
      </c>
      <c r="T1" s="20" t="s">
        <v>208</v>
      </c>
      <c r="U1" s="20" t="s">
        <v>209</v>
      </c>
      <c r="V1" s="20" t="s">
        <v>210</v>
      </c>
      <c r="W1" s="20" t="s">
        <v>228</v>
      </c>
      <c r="X1" s="20" t="s">
        <v>211</v>
      </c>
      <c r="Y1" s="20" t="s">
        <v>229</v>
      </c>
      <c r="Z1" s="20" t="s">
        <v>212</v>
      </c>
      <c r="AA1" s="20" t="s">
        <v>213</v>
      </c>
      <c r="AB1" s="20" t="s">
        <v>214</v>
      </c>
      <c r="AC1" s="20" t="s">
        <v>215</v>
      </c>
      <c r="AD1" s="20" t="s">
        <v>216</v>
      </c>
      <c r="AE1" s="20" t="s">
        <v>230</v>
      </c>
      <c r="AF1" s="20" t="s">
        <v>217</v>
      </c>
      <c r="AG1" s="20" t="s">
        <v>218</v>
      </c>
      <c r="AH1" s="20" t="s">
        <v>219</v>
      </c>
      <c r="AI1" s="20" t="s">
        <v>220</v>
      </c>
      <c r="AJ1" s="20" t="s">
        <v>221</v>
      </c>
      <c r="AK1" s="20" t="s">
        <v>222</v>
      </c>
      <c r="AL1" s="20" t="s">
        <v>231</v>
      </c>
      <c r="AM1" s="20" t="s">
        <v>223</v>
      </c>
      <c r="AN1" s="20" t="s">
        <v>224</v>
      </c>
      <c r="AO1" s="20" t="s">
        <v>225</v>
      </c>
      <c r="AP1" s="20" t="s">
        <v>232</v>
      </c>
      <c r="AQ1" s="20" t="s">
        <v>233</v>
      </c>
      <c r="AR1" s="20" t="s">
        <v>234</v>
      </c>
      <c r="AS1" s="20" t="s">
        <v>226</v>
      </c>
      <c r="AT1" s="20" t="s">
        <v>227</v>
      </c>
      <c r="AU1" s="20" t="s">
        <v>235</v>
      </c>
      <c r="AV1" s="20" t="s">
        <v>236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  <c r="BF1" s="1" t="s">
        <v>102</v>
      </c>
      <c r="BG1" s="1" t="s">
        <v>103</v>
      </c>
      <c r="BH1" s="1" t="s">
        <v>104</v>
      </c>
    </row>
    <row r="2" spans="1:60" ht="15.75" thickTop="1" x14ac:dyDescent="0.25">
      <c r="A2" t="s">
        <v>87</v>
      </c>
      <c r="B2" s="1">
        <f>B564</f>
        <v>102.47318019444646</v>
      </c>
      <c r="C2" s="1">
        <f t="shared" ref="C2:BH2" si="0">C564</f>
        <v>95.535732339111306</v>
      </c>
      <c r="D2" s="1">
        <f t="shared" si="0"/>
        <v>99.287728777054667</v>
      </c>
      <c r="E2" s="1">
        <f>E564</f>
        <v>117.49978695184252</v>
      </c>
      <c r="F2" s="1">
        <f t="shared" si="0"/>
        <v>95.932799101521084</v>
      </c>
      <c r="G2" s="1">
        <f t="shared" si="0"/>
        <v>101.20264176422626</v>
      </c>
      <c r="H2" s="1">
        <f t="shared" si="0"/>
        <v>102.6264770510757</v>
      </c>
      <c r="I2" s="1">
        <f t="shared" si="0"/>
        <v>90.817185094326874</v>
      </c>
      <c r="J2" s="1">
        <f t="shared" si="0"/>
        <v>109.73261611443155</v>
      </c>
      <c r="K2" s="1">
        <f t="shared" si="0"/>
        <v>106.16590636000029</v>
      </c>
      <c r="L2" s="1">
        <f t="shared" si="0"/>
        <v>99.990299180470089</v>
      </c>
      <c r="M2" s="1">
        <f t="shared" si="0"/>
        <v>96.715943522481638</v>
      </c>
      <c r="N2" s="1">
        <f t="shared" si="0"/>
        <v>100.04773223105254</v>
      </c>
      <c r="O2" s="1">
        <f t="shared" si="0"/>
        <v>75.131680864937195</v>
      </c>
      <c r="P2" s="1">
        <f t="shared" si="0"/>
        <v>87.984671797367014</v>
      </c>
      <c r="Q2" s="1">
        <f t="shared" si="0"/>
        <v>100.69975721846207</v>
      </c>
      <c r="R2" s="1">
        <f t="shared" si="0"/>
        <v>95.805387841610738</v>
      </c>
      <c r="S2" s="1">
        <f t="shared" si="0"/>
        <v>104.83899184012799</v>
      </c>
      <c r="T2" s="1">
        <f t="shared" si="0"/>
        <v>100.2794420429173</v>
      </c>
      <c r="U2" s="1">
        <f t="shared" si="0"/>
        <v>100.75492416935522</v>
      </c>
      <c r="V2" s="1">
        <f t="shared" si="0"/>
        <v>99.643534710196832</v>
      </c>
      <c r="W2" s="1">
        <f t="shared" si="0"/>
        <v>102.20284750979505</v>
      </c>
      <c r="X2" s="1">
        <f t="shared" si="0"/>
        <v>98.938308797866256</v>
      </c>
      <c r="Y2" s="1">
        <f t="shared" si="0"/>
        <v>96.540305101873642</v>
      </c>
      <c r="Z2" s="1">
        <f t="shared" si="0"/>
        <v>87.497452285475362</v>
      </c>
      <c r="AA2" s="1">
        <f t="shared" si="0"/>
        <v>98.447931341404143</v>
      </c>
      <c r="AB2" s="1">
        <f t="shared" si="0"/>
        <v>85.463329105556824</v>
      </c>
      <c r="AC2" s="1">
        <f t="shared" si="0"/>
        <v>102.12169819441469</v>
      </c>
      <c r="AD2" s="1">
        <f t="shared" si="0"/>
        <v>124.54012374585781</v>
      </c>
      <c r="AE2" s="1">
        <f t="shared" si="0"/>
        <v>96.700266280577438</v>
      </c>
      <c r="AF2" s="1">
        <f t="shared" si="0"/>
        <v>105.42130178599372</v>
      </c>
      <c r="AG2" s="1">
        <f t="shared" si="0"/>
        <v>96.436276170375336</v>
      </c>
      <c r="AH2" s="1">
        <f t="shared" si="0"/>
        <v>98.975330692053802</v>
      </c>
      <c r="AI2" s="1">
        <f t="shared" si="0"/>
        <v>109.38890657420265</v>
      </c>
      <c r="AJ2" s="1">
        <f t="shared" si="0"/>
        <v>101.06482124619033</v>
      </c>
      <c r="AK2" s="1">
        <f t="shared" si="0"/>
        <v>88.762543186332877</v>
      </c>
      <c r="AL2" s="1">
        <f t="shared" si="0"/>
        <v>107.23233592026223</v>
      </c>
      <c r="AM2" s="1">
        <f t="shared" si="0"/>
        <v>116.7028707921346</v>
      </c>
      <c r="AN2" s="1">
        <f t="shared" si="0"/>
        <v>102.89457418671324</v>
      </c>
      <c r="AO2" s="1">
        <f t="shared" si="0"/>
        <v>97.749574367408982</v>
      </c>
      <c r="AP2" s="1">
        <f t="shared" si="0"/>
        <v>99.623054841470903</v>
      </c>
      <c r="AQ2" s="1">
        <f t="shared" si="0"/>
        <v>93.247497067190949</v>
      </c>
      <c r="AR2" s="1">
        <f t="shared" si="0"/>
        <v>103.07503787023374</v>
      </c>
      <c r="AS2" s="1">
        <f t="shared" si="0"/>
        <v>98.6003422659997</v>
      </c>
      <c r="AT2" s="1">
        <f t="shared" si="0"/>
        <v>112.62344492949197</v>
      </c>
      <c r="AU2" s="1">
        <f t="shared" si="0"/>
        <v>92.683083360025861</v>
      </c>
      <c r="AV2" s="1">
        <f t="shared" si="0"/>
        <v>99.900323214082661</v>
      </c>
      <c r="AW2" s="1">
        <f t="shared" si="0"/>
        <v>100</v>
      </c>
      <c r="AX2" s="1">
        <f t="shared" si="0"/>
        <v>100</v>
      </c>
      <c r="AY2" s="1">
        <f t="shared" si="0"/>
        <v>100</v>
      </c>
      <c r="AZ2" s="1">
        <f t="shared" si="0"/>
        <v>100</v>
      </c>
      <c r="BA2" s="1">
        <f t="shared" si="0"/>
        <v>100</v>
      </c>
      <c r="BB2" s="1">
        <f t="shared" si="0"/>
        <v>100</v>
      </c>
      <c r="BC2" s="1">
        <f t="shared" si="0"/>
        <v>100</v>
      </c>
      <c r="BD2" s="1">
        <f t="shared" si="0"/>
        <v>100</v>
      </c>
      <c r="BE2" s="1">
        <f t="shared" si="0"/>
        <v>100</v>
      </c>
      <c r="BF2" s="1">
        <f t="shared" si="0"/>
        <v>100</v>
      </c>
      <c r="BG2" s="1">
        <f t="shared" si="0"/>
        <v>100</v>
      </c>
      <c r="BH2" s="1">
        <f t="shared" si="0"/>
        <v>100</v>
      </c>
    </row>
    <row r="3" spans="1:60" x14ac:dyDescent="0.25">
      <c r="A3" t="s">
        <v>86</v>
      </c>
      <c r="B3" s="1">
        <f t="shared" ref="B3:AG3" si="1">MAX(B13:B677)</f>
        <v>110.11283764865146</v>
      </c>
      <c r="C3" s="1">
        <f t="shared" si="1"/>
        <v>100</v>
      </c>
      <c r="D3" s="1">
        <f t="shared" si="1"/>
        <v>101.17952157002006</v>
      </c>
      <c r="E3" s="1">
        <f t="shared" si="1"/>
        <v>122.20924007576623</v>
      </c>
      <c r="F3" s="1">
        <f t="shared" si="1"/>
        <v>100</v>
      </c>
      <c r="G3" s="1">
        <f t="shared" si="1"/>
        <v>101.20264176422626</v>
      </c>
      <c r="H3" s="1">
        <f t="shared" si="1"/>
        <v>102.6264770510757</v>
      </c>
      <c r="I3" s="1">
        <f t="shared" si="1"/>
        <v>100.26070809352049</v>
      </c>
      <c r="J3" s="1">
        <f t="shared" si="1"/>
        <v>110.39074198066388</v>
      </c>
      <c r="K3" s="1">
        <f t="shared" si="1"/>
        <v>107.95367660115656</v>
      </c>
      <c r="L3" s="1">
        <f t="shared" si="1"/>
        <v>103.90222541083598</v>
      </c>
      <c r="M3" s="1">
        <f t="shared" si="1"/>
        <v>100</v>
      </c>
      <c r="N3" s="1">
        <f t="shared" si="1"/>
        <v>101.75024271426307</v>
      </c>
      <c r="O3" s="1">
        <f t="shared" si="1"/>
        <v>100</v>
      </c>
      <c r="P3" s="1">
        <f t="shared" si="1"/>
        <v>100</v>
      </c>
      <c r="Q3" s="1">
        <f t="shared" si="1"/>
        <v>100.69975721846207</v>
      </c>
      <c r="R3" s="1">
        <f t="shared" si="1"/>
        <v>100</v>
      </c>
      <c r="S3" s="1">
        <f t="shared" si="1"/>
        <v>107.57973282486903</v>
      </c>
      <c r="T3" s="1">
        <f t="shared" si="1"/>
        <v>111.30922678166522</v>
      </c>
      <c r="U3" s="1">
        <f t="shared" si="1"/>
        <v>101.39363643143213</v>
      </c>
      <c r="V3" s="1">
        <f t="shared" si="1"/>
        <v>104.98185857173245</v>
      </c>
      <c r="W3" s="1">
        <f t="shared" si="1"/>
        <v>102.20284750979505</v>
      </c>
      <c r="X3" s="1">
        <f t="shared" si="1"/>
        <v>100</v>
      </c>
      <c r="Y3" s="1">
        <f t="shared" si="1"/>
        <v>101.79522898837516</v>
      </c>
      <c r="Z3" s="1">
        <f t="shared" si="1"/>
        <v>100</v>
      </c>
      <c r="AA3" s="1">
        <f t="shared" si="1"/>
        <v>100</v>
      </c>
      <c r="AB3" s="1">
        <f t="shared" si="1"/>
        <v>100.26292250729061</v>
      </c>
      <c r="AC3" s="1">
        <f t="shared" si="1"/>
        <v>103.21260941065916</v>
      </c>
      <c r="AD3" s="1">
        <f t="shared" si="1"/>
        <v>124.58879306475568</v>
      </c>
      <c r="AE3" s="1">
        <f t="shared" si="1"/>
        <v>100.26070809352049</v>
      </c>
      <c r="AF3" s="1">
        <f t="shared" si="1"/>
        <v>107.65025591769401</v>
      </c>
      <c r="AG3" s="1">
        <f t="shared" si="1"/>
        <v>100</v>
      </c>
      <c r="AH3" s="1">
        <f t="shared" ref="AH3:BH3" si="2">MAX(AH13:AH677)</f>
        <v>100</v>
      </c>
      <c r="AI3" s="1">
        <f t="shared" si="2"/>
        <v>112.31470326561801</v>
      </c>
      <c r="AJ3" s="1">
        <f t="shared" si="2"/>
        <v>102.36653652492319</v>
      </c>
      <c r="AK3" s="1">
        <f t="shared" si="2"/>
        <v>104.61591054281757</v>
      </c>
      <c r="AL3" s="1">
        <f t="shared" si="2"/>
        <v>112.72384295562085</v>
      </c>
      <c r="AM3" s="1">
        <f t="shared" si="2"/>
        <v>117.18975860650302</v>
      </c>
      <c r="AN3" s="1">
        <f t="shared" si="2"/>
        <v>110.13343022784227</v>
      </c>
      <c r="AO3" s="1">
        <f t="shared" si="2"/>
        <v>106.16367508159694</v>
      </c>
      <c r="AP3" s="1">
        <f t="shared" si="2"/>
        <v>105.39005898262171</v>
      </c>
      <c r="AQ3" s="1">
        <f t="shared" si="2"/>
        <v>100</v>
      </c>
      <c r="AR3" s="1">
        <f t="shared" si="2"/>
        <v>103.92302697040192</v>
      </c>
      <c r="AS3" s="1">
        <f t="shared" si="2"/>
        <v>100.3666242654988</v>
      </c>
      <c r="AT3" s="1">
        <f t="shared" si="2"/>
        <v>114.14389295130077</v>
      </c>
      <c r="AU3" s="1">
        <f t="shared" si="2"/>
        <v>100</v>
      </c>
      <c r="AV3" s="1">
        <f t="shared" si="2"/>
        <v>101.17952157002006</v>
      </c>
      <c r="AW3" s="1">
        <f t="shared" si="2"/>
        <v>100</v>
      </c>
      <c r="AX3" s="1">
        <f t="shared" si="2"/>
        <v>100</v>
      </c>
      <c r="AY3" s="1">
        <f t="shared" si="2"/>
        <v>100</v>
      </c>
      <c r="AZ3" s="1">
        <f t="shared" si="2"/>
        <v>100</v>
      </c>
      <c r="BA3" s="1">
        <f t="shared" si="2"/>
        <v>100</v>
      </c>
      <c r="BB3" s="1">
        <f t="shared" si="2"/>
        <v>100</v>
      </c>
      <c r="BC3" s="1">
        <f t="shared" si="2"/>
        <v>100</v>
      </c>
      <c r="BD3" s="1">
        <f t="shared" si="2"/>
        <v>100</v>
      </c>
      <c r="BE3" s="1">
        <f t="shared" si="2"/>
        <v>100</v>
      </c>
      <c r="BF3" s="1">
        <f t="shared" si="2"/>
        <v>100</v>
      </c>
      <c r="BG3" s="1">
        <f t="shared" si="2"/>
        <v>100</v>
      </c>
      <c r="BH3" s="1">
        <f t="shared" si="2"/>
        <v>100</v>
      </c>
    </row>
    <row r="4" spans="1:60" x14ac:dyDescent="0.25">
      <c r="A4" t="s">
        <v>88</v>
      </c>
      <c r="B4" s="1">
        <f t="shared" ref="B4:AG4" si="3">MIN(B14:B678)</f>
        <v>92.912707146336501</v>
      </c>
      <c r="C4" s="1">
        <f t="shared" si="3"/>
        <v>94.353173132071191</v>
      </c>
      <c r="D4" s="1">
        <f t="shared" si="3"/>
        <v>97.69521325787963</v>
      </c>
      <c r="E4" s="1">
        <f t="shared" si="3"/>
        <v>100</v>
      </c>
      <c r="F4" s="1">
        <f t="shared" si="3"/>
        <v>95.932799101521084</v>
      </c>
      <c r="G4" s="1">
        <f t="shared" si="3"/>
        <v>100</v>
      </c>
      <c r="H4" s="1">
        <f t="shared" si="3"/>
        <v>99.876547356024673</v>
      </c>
      <c r="I4" s="1">
        <f t="shared" si="3"/>
        <v>86.392759894679898</v>
      </c>
      <c r="J4" s="1">
        <f t="shared" si="3"/>
        <v>99.156392864744078</v>
      </c>
      <c r="K4" s="1">
        <f t="shared" si="3"/>
        <v>93.376067037406614</v>
      </c>
      <c r="L4" s="1">
        <f t="shared" si="3"/>
        <v>95.137243849780631</v>
      </c>
      <c r="M4" s="1">
        <f t="shared" si="3"/>
        <v>96.715943522481638</v>
      </c>
      <c r="N4" s="1">
        <f t="shared" si="3"/>
        <v>99.631251706469783</v>
      </c>
      <c r="O4" s="1">
        <f t="shared" si="3"/>
        <v>73.103958555744029</v>
      </c>
      <c r="P4" s="1">
        <f t="shared" si="3"/>
        <v>87.984671797367014</v>
      </c>
      <c r="Q4" s="1">
        <f t="shared" si="3"/>
        <v>100</v>
      </c>
      <c r="R4" s="1">
        <f t="shared" si="3"/>
        <v>95.805387841610738</v>
      </c>
      <c r="S4" s="1">
        <f t="shared" si="3"/>
        <v>95.541238214505867</v>
      </c>
      <c r="T4" s="1">
        <f t="shared" si="3"/>
        <v>96.499002064572466</v>
      </c>
      <c r="U4" s="1">
        <f t="shared" si="3"/>
        <v>98.778848255775031</v>
      </c>
      <c r="V4" s="1">
        <f t="shared" si="3"/>
        <v>94.984000822155323</v>
      </c>
      <c r="W4" s="1">
        <f t="shared" si="3"/>
        <v>100</v>
      </c>
      <c r="X4" s="1">
        <f t="shared" si="3"/>
        <v>98.938308797866256</v>
      </c>
      <c r="Y4" s="1">
        <f t="shared" si="3"/>
        <v>92.334761599453643</v>
      </c>
      <c r="Z4" s="1">
        <f t="shared" si="3"/>
        <v>86.187463901214045</v>
      </c>
      <c r="AA4" s="1">
        <f t="shared" si="3"/>
        <v>95.744658688864789</v>
      </c>
      <c r="AB4" s="1">
        <f t="shared" si="3"/>
        <v>81.194497923355527</v>
      </c>
      <c r="AC4" s="1">
        <f t="shared" si="3"/>
        <v>99.39527591064693</v>
      </c>
      <c r="AD4" s="1">
        <f t="shared" si="3"/>
        <v>100</v>
      </c>
      <c r="AE4" s="1">
        <f t="shared" si="3"/>
        <v>85.996526776220264</v>
      </c>
      <c r="AF4" s="1">
        <f t="shared" si="3"/>
        <v>100</v>
      </c>
      <c r="AG4" s="1">
        <f t="shared" si="3"/>
        <v>96.436276170375336</v>
      </c>
      <c r="AH4" s="1">
        <f t="shared" ref="AH4:BH4" si="4">MIN(AH14:AH678)</f>
        <v>95.492997296199022</v>
      </c>
      <c r="AI4" s="1">
        <f t="shared" si="4"/>
        <v>97.291744176733616</v>
      </c>
      <c r="AJ4" s="1">
        <f t="shared" si="4"/>
        <v>100</v>
      </c>
      <c r="AK4" s="1">
        <f t="shared" si="4"/>
        <v>87.871569528869884</v>
      </c>
      <c r="AL4" s="1">
        <f t="shared" si="4"/>
        <v>100</v>
      </c>
      <c r="AM4" s="1">
        <f t="shared" si="4"/>
        <v>100</v>
      </c>
      <c r="AN4" s="1">
        <f t="shared" si="4"/>
        <v>100</v>
      </c>
      <c r="AO4" s="1">
        <f t="shared" si="4"/>
        <v>90.966247136215259</v>
      </c>
      <c r="AP4" s="1">
        <f t="shared" si="4"/>
        <v>99.111762264676429</v>
      </c>
      <c r="AQ4" s="1">
        <f t="shared" si="4"/>
        <v>93.043219996581456</v>
      </c>
      <c r="AR4" s="1">
        <f t="shared" si="4"/>
        <v>95.510721241499994</v>
      </c>
      <c r="AS4" s="1">
        <f t="shared" si="4"/>
        <v>97.655873782260102</v>
      </c>
      <c r="AT4" s="1">
        <f t="shared" si="4"/>
        <v>98.427043029091152</v>
      </c>
      <c r="AU4" s="1">
        <f t="shared" si="4"/>
        <v>92.683083360025861</v>
      </c>
      <c r="AV4" s="1">
        <f t="shared" si="4"/>
        <v>99.900323214082661</v>
      </c>
      <c r="AW4" s="1">
        <f t="shared" si="4"/>
        <v>100</v>
      </c>
      <c r="AX4" s="1">
        <f t="shared" si="4"/>
        <v>100</v>
      </c>
      <c r="AY4" s="1">
        <f t="shared" si="4"/>
        <v>100</v>
      </c>
      <c r="AZ4" s="1">
        <f t="shared" si="4"/>
        <v>100</v>
      </c>
      <c r="BA4" s="1">
        <f t="shared" si="4"/>
        <v>100</v>
      </c>
      <c r="BB4" s="1">
        <f t="shared" si="4"/>
        <v>100</v>
      </c>
      <c r="BC4" s="1">
        <f t="shared" si="4"/>
        <v>100</v>
      </c>
      <c r="BD4" s="1">
        <f t="shared" si="4"/>
        <v>100</v>
      </c>
      <c r="BE4" s="1">
        <f t="shared" si="4"/>
        <v>100</v>
      </c>
      <c r="BF4" s="1">
        <f t="shared" si="4"/>
        <v>100</v>
      </c>
      <c r="BG4" s="1">
        <f t="shared" si="4"/>
        <v>100</v>
      </c>
      <c r="BH4" s="1">
        <f t="shared" si="4"/>
        <v>100</v>
      </c>
    </row>
    <row r="5" spans="1:60" x14ac:dyDescent="0.25">
      <c r="A5" t="s">
        <v>89</v>
      </c>
      <c r="B5" s="16">
        <f>COUNTIF(Tabelle6[[player_A1]:[player_B2]],Tabelle11[[#Headers],[Aleix_V]])</f>
        <v>113</v>
      </c>
      <c r="C5" s="16">
        <f>COUNTIF(Tabelle6[[player_A1]:[player_B2]],Tabelle11[[#Headers],[Andres_H]])</f>
        <v>4</v>
      </c>
      <c r="D5" s="16">
        <f>COUNTIF(Tabelle6[[player_A1]:[player_B2]],Tabelle11[[#Headers],[Anton_K]])</f>
        <v>10</v>
      </c>
      <c r="E5" s="16">
        <f>COUNTIF(Tabelle6[[player_A1]:[player_B2]],Tabelle11[[#Headers],[Bastian_G]])</f>
        <v>150</v>
      </c>
      <c r="F5" s="16">
        <f>COUNTIF(Tabelle6[[player_A1]:[player_B2]],Tabelle11[[#Headers],[Ben_S]])</f>
        <v>3</v>
      </c>
      <c r="G5" s="16">
        <f>COUNTIF(Tabelle6[[player_A1]:[player_B2]],Tabelle11[[#Headers],[Benedikt_K]])</f>
        <v>2</v>
      </c>
      <c r="H5" s="16">
        <f>COUNTIF(Tabelle6[[player_A1]:[player_B2]],Tabelle11[[#Headers],[Benedikt_R]])</f>
        <v>5</v>
      </c>
      <c r="I5" s="16">
        <f>COUNTIF(Tabelle6[[player_A1]:[player_B2]],Tabelle11[[#Headers],[Carsten_H]])</f>
        <v>129</v>
      </c>
      <c r="J5" s="16">
        <f>COUNTIF(Tabelle6[[player_A1]:[player_B2]],Tabelle11[[#Headers],[Christoph_R]])</f>
        <v>20</v>
      </c>
      <c r="K5" s="16">
        <f>COUNTIF(Tabelle6[[player_A1]:[player_B2]],Tabelle11[[#Headers],[Claudius_J]])</f>
        <v>79</v>
      </c>
      <c r="L5" s="16">
        <f>COUNTIF(Tabelle6[[player_A1]:[player_B2]],Tabelle11[[#Headers],[Daniel_D]])</f>
        <v>50</v>
      </c>
      <c r="M5" s="16">
        <f>COUNTIF(Tabelle6[[player_A1]:[player_B2]],Tabelle11[[#Headers],[David_R]])</f>
        <v>8</v>
      </c>
      <c r="N5" s="16">
        <f>COUNTIF(Tabelle6[[player_A1]:[player_B2]],Tabelle11[[#Headers],[Dennis_P]])</f>
        <v>10</v>
      </c>
      <c r="O5" s="16">
        <f>COUNTIF(Tabelle6[[player_A1]:[player_B2]],Tabelle11[[#Headers],[Dennis_R]])</f>
        <v>40</v>
      </c>
      <c r="P5" s="16">
        <f>COUNTIF(Tabelle6[[player_A1]:[player_B2]],Tabelle11[[#Headers],[Detlef_R]])</f>
        <v>44</v>
      </c>
      <c r="Q5" s="16">
        <f>COUNTIF(Tabelle6[[player_A1]:[player_B2]],Tabelle11[[#Headers],[Dmitrij_M]])</f>
        <v>2</v>
      </c>
      <c r="R5" s="16">
        <f>COUNTIF(Tabelle6[[player_A1]:[player_B2]],Tabelle11[[#Headers],[Fabian_M]])</f>
        <v>8</v>
      </c>
      <c r="S5" s="16">
        <f>COUNTIF(Tabelle6[[player_A1]:[player_B2]],Tabelle11[[#Headers],[Hannes_S]])</f>
        <v>38</v>
      </c>
      <c r="T5" s="16">
        <f>COUNTIF(Tabelle6[[player_A1]:[player_B2]],Tabelle11[[#Headers],[Jan_B]])</f>
        <v>140</v>
      </c>
      <c r="U5" s="16">
        <f>COUNTIF(Tabelle6[[player_A1]:[player_B2]],Tabelle11[[#Headers],[Jan_Hendrik_B]])</f>
        <v>9</v>
      </c>
      <c r="V5" s="16">
        <f>COUNTIF(Tabelle6[[player_A1]:[player_B2]],Tabelle11[[#Headers],[Jens_N]])</f>
        <v>115</v>
      </c>
      <c r="W5" s="16">
        <f>COUNTIF(Tabelle6[[player_A1]:[player_B2]],Tabelle11[[#Headers],[Johannes_S]])</f>
        <v>4</v>
      </c>
      <c r="X5" s="16">
        <f>COUNTIF(Tabelle6[[player_A1]:[player_B2]],Tabelle11[[#Headers],[Jonathan_F]])</f>
        <v>2</v>
      </c>
      <c r="Y5" s="16">
        <f>COUNTIF(Tabelle6[[player_A1]:[player_B2]],Tabelle11[[#Headers],[Julius_P]])</f>
        <v>40</v>
      </c>
      <c r="Z5" s="16">
        <f>COUNTIF(Tabelle6[[player_A1]:[player_B2]],Tabelle11[[#Headers],[Louis_W]])</f>
        <v>28</v>
      </c>
      <c r="AA5" s="16">
        <f>COUNTIF(Tabelle6[[player_A1]:[player_B2]],Tabelle11[[#Headers],[Lukas_L]])</f>
        <v>20</v>
      </c>
      <c r="AB5" s="16">
        <f>COUNTIF(Tabelle6[[player_A1]:[player_B2]],Tabelle11[[#Headers],[Marcin_S]])</f>
        <v>54</v>
      </c>
      <c r="AC5" s="16">
        <f>COUNTIF(Tabelle6[[player_A1]:[player_B2]],Tabelle11[[#Headers],[Marco_K]])</f>
        <v>7</v>
      </c>
      <c r="AD5" s="16">
        <f>COUNTIF(Tabelle6[[player_A1]:[player_B2]],Tabelle11[[#Headers],[Marius_M]])</f>
        <v>14</v>
      </c>
      <c r="AE5" s="16">
        <f>COUNTIF(Tabelle6[[player_A1]:[player_B2]],Tabelle11[[#Headers],[Marvin_W]])</f>
        <v>142</v>
      </c>
      <c r="AF5" s="16">
        <f>COUNTIF(Tabelle6[[player_A1]:[player_B2]],Tabelle11[[#Headers],[Matthias_H]])</f>
        <v>32</v>
      </c>
      <c r="AG5" s="16">
        <f>COUNTIF(Tabelle6[[player_A1]:[player_B2]],Tabelle11[[#Headers],[Michael_D]])</f>
        <v>10</v>
      </c>
      <c r="AH5" s="16">
        <f>COUNTIF(Tabelle6[[player_A1]:[player_B2]],Tabelle11[[#Headers],[Patrick_S]])</f>
        <v>7</v>
      </c>
      <c r="AI5" s="16">
        <f>COUNTIF(Tabelle6[[player_A1]:[player_B2]],Tabelle11[[#Headers],[Rano_M]])</f>
        <v>44</v>
      </c>
      <c r="AJ5" s="16">
        <f>COUNTIF(Tabelle6[[player_A1]:[player_B2]],Tabelle11[[#Headers],[Rene_N]])</f>
        <v>8</v>
      </c>
      <c r="AK5" s="16">
        <f>COUNTIF(Tabelle6[[player_A1]:[player_B2]],Tabelle11[[#Headers],[Rene_P]])</f>
        <v>171</v>
      </c>
      <c r="AL5" s="16">
        <f>COUNTIF(Tabelle6[[player_A1]:[player_B2]],Tabelle11[[#Headers],[Richard_D]])</f>
        <v>153</v>
      </c>
      <c r="AM5" s="16">
        <f>COUNTIF(Tabelle6[[player_A1]:[player_B2]],Tabelle11[[#Headers],[Rodrigo_R]])</f>
        <v>22</v>
      </c>
      <c r="AN5" s="16">
        <f>COUNTIF(Tabelle6[[player_A1]:[player_B2]],Tabelle11[[#Headers],[Sebastian_A]])</f>
        <v>58</v>
      </c>
      <c r="AO5" s="16">
        <f>COUNTIF(Tabelle6[[player_A1]:[player_B2]],Tabelle11[[#Headers],[Sebastian_St]])</f>
        <v>142</v>
      </c>
      <c r="AP5" s="16">
        <f>COUNTIF(Tabelle6[[player_A1]:[player_B2]],Tabelle11[[#Headers],[Simon_U]])</f>
        <v>28</v>
      </c>
      <c r="AQ5" s="16">
        <f>COUNTIF(Tabelle6[[player_A1]:[player_B2]],Tabelle11[[#Headers],[Steffen_R]])</f>
        <v>16</v>
      </c>
      <c r="AR5" s="16">
        <f>COUNTIF(Tabelle6[[player_A1]:[player_B2]],Tabelle11[[#Headers],[Tim_R]])</f>
        <v>18</v>
      </c>
      <c r="AS5" s="16">
        <f>COUNTIF(Tabelle6[[player_A1]:[player_B2]],Tabelle11[[#Headers],[Tobias_S]])</f>
        <v>8</v>
      </c>
      <c r="AT5" s="16">
        <f>COUNTIF(Tabelle6[[player_A1]:[player_B2]],Tabelle11[[#Headers],[Tom_R]])</f>
        <v>107</v>
      </c>
      <c r="AU5" s="16">
        <f>COUNTIF(Tabelle6[[player_A1]:[player_B2]],Tabelle11[[#Headers],[Ton_L]])</f>
        <v>8</v>
      </c>
      <c r="AV5" s="16">
        <f>COUNTIF(Tabelle6[[player_A1]:[player_B2]],Tabelle11[[#Headers],[Yixin_G]])</f>
        <v>2</v>
      </c>
      <c r="AW5" s="16">
        <f>COUNTIF(Tabelle6[[player_A1]:[player_B2]],Tabelle11[[#Headers],[Spalte36]])</f>
        <v>0</v>
      </c>
      <c r="AX5" s="16">
        <f>COUNTIF(Tabelle6[[player_A1]:[player_B2]],Tabelle11[[#Headers],[Spalte37]])</f>
        <v>0</v>
      </c>
      <c r="AY5" s="16">
        <f>COUNTIF(Tabelle6[[player_A1]:[player_B2]],Tabelle11[[#Headers],[Spalte38]])</f>
        <v>0</v>
      </c>
      <c r="AZ5" s="16">
        <f>COUNTIF(Tabelle6[[player_A1]:[player_B2]],Tabelle11[[#Headers],[Spalte39]])</f>
        <v>0</v>
      </c>
      <c r="BA5" s="16">
        <f>COUNTIF(Tabelle6[[player_A1]:[player_B2]],Tabelle11[[#Headers],[Spalte40]])</f>
        <v>0</v>
      </c>
      <c r="BB5" s="16">
        <f>COUNTIF(Tabelle6[[player_A1]:[player_B2]],Tabelle11[[#Headers],[Spalte41]])</f>
        <v>0</v>
      </c>
      <c r="BC5" s="16">
        <f>COUNTIF(Tabelle6[[player_A1]:[player_B2]],Tabelle11[[#Headers],[Spalte42]])</f>
        <v>0</v>
      </c>
      <c r="BD5" s="16">
        <f>COUNTIF(Tabelle6[[player_A1]:[player_B2]],Tabelle11[[#Headers],[Spalte43]])</f>
        <v>0</v>
      </c>
      <c r="BE5" s="16">
        <f>COUNTIF(Tabelle6[[player_A1]:[player_B2]],Tabelle11[[#Headers],[Spalte44]])</f>
        <v>0</v>
      </c>
      <c r="BF5" s="16">
        <f>COUNTIF(Tabelle6[[player_A1]:[player_B2]],Tabelle11[[#Headers],[Spalte45]])</f>
        <v>0</v>
      </c>
      <c r="BG5" s="16">
        <f>COUNTIF(Tabelle6[[player_A1]:[player_B2]],Tabelle11[[#Headers],[Spalte46]])</f>
        <v>0</v>
      </c>
      <c r="BH5" s="16">
        <f>COUNTIF(Tabelle6[[player_A1]:[player_B2]],Tabelle11[[#Headers],[Spalte47]])</f>
        <v>0</v>
      </c>
    </row>
    <row r="6" spans="1:60" x14ac:dyDescent="0.25">
      <c r="A6" t="s">
        <v>90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 x14ac:dyDescent="0.25">
      <c r="A7" t="s">
        <v>92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 x14ac:dyDescent="0.25">
      <c r="A8" t="s">
        <v>91</v>
      </c>
      <c r="B8" s="1">
        <f t="shared" ref="B8:AG8" si="5">B6-B7</f>
        <v>0</v>
      </c>
      <c r="C8" s="1">
        <f t="shared" si="5"/>
        <v>0</v>
      </c>
      <c r="D8" s="1">
        <f t="shared" si="5"/>
        <v>0</v>
      </c>
      <c r="E8" s="1">
        <f t="shared" si="5"/>
        <v>0</v>
      </c>
      <c r="F8" s="1">
        <f t="shared" si="5"/>
        <v>0</v>
      </c>
      <c r="G8" s="1">
        <f t="shared" si="5"/>
        <v>0</v>
      </c>
      <c r="H8" s="1">
        <f t="shared" si="5"/>
        <v>0</v>
      </c>
      <c r="I8" s="1">
        <f t="shared" si="5"/>
        <v>0</v>
      </c>
      <c r="J8" s="1">
        <f t="shared" si="5"/>
        <v>0</v>
      </c>
      <c r="K8" s="1">
        <f t="shared" si="5"/>
        <v>0</v>
      </c>
      <c r="L8" s="1">
        <f t="shared" si="5"/>
        <v>0</v>
      </c>
      <c r="M8" s="1">
        <f t="shared" si="5"/>
        <v>0</v>
      </c>
      <c r="N8" s="1">
        <f t="shared" si="5"/>
        <v>0</v>
      </c>
      <c r="O8" s="1">
        <f t="shared" si="5"/>
        <v>0</v>
      </c>
      <c r="P8" s="1">
        <f t="shared" si="5"/>
        <v>0</v>
      </c>
      <c r="Q8" s="1">
        <f t="shared" si="5"/>
        <v>0</v>
      </c>
      <c r="R8" s="1">
        <f t="shared" si="5"/>
        <v>0</v>
      </c>
      <c r="S8" s="1">
        <f t="shared" si="5"/>
        <v>0</v>
      </c>
      <c r="T8" s="1">
        <f t="shared" si="5"/>
        <v>0</v>
      </c>
      <c r="U8" s="1">
        <f t="shared" si="5"/>
        <v>0</v>
      </c>
      <c r="V8" s="1">
        <f t="shared" si="5"/>
        <v>0</v>
      </c>
      <c r="W8" s="1">
        <f t="shared" si="5"/>
        <v>0</v>
      </c>
      <c r="X8" s="1">
        <f t="shared" si="5"/>
        <v>0</v>
      </c>
      <c r="Y8" s="1">
        <f t="shared" si="5"/>
        <v>0</v>
      </c>
      <c r="Z8" s="1">
        <f t="shared" si="5"/>
        <v>0</v>
      </c>
      <c r="AA8" s="1">
        <f t="shared" si="5"/>
        <v>0</v>
      </c>
      <c r="AB8" s="1">
        <f t="shared" si="5"/>
        <v>0</v>
      </c>
      <c r="AC8" s="1">
        <f t="shared" si="5"/>
        <v>0</v>
      </c>
      <c r="AD8" s="1">
        <f t="shared" si="5"/>
        <v>0</v>
      </c>
      <c r="AE8" s="1">
        <f t="shared" si="5"/>
        <v>0</v>
      </c>
      <c r="AF8" s="1">
        <f t="shared" si="5"/>
        <v>0</v>
      </c>
      <c r="AG8" s="1">
        <f t="shared" si="5"/>
        <v>0</v>
      </c>
      <c r="AH8" s="1">
        <f t="shared" ref="AH8:BH8" si="6">AH6-AH7</f>
        <v>0</v>
      </c>
      <c r="AI8" s="1">
        <f t="shared" si="6"/>
        <v>0</v>
      </c>
      <c r="AJ8" s="1">
        <f t="shared" si="6"/>
        <v>0</v>
      </c>
      <c r="AK8" s="1">
        <f t="shared" si="6"/>
        <v>0</v>
      </c>
      <c r="AL8" s="1">
        <f t="shared" si="6"/>
        <v>0</v>
      </c>
      <c r="AM8" s="1">
        <f t="shared" si="6"/>
        <v>0</v>
      </c>
      <c r="AN8" s="1">
        <f t="shared" si="6"/>
        <v>0</v>
      </c>
      <c r="AO8" s="1">
        <f t="shared" si="6"/>
        <v>0</v>
      </c>
      <c r="AP8" s="1">
        <f t="shared" si="6"/>
        <v>0</v>
      </c>
      <c r="AQ8" s="1">
        <f t="shared" si="6"/>
        <v>0</v>
      </c>
      <c r="AR8" s="1">
        <f t="shared" si="6"/>
        <v>0</v>
      </c>
      <c r="AS8" s="1">
        <f t="shared" si="6"/>
        <v>0</v>
      </c>
      <c r="AT8" s="1">
        <f t="shared" si="6"/>
        <v>0</v>
      </c>
      <c r="AU8" s="1">
        <f t="shared" si="6"/>
        <v>0</v>
      </c>
      <c r="AV8" s="1">
        <f t="shared" si="6"/>
        <v>0</v>
      </c>
      <c r="AW8" s="1">
        <f t="shared" si="6"/>
        <v>0</v>
      </c>
      <c r="AX8" s="1">
        <f t="shared" si="6"/>
        <v>0</v>
      </c>
      <c r="AY8" s="1">
        <f t="shared" si="6"/>
        <v>0</v>
      </c>
      <c r="AZ8" s="1">
        <f t="shared" si="6"/>
        <v>0</v>
      </c>
      <c r="BA8" s="1">
        <f t="shared" si="6"/>
        <v>0</v>
      </c>
      <c r="BB8" s="1">
        <f t="shared" si="6"/>
        <v>0</v>
      </c>
      <c r="BC8" s="1">
        <f t="shared" si="6"/>
        <v>0</v>
      </c>
      <c r="BD8" s="1">
        <f t="shared" si="6"/>
        <v>0</v>
      </c>
      <c r="BE8" s="1">
        <f t="shared" si="6"/>
        <v>0</v>
      </c>
      <c r="BF8" s="1">
        <f t="shared" si="6"/>
        <v>0</v>
      </c>
      <c r="BG8" s="1">
        <f t="shared" si="6"/>
        <v>0</v>
      </c>
      <c r="BH8" s="1">
        <f t="shared" si="6"/>
        <v>0</v>
      </c>
    </row>
    <row r="9" spans="1:60" x14ac:dyDescent="0.25">
      <c r="A9" t="s">
        <v>143</v>
      </c>
      <c r="B9" s="35" t="s">
        <v>146</v>
      </c>
      <c r="C9" s="35" t="s">
        <v>149</v>
      </c>
      <c r="D9" s="35" t="s">
        <v>148</v>
      </c>
      <c r="E9" s="35" t="s">
        <v>162</v>
      </c>
      <c r="F9" s="35" t="s">
        <v>184</v>
      </c>
      <c r="G9" s="35" t="s">
        <v>147</v>
      </c>
      <c r="H9" s="35" t="s">
        <v>149</v>
      </c>
      <c r="I9" s="35" t="s">
        <v>162</v>
      </c>
      <c r="J9" s="35" t="s">
        <v>148</v>
      </c>
      <c r="K9" s="35" t="s">
        <v>182</v>
      </c>
      <c r="L9" s="35" t="s">
        <v>150</v>
      </c>
      <c r="M9" s="35" t="s">
        <v>144</v>
      </c>
      <c r="N9" s="35" t="s">
        <v>148</v>
      </c>
      <c r="O9" s="35" t="s">
        <v>149</v>
      </c>
      <c r="P9" s="35" t="s">
        <v>163</v>
      </c>
      <c r="Q9" s="35" t="s">
        <v>148</v>
      </c>
      <c r="R9" s="35" t="s">
        <v>148</v>
      </c>
      <c r="S9" s="35" t="s">
        <v>163</v>
      </c>
      <c r="T9" s="35" t="s">
        <v>144</v>
      </c>
      <c r="U9" s="35" t="s">
        <v>148</v>
      </c>
      <c r="V9" s="35" t="s">
        <v>163</v>
      </c>
      <c r="W9" s="35" t="s">
        <v>148</v>
      </c>
      <c r="X9" s="35" t="s">
        <v>172</v>
      </c>
      <c r="Y9" s="35" t="s">
        <v>149</v>
      </c>
      <c r="Z9" s="35" t="s">
        <v>145</v>
      </c>
      <c r="AA9" s="35" t="s">
        <v>148</v>
      </c>
      <c r="AB9" s="35" t="s">
        <v>151</v>
      </c>
      <c r="AC9" s="35" t="s">
        <v>149</v>
      </c>
      <c r="AD9" s="35" t="s">
        <v>147</v>
      </c>
      <c r="AE9" s="35" t="s">
        <v>149</v>
      </c>
      <c r="AF9" s="35" t="s">
        <v>149</v>
      </c>
      <c r="AG9" s="35" t="s">
        <v>148</v>
      </c>
      <c r="AH9" s="35" t="s">
        <v>184</v>
      </c>
      <c r="AI9" s="35" t="s">
        <v>163</v>
      </c>
      <c r="AJ9" s="35" t="s">
        <v>148</v>
      </c>
      <c r="AK9" s="35" t="s">
        <v>162</v>
      </c>
      <c r="AL9" s="35" t="s">
        <v>149</v>
      </c>
      <c r="AM9" s="1" t="s">
        <v>148</v>
      </c>
      <c r="AN9" s="1" t="s">
        <v>150</v>
      </c>
      <c r="AO9" s="1" t="s">
        <v>144</v>
      </c>
      <c r="AP9" s="1" t="s">
        <v>148</v>
      </c>
      <c r="AQ9" s="1" t="s">
        <v>148</v>
      </c>
      <c r="AR9" s="1" t="s">
        <v>148</v>
      </c>
      <c r="AS9" s="1" t="s">
        <v>148</v>
      </c>
      <c r="AT9" s="1" t="s">
        <v>144</v>
      </c>
      <c r="AU9" s="1" t="s">
        <v>148</v>
      </c>
      <c r="AV9" s="1" t="s">
        <v>148</v>
      </c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0" x14ac:dyDescent="0.25">
      <c r="B10" s="1"/>
      <c r="C10" s="1"/>
      <c r="D10" s="1"/>
      <c r="E10" s="1"/>
      <c r="F10" s="1"/>
      <c r="G10" s="1"/>
      <c r="H10" s="1"/>
      <c r="I10" s="1"/>
      <c r="J10" s="1"/>
      <c r="K10" s="1" t="s">
        <v>162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 t="s">
        <v>182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60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</row>
    <row r="13" spans="1:60" x14ac:dyDescent="0.25">
      <c r="A13" t="s">
        <v>37</v>
      </c>
      <c r="B13" s="1" t="str">
        <f>Tabelle11[[#Headers],[Aleix_V]]</f>
        <v>Aleix_V</v>
      </c>
      <c r="C13" s="1" t="str">
        <f>Tabelle11[[#Headers],[Andres_H]]</f>
        <v>Andres_H</v>
      </c>
      <c r="D13" s="1" t="str">
        <f>Tabelle11[[#Headers],[Anton_K]]</f>
        <v>Anton_K</v>
      </c>
      <c r="E13" s="1" t="str">
        <f>Tabelle11[[#Headers],[Bastian_G]]</f>
        <v>Bastian_G</v>
      </c>
      <c r="F13" s="1" t="str">
        <f>Tabelle11[[#Headers],[Ben_S]]</f>
        <v>Ben_S</v>
      </c>
      <c r="G13" s="1" t="str">
        <f>Tabelle11[[#Headers],[Benedikt_K]]</f>
        <v>Benedikt_K</v>
      </c>
      <c r="H13" s="1" t="str">
        <f>Tabelle11[[#Headers],[Benedikt_R]]</f>
        <v>Benedikt_R</v>
      </c>
      <c r="I13" s="1" t="str">
        <f>Tabelle11[[#Headers],[Carsten_H]]</f>
        <v>Carsten_H</v>
      </c>
      <c r="J13" s="1" t="str">
        <f>Tabelle11[[#Headers],[Christoph_R]]</f>
        <v>Christoph_R</v>
      </c>
      <c r="K13" s="1" t="str">
        <f>Tabelle11[[#Headers],[Claudius_J]]</f>
        <v>Claudius_J</v>
      </c>
      <c r="L13" s="1" t="str">
        <f>Tabelle11[[#Headers],[Daniel_D]]</f>
        <v>Daniel_D</v>
      </c>
      <c r="M13" s="1" t="str">
        <f>Tabelle11[[#Headers],[David_R]]</f>
        <v>David_R</v>
      </c>
      <c r="N13" s="1" t="str">
        <f>Tabelle11[[#Headers],[Dennis_P]]</f>
        <v>Dennis_P</v>
      </c>
      <c r="O13" s="1" t="str">
        <f>Tabelle11[[#Headers],[Dennis_R]]</f>
        <v>Dennis_R</v>
      </c>
      <c r="P13" s="1" t="str">
        <f>Tabelle11[[#Headers],[Detlef_R]]</f>
        <v>Detlef_R</v>
      </c>
      <c r="Q13" s="1" t="str">
        <f>Tabelle11[[#Headers],[Dmitrij_M]]</f>
        <v>Dmitrij_M</v>
      </c>
      <c r="R13" s="1" t="str">
        <f>Tabelle11[[#Headers],[Fabian_M]]</f>
        <v>Fabian_M</v>
      </c>
      <c r="S13" s="1" t="str">
        <f>Tabelle11[[#Headers],[Hannes_S]]</f>
        <v>Hannes_S</v>
      </c>
      <c r="T13" s="1" t="str">
        <f>Tabelle11[[#Headers],[Jan_B]]</f>
        <v>Jan_B</v>
      </c>
      <c r="U13" s="1" t="str">
        <f>Tabelle11[[#Headers],[Jan_Hendrik_B]]</f>
        <v>Jan_Hendrik_B</v>
      </c>
      <c r="V13" s="1" t="str">
        <f>Tabelle11[[#Headers],[Jens_N]]</f>
        <v>Jens_N</v>
      </c>
      <c r="W13" s="1" t="str">
        <f>Tabelle11[[#Headers],[Johannes_S]]</f>
        <v>Johannes_S</v>
      </c>
      <c r="X13" s="1" t="str">
        <f>Tabelle11[[#Headers],[Jonathan_F]]</f>
        <v>Jonathan_F</v>
      </c>
      <c r="Y13" s="1" t="str">
        <f>Tabelle11[[#Headers],[Julius_P]]</f>
        <v>Julius_P</v>
      </c>
      <c r="Z13" s="1" t="str">
        <f>Tabelle11[[#Headers],[Louis_W]]</f>
        <v>Louis_W</v>
      </c>
      <c r="AA13" s="1" t="str">
        <f>Tabelle11[[#Headers],[Lukas_L]]</f>
        <v>Lukas_L</v>
      </c>
      <c r="AB13" s="1" t="str">
        <f>Tabelle11[[#Headers],[Marcin_S]]</f>
        <v>Marcin_S</v>
      </c>
      <c r="AC13" s="1" t="str">
        <f>Tabelle11[[#Headers],[Marco_K]]</f>
        <v>Marco_K</v>
      </c>
      <c r="AD13" s="1" t="str">
        <f>Tabelle11[[#Headers],[Marius_M]]</f>
        <v>Marius_M</v>
      </c>
      <c r="AE13" s="1" t="str">
        <f>Tabelle11[[#Headers],[Marvin_W]]</f>
        <v>Marvin_W</v>
      </c>
      <c r="AF13" s="1" t="str">
        <f>Tabelle11[[#Headers],[Matthias_H]]</f>
        <v>Matthias_H</v>
      </c>
      <c r="AG13" s="1" t="str">
        <f>Tabelle11[[#Headers],[Michael_D]]</f>
        <v>Michael_D</v>
      </c>
      <c r="AH13" s="1" t="str">
        <f>Tabelle11[[#Headers],[Patrick_S]]</f>
        <v>Patrick_S</v>
      </c>
      <c r="AI13" s="1" t="str">
        <f>Tabelle11[[#Headers],[Rano_M]]</f>
        <v>Rano_M</v>
      </c>
      <c r="AJ13" s="1" t="str">
        <f>Tabelle11[[#Headers],[Rene_N]]</f>
        <v>Rene_N</v>
      </c>
      <c r="AK13" s="1" t="str">
        <f>Tabelle11[[#Headers],[Rene_P]]</f>
        <v>Rene_P</v>
      </c>
      <c r="AL13" s="1" t="str">
        <f>Tabelle11[[#Headers],[Richard_D]]</f>
        <v>Richard_D</v>
      </c>
      <c r="AM13" s="1" t="str">
        <f>Tabelle11[[#Headers],[Rodrigo_R]]</f>
        <v>Rodrigo_R</v>
      </c>
      <c r="AN13" s="1" t="str">
        <f>Tabelle11[[#Headers],[Sebastian_A]]</f>
        <v>Sebastian_A</v>
      </c>
      <c r="AO13" s="1" t="str">
        <f>Tabelle11[[#Headers],[Sebastian_St]]</f>
        <v>Sebastian_St</v>
      </c>
      <c r="AP13" s="1" t="str">
        <f>Tabelle11[[#Headers],[Simon_U]]</f>
        <v>Simon_U</v>
      </c>
      <c r="AQ13" s="1" t="str">
        <f>Tabelle11[[#Headers],[Steffen_R]]</f>
        <v>Steffen_R</v>
      </c>
      <c r="AR13" s="1" t="str">
        <f>Tabelle11[[#Headers],[Tim_R]]</f>
        <v>Tim_R</v>
      </c>
      <c r="AS13" s="1" t="str">
        <f>Tabelle11[[#Headers],[Tobias_S]]</f>
        <v>Tobias_S</v>
      </c>
      <c r="AT13" s="1" t="str">
        <f>Tabelle11[[#Headers],[Tom_R]]</f>
        <v>Tom_R</v>
      </c>
      <c r="AU13" s="1" t="str">
        <f>Tabelle11[[#Headers],[Ton_L]]</f>
        <v>Ton_L</v>
      </c>
      <c r="AV13" s="1" t="str">
        <f>Tabelle11[[#Headers],[Yixin_G]]</f>
        <v>Yixin_G</v>
      </c>
      <c r="AW13" s="1" t="str">
        <f>Tabelle11[[#Headers],[Spalte36]]</f>
        <v>Spalte36</v>
      </c>
      <c r="AX13" s="1" t="str">
        <f>Tabelle11[[#Headers],[Spalte37]]</f>
        <v>Spalte37</v>
      </c>
      <c r="AY13" s="1" t="str">
        <f>Tabelle11[[#Headers],[Spalte38]]</f>
        <v>Spalte38</v>
      </c>
      <c r="AZ13" s="1" t="str">
        <f>Tabelle11[[#Headers],[Spalte39]]</f>
        <v>Spalte39</v>
      </c>
      <c r="BA13" s="1" t="str">
        <f>Tabelle11[[#Headers],[Spalte40]]</f>
        <v>Spalte40</v>
      </c>
      <c r="BB13" s="1" t="str">
        <f>Tabelle11[[#Headers],[Spalte41]]</f>
        <v>Spalte41</v>
      </c>
      <c r="BC13" s="1" t="str">
        <f>Tabelle11[[#Headers],[Spalte42]]</f>
        <v>Spalte42</v>
      </c>
      <c r="BD13" s="1" t="str">
        <f>Tabelle11[[#Headers],[Spalte43]]</f>
        <v>Spalte43</v>
      </c>
      <c r="BE13" s="1" t="str">
        <f>Tabelle11[[#Headers],[Spalte44]]</f>
        <v>Spalte44</v>
      </c>
      <c r="BF13" s="1" t="str">
        <f>Tabelle11[[#Headers],[Spalte45]]</f>
        <v>Spalte45</v>
      </c>
      <c r="BG13" s="1" t="str">
        <f>Tabelle11[[#Headers],[Spalte46]]</f>
        <v>Spalte46</v>
      </c>
      <c r="BH13" s="1" t="str">
        <f>Tabelle11[[#Headers],[Spalte47]]</f>
        <v>Spalte47</v>
      </c>
    </row>
    <row r="14" spans="1:60" x14ac:dyDescent="0.25">
      <c r="A14">
        <v>1</v>
      </c>
      <c r="B14" s="1">
        <v>100</v>
      </c>
      <c r="C14" s="1">
        <v>100</v>
      </c>
      <c r="D14" s="1">
        <v>100</v>
      </c>
      <c r="E14" s="1">
        <v>100</v>
      </c>
      <c r="F14" s="1">
        <v>100</v>
      </c>
      <c r="G14" s="1">
        <v>100</v>
      </c>
      <c r="H14" s="1">
        <v>100</v>
      </c>
      <c r="I14" s="1">
        <v>100</v>
      </c>
      <c r="J14" s="1">
        <v>100</v>
      </c>
      <c r="K14" s="1">
        <v>100</v>
      </c>
      <c r="L14" s="1">
        <v>100</v>
      </c>
      <c r="M14" s="1">
        <v>100</v>
      </c>
      <c r="N14" s="1">
        <v>100</v>
      </c>
      <c r="O14" s="1">
        <v>100</v>
      </c>
      <c r="P14" s="1">
        <v>100</v>
      </c>
      <c r="Q14" s="1">
        <v>100</v>
      </c>
      <c r="R14" s="1">
        <v>100</v>
      </c>
      <c r="S14" s="1">
        <v>100</v>
      </c>
      <c r="T14" s="1">
        <v>100</v>
      </c>
      <c r="U14" s="1">
        <v>100</v>
      </c>
      <c r="V14" s="1">
        <v>100</v>
      </c>
      <c r="W14" s="1">
        <v>100</v>
      </c>
      <c r="X14" s="1">
        <v>100</v>
      </c>
      <c r="Y14" s="1">
        <v>100</v>
      </c>
      <c r="Z14" s="1">
        <v>100</v>
      </c>
      <c r="AA14" s="1">
        <v>100</v>
      </c>
      <c r="AB14" s="1">
        <v>100</v>
      </c>
      <c r="AC14" s="1">
        <v>100</v>
      </c>
      <c r="AD14" s="1">
        <v>100</v>
      </c>
      <c r="AE14" s="1">
        <v>100</v>
      </c>
      <c r="AF14" s="1">
        <v>100</v>
      </c>
      <c r="AG14" s="1">
        <v>100</v>
      </c>
      <c r="AH14" s="1">
        <v>100</v>
      </c>
      <c r="AI14" s="1">
        <v>100</v>
      </c>
      <c r="AJ14" s="1">
        <v>100</v>
      </c>
      <c r="AK14" s="1">
        <v>100</v>
      </c>
      <c r="AL14" s="1">
        <v>100</v>
      </c>
      <c r="AM14" s="1">
        <v>100</v>
      </c>
      <c r="AN14" s="1">
        <v>100</v>
      </c>
      <c r="AO14" s="1">
        <v>100</v>
      </c>
      <c r="AP14" s="1">
        <v>100</v>
      </c>
      <c r="AQ14" s="1">
        <v>100</v>
      </c>
      <c r="AR14" s="1">
        <v>100</v>
      </c>
      <c r="AS14" s="1">
        <v>100</v>
      </c>
      <c r="AT14" s="1">
        <v>100</v>
      </c>
      <c r="AU14" s="1">
        <v>100</v>
      </c>
      <c r="AV14" s="1">
        <v>100</v>
      </c>
      <c r="AW14" s="1">
        <v>100</v>
      </c>
      <c r="AX14" s="1">
        <v>100</v>
      </c>
      <c r="AY14" s="1">
        <v>100</v>
      </c>
      <c r="AZ14" s="1">
        <v>100</v>
      </c>
      <c r="BA14" s="1">
        <v>100</v>
      </c>
      <c r="BB14" s="1">
        <v>100</v>
      </c>
      <c r="BC14" s="1">
        <v>100</v>
      </c>
      <c r="BD14" s="1">
        <v>100</v>
      </c>
      <c r="BE14" s="1">
        <v>100</v>
      </c>
      <c r="BF14" s="1">
        <v>100</v>
      </c>
      <c r="BG14" s="1">
        <v>100</v>
      </c>
      <c r="BH14" s="1">
        <v>100</v>
      </c>
    </row>
    <row r="15" spans="1:60" x14ac:dyDescent="0.25">
      <c r="A15">
        <v>2</v>
      </c>
      <c r="B15" s="1">
        <v>100</v>
      </c>
      <c r="C15" s="1">
        <v>100</v>
      </c>
      <c r="D15" s="1">
        <v>100</v>
      </c>
      <c r="E15" s="1">
        <v>100</v>
      </c>
      <c r="F15" s="1">
        <v>100</v>
      </c>
      <c r="G15" s="1">
        <v>100</v>
      </c>
      <c r="H15" s="1">
        <v>100</v>
      </c>
      <c r="I15" s="1">
        <v>99.72</v>
      </c>
      <c r="J15" s="1">
        <v>100</v>
      </c>
      <c r="K15" s="1">
        <v>100</v>
      </c>
      <c r="L15" s="1">
        <v>100</v>
      </c>
      <c r="M15" s="1">
        <v>100</v>
      </c>
      <c r="N15" s="1">
        <v>100</v>
      </c>
      <c r="O15" s="1">
        <v>100</v>
      </c>
      <c r="P15" s="1">
        <v>100</v>
      </c>
      <c r="Q15" s="1">
        <v>100</v>
      </c>
      <c r="R15" s="1">
        <v>100</v>
      </c>
      <c r="S15" s="1">
        <v>100</v>
      </c>
      <c r="T15" s="1">
        <v>100.28</v>
      </c>
      <c r="U15" s="1">
        <v>100</v>
      </c>
      <c r="V15" s="1">
        <v>100</v>
      </c>
      <c r="W15" s="1">
        <v>100</v>
      </c>
      <c r="X15" s="1">
        <v>100</v>
      </c>
      <c r="Y15" s="1">
        <v>100</v>
      </c>
      <c r="Z15" s="1">
        <v>100</v>
      </c>
      <c r="AA15" s="1">
        <v>100</v>
      </c>
      <c r="AB15" s="1">
        <v>100</v>
      </c>
      <c r="AC15" s="1">
        <v>100</v>
      </c>
      <c r="AD15" s="1">
        <v>100</v>
      </c>
      <c r="AE15" s="1">
        <v>99.72</v>
      </c>
      <c r="AF15" s="1">
        <v>100</v>
      </c>
      <c r="AG15" s="1">
        <v>100</v>
      </c>
      <c r="AH15" s="1">
        <v>100</v>
      </c>
      <c r="AI15" s="1">
        <v>100</v>
      </c>
      <c r="AJ15" s="1">
        <v>100</v>
      </c>
      <c r="AK15" s="1">
        <v>100</v>
      </c>
      <c r="AL15" s="1">
        <v>100</v>
      </c>
      <c r="AM15" s="1">
        <v>100</v>
      </c>
      <c r="AN15" s="1">
        <v>100</v>
      </c>
      <c r="AO15" s="1">
        <v>100.28</v>
      </c>
      <c r="AP15" s="1">
        <v>100</v>
      </c>
      <c r="AQ15" s="1">
        <v>100</v>
      </c>
      <c r="AR15" s="1">
        <v>100</v>
      </c>
      <c r="AS15" s="1">
        <v>100</v>
      </c>
      <c r="AT15" s="1">
        <v>100</v>
      </c>
      <c r="AU15" s="1">
        <v>100</v>
      </c>
      <c r="AV15" s="1">
        <v>100</v>
      </c>
      <c r="AW15" s="1">
        <v>100</v>
      </c>
      <c r="AX15" s="1">
        <v>100</v>
      </c>
      <c r="AY15" s="1">
        <v>100</v>
      </c>
      <c r="AZ15" s="1">
        <v>100</v>
      </c>
      <c r="BA15" s="1">
        <v>100</v>
      </c>
      <c r="BB15" s="1">
        <v>100</v>
      </c>
      <c r="BC15" s="1">
        <v>100</v>
      </c>
      <c r="BD15" s="1">
        <v>100</v>
      </c>
      <c r="BE15" s="1">
        <v>100</v>
      </c>
      <c r="BF15" s="1">
        <v>100</v>
      </c>
      <c r="BG15" s="1">
        <v>100</v>
      </c>
      <c r="BH15" s="1">
        <v>100</v>
      </c>
    </row>
    <row r="16" spans="1:60" x14ac:dyDescent="0.25">
      <c r="A16">
        <v>3</v>
      </c>
      <c r="B16" s="1">
        <v>100</v>
      </c>
      <c r="C16" s="1">
        <v>100</v>
      </c>
      <c r="D16" s="1">
        <v>100</v>
      </c>
      <c r="E16" s="1">
        <v>100</v>
      </c>
      <c r="F16" s="1">
        <v>100</v>
      </c>
      <c r="G16" s="1">
        <v>100</v>
      </c>
      <c r="H16" s="1">
        <v>100</v>
      </c>
      <c r="I16" s="1">
        <v>100.26070809352049</v>
      </c>
      <c r="J16" s="1">
        <v>100</v>
      </c>
      <c r="K16" s="1">
        <v>100</v>
      </c>
      <c r="L16" s="1">
        <v>100</v>
      </c>
      <c r="M16" s="1">
        <v>100</v>
      </c>
      <c r="N16" s="1">
        <v>100</v>
      </c>
      <c r="O16" s="1">
        <v>100</v>
      </c>
      <c r="P16" s="1">
        <v>100</v>
      </c>
      <c r="Q16" s="1">
        <v>100</v>
      </c>
      <c r="R16" s="1">
        <v>100</v>
      </c>
      <c r="S16" s="1">
        <v>100</v>
      </c>
      <c r="T16" s="1">
        <v>99.739291906479508</v>
      </c>
      <c r="U16" s="1">
        <v>100</v>
      </c>
      <c r="V16" s="1">
        <v>100</v>
      </c>
      <c r="W16" s="1">
        <v>100</v>
      </c>
      <c r="X16" s="1">
        <v>100</v>
      </c>
      <c r="Y16" s="1">
        <v>100</v>
      </c>
      <c r="Z16" s="1">
        <v>100</v>
      </c>
      <c r="AA16" s="1">
        <v>100</v>
      </c>
      <c r="AB16" s="1">
        <v>100</v>
      </c>
      <c r="AC16" s="1">
        <v>100</v>
      </c>
      <c r="AD16" s="1">
        <v>100</v>
      </c>
      <c r="AE16" s="1">
        <v>100.26070809352049</v>
      </c>
      <c r="AF16" s="1">
        <v>100</v>
      </c>
      <c r="AG16" s="1">
        <v>100</v>
      </c>
      <c r="AH16" s="1">
        <v>100</v>
      </c>
      <c r="AI16" s="1">
        <v>100</v>
      </c>
      <c r="AJ16" s="1">
        <v>100</v>
      </c>
      <c r="AK16" s="1">
        <v>100</v>
      </c>
      <c r="AL16" s="1">
        <v>100</v>
      </c>
      <c r="AM16" s="1">
        <v>100</v>
      </c>
      <c r="AN16" s="1">
        <v>100</v>
      </c>
      <c r="AO16" s="1">
        <v>99.739291906479508</v>
      </c>
      <c r="AP16" s="1">
        <v>100</v>
      </c>
      <c r="AQ16" s="1">
        <v>100</v>
      </c>
      <c r="AR16" s="1">
        <v>100</v>
      </c>
      <c r="AS16" s="1">
        <v>100</v>
      </c>
      <c r="AT16" s="1">
        <v>100</v>
      </c>
      <c r="AU16" s="1">
        <v>100</v>
      </c>
      <c r="AV16" s="1">
        <v>100</v>
      </c>
      <c r="AW16" s="1">
        <v>100</v>
      </c>
      <c r="AX16" s="1">
        <v>100</v>
      </c>
      <c r="AY16" s="1">
        <v>100</v>
      </c>
      <c r="AZ16" s="1">
        <v>100</v>
      </c>
      <c r="BA16" s="1">
        <v>100</v>
      </c>
      <c r="BB16" s="1">
        <v>100</v>
      </c>
      <c r="BC16" s="1">
        <v>100</v>
      </c>
      <c r="BD16" s="1">
        <v>100</v>
      </c>
      <c r="BE16" s="1">
        <v>100</v>
      </c>
      <c r="BF16" s="1">
        <v>100</v>
      </c>
      <c r="BG16" s="1">
        <v>100</v>
      </c>
      <c r="BH16" s="1">
        <v>100</v>
      </c>
    </row>
    <row r="17" spans="1:60" x14ac:dyDescent="0.25">
      <c r="A17">
        <v>4</v>
      </c>
      <c r="B17" s="1">
        <v>100</v>
      </c>
      <c r="C17" s="1">
        <v>100</v>
      </c>
      <c r="D17" s="1">
        <v>100</v>
      </c>
      <c r="E17" s="1">
        <v>100</v>
      </c>
      <c r="F17" s="1">
        <v>100</v>
      </c>
      <c r="G17" s="1">
        <v>100</v>
      </c>
      <c r="H17" s="1">
        <v>100</v>
      </c>
      <c r="I17" s="1">
        <v>100.26070809352049</v>
      </c>
      <c r="J17" s="1">
        <v>100</v>
      </c>
      <c r="K17" s="1">
        <v>101.57500738397422</v>
      </c>
      <c r="L17" s="1">
        <v>100</v>
      </c>
      <c r="M17" s="1">
        <v>100</v>
      </c>
      <c r="N17" s="1">
        <v>100</v>
      </c>
      <c r="O17" s="1">
        <v>100</v>
      </c>
      <c r="P17" s="1">
        <v>100</v>
      </c>
      <c r="Q17" s="1">
        <v>100</v>
      </c>
      <c r="R17" s="1">
        <v>100</v>
      </c>
      <c r="S17" s="1">
        <v>100</v>
      </c>
      <c r="T17" s="1">
        <v>99.739291906479508</v>
      </c>
      <c r="U17" s="1">
        <v>100</v>
      </c>
      <c r="V17" s="1">
        <v>100</v>
      </c>
      <c r="W17" s="1">
        <v>100</v>
      </c>
      <c r="X17" s="1">
        <v>100</v>
      </c>
      <c r="Y17" s="1">
        <v>100</v>
      </c>
      <c r="Z17" s="1">
        <v>100</v>
      </c>
      <c r="AA17" s="1">
        <v>100</v>
      </c>
      <c r="AB17" s="1">
        <v>100</v>
      </c>
      <c r="AC17" s="1">
        <v>100</v>
      </c>
      <c r="AD17" s="1">
        <v>100</v>
      </c>
      <c r="AE17" s="1">
        <v>98.683650296480891</v>
      </c>
      <c r="AF17" s="1">
        <v>101.57500738397422</v>
      </c>
      <c r="AG17" s="1">
        <v>100</v>
      </c>
      <c r="AH17" s="1">
        <v>100</v>
      </c>
      <c r="AI17" s="1">
        <v>100</v>
      </c>
      <c r="AJ17" s="1">
        <v>100</v>
      </c>
      <c r="AK17" s="1">
        <v>100</v>
      </c>
      <c r="AL17" s="1">
        <v>100</v>
      </c>
      <c r="AM17" s="1">
        <v>100</v>
      </c>
      <c r="AN17" s="1">
        <v>100</v>
      </c>
      <c r="AO17" s="1">
        <v>99.739291906479508</v>
      </c>
      <c r="AP17" s="1">
        <v>100</v>
      </c>
      <c r="AQ17" s="1">
        <v>100</v>
      </c>
      <c r="AR17" s="1">
        <v>100</v>
      </c>
      <c r="AS17" s="1">
        <v>100</v>
      </c>
      <c r="AT17" s="1">
        <v>98.427043029091152</v>
      </c>
      <c r="AU17" s="1">
        <v>100</v>
      </c>
      <c r="AV17" s="1">
        <v>100</v>
      </c>
      <c r="AW17" s="1">
        <v>100</v>
      </c>
      <c r="AX17" s="1">
        <v>100</v>
      </c>
      <c r="AY17" s="1">
        <v>100</v>
      </c>
      <c r="AZ17" s="1">
        <v>100</v>
      </c>
      <c r="BA17" s="1">
        <v>100</v>
      </c>
      <c r="BB17" s="1">
        <v>100</v>
      </c>
      <c r="BC17" s="1">
        <v>100</v>
      </c>
      <c r="BD17" s="1">
        <v>100</v>
      </c>
      <c r="BE17" s="1">
        <v>100</v>
      </c>
      <c r="BF17" s="1">
        <v>100</v>
      </c>
      <c r="BG17" s="1">
        <v>100</v>
      </c>
      <c r="BH17" s="1">
        <v>100</v>
      </c>
    </row>
    <row r="18" spans="1:60" x14ac:dyDescent="0.25">
      <c r="A18">
        <v>5</v>
      </c>
      <c r="B18" s="1">
        <v>100</v>
      </c>
      <c r="C18" s="1">
        <v>100</v>
      </c>
      <c r="D18" s="1">
        <v>100</v>
      </c>
      <c r="E18" s="1">
        <v>100</v>
      </c>
      <c r="F18" s="1">
        <v>100</v>
      </c>
      <c r="G18" s="1">
        <v>100</v>
      </c>
      <c r="H18" s="1">
        <v>100</v>
      </c>
      <c r="I18" s="1">
        <v>100.26070809352049</v>
      </c>
      <c r="J18" s="1">
        <v>100</v>
      </c>
      <c r="K18" s="1">
        <v>100.94957983664952</v>
      </c>
      <c r="L18" s="1">
        <v>100</v>
      </c>
      <c r="M18" s="1">
        <v>100</v>
      </c>
      <c r="N18" s="1">
        <v>100</v>
      </c>
      <c r="O18" s="1">
        <v>100</v>
      </c>
      <c r="P18" s="1">
        <v>100</v>
      </c>
      <c r="Q18" s="1">
        <v>100</v>
      </c>
      <c r="R18" s="1">
        <v>100</v>
      </c>
      <c r="S18" s="1">
        <v>100</v>
      </c>
      <c r="T18" s="1">
        <v>99.739291906479508</v>
      </c>
      <c r="U18" s="1">
        <v>100</v>
      </c>
      <c r="V18" s="1">
        <v>100</v>
      </c>
      <c r="W18" s="1">
        <v>100</v>
      </c>
      <c r="X18" s="1">
        <v>100</v>
      </c>
      <c r="Y18" s="1">
        <v>100</v>
      </c>
      <c r="Z18" s="1">
        <v>100</v>
      </c>
      <c r="AA18" s="1">
        <v>100</v>
      </c>
      <c r="AB18" s="1">
        <v>100</v>
      </c>
      <c r="AC18" s="1">
        <v>100</v>
      </c>
      <c r="AD18" s="1">
        <v>100</v>
      </c>
      <c r="AE18" s="1">
        <v>99.308263635042167</v>
      </c>
      <c r="AF18" s="1">
        <v>100.94957983664952</v>
      </c>
      <c r="AG18" s="1">
        <v>100</v>
      </c>
      <c r="AH18" s="1">
        <v>100</v>
      </c>
      <c r="AI18" s="1">
        <v>100</v>
      </c>
      <c r="AJ18" s="1">
        <v>100</v>
      </c>
      <c r="AK18" s="1">
        <v>100</v>
      </c>
      <c r="AL18" s="1">
        <v>100</v>
      </c>
      <c r="AM18" s="1">
        <v>100</v>
      </c>
      <c r="AN18" s="1">
        <v>100</v>
      </c>
      <c r="AO18" s="1">
        <v>99.739291906479508</v>
      </c>
      <c r="AP18" s="1">
        <v>100</v>
      </c>
      <c r="AQ18" s="1">
        <v>100</v>
      </c>
      <c r="AR18" s="1">
        <v>100</v>
      </c>
      <c r="AS18" s="1">
        <v>100</v>
      </c>
      <c r="AT18" s="1">
        <v>99.053284785179272</v>
      </c>
      <c r="AU18" s="1">
        <v>100</v>
      </c>
      <c r="AV18" s="1">
        <v>100</v>
      </c>
      <c r="AW18" s="1">
        <v>100</v>
      </c>
      <c r="AX18" s="1">
        <v>100</v>
      </c>
      <c r="AY18" s="1">
        <v>100</v>
      </c>
      <c r="AZ18" s="1">
        <v>100</v>
      </c>
      <c r="BA18" s="1">
        <v>100</v>
      </c>
      <c r="BB18" s="1">
        <v>100</v>
      </c>
      <c r="BC18" s="1">
        <v>100</v>
      </c>
      <c r="BD18" s="1">
        <v>100</v>
      </c>
      <c r="BE18" s="1">
        <v>100</v>
      </c>
      <c r="BF18" s="1">
        <v>100</v>
      </c>
      <c r="BG18" s="1">
        <v>100</v>
      </c>
      <c r="BH18" s="1">
        <v>100</v>
      </c>
    </row>
    <row r="19" spans="1:60" x14ac:dyDescent="0.25">
      <c r="A19">
        <v>6</v>
      </c>
      <c r="B19" s="1">
        <v>100</v>
      </c>
      <c r="C19" s="1">
        <v>100</v>
      </c>
      <c r="D19" s="1">
        <v>100</v>
      </c>
      <c r="E19" s="1">
        <v>100</v>
      </c>
      <c r="F19" s="1">
        <v>100</v>
      </c>
      <c r="G19" s="1">
        <v>100</v>
      </c>
      <c r="H19" s="1">
        <v>100</v>
      </c>
      <c r="I19" s="1">
        <v>98.626972918695557</v>
      </c>
      <c r="J19" s="1">
        <v>100</v>
      </c>
      <c r="K19" s="1">
        <v>100.94957983664952</v>
      </c>
      <c r="L19" s="1">
        <v>100</v>
      </c>
      <c r="M19" s="1">
        <v>100</v>
      </c>
      <c r="N19" s="1">
        <v>100</v>
      </c>
      <c r="O19" s="1">
        <v>100</v>
      </c>
      <c r="P19" s="1">
        <v>100</v>
      </c>
      <c r="Q19" s="1">
        <v>100</v>
      </c>
      <c r="R19" s="1">
        <v>100</v>
      </c>
      <c r="S19" s="1">
        <v>100</v>
      </c>
      <c r="T19" s="1">
        <v>101.36315573097366</v>
      </c>
      <c r="U19" s="1">
        <v>100</v>
      </c>
      <c r="V19" s="1">
        <v>100</v>
      </c>
      <c r="W19" s="1">
        <v>100</v>
      </c>
      <c r="X19" s="1">
        <v>100</v>
      </c>
      <c r="Y19" s="1">
        <v>100</v>
      </c>
      <c r="Z19" s="1">
        <v>100</v>
      </c>
      <c r="AA19" s="1">
        <v>100</v>
      </c>
      <c r="AB19" s="1">
        <v>100</v>
      </c>
      <c r="AC19" s="1">
        <v>100</v>
      </c>
      <c r="AD19" s="1">
        <v>100</v>
      </c>
      <c r="AE19" s="1">
        <v>99.308263635042167</v>
      </c>
      <c r="AF19" s="1">
        <v>100.94957983664952</v>
      </c>
      <c r="AG19" s="1">
        <v>100</v>
      </c>
      <c r="AH19" s="1">
        <v>100</v>
      </c>
      <c r="AI19" s="1">
        <v>100</v>
      </c>
      <c r="AJ19" s="1">
        <v>100</v>
      </c>
      <c r="AK19" s="1">
        <v>100</v>
      </c>
      <c r="AL19" s="1">
        <v>100</v>
      </c>
      <c r="AM19" s="1">
        <v>100</v>
      </c>
      <c r="AN19" s="1">
        <v>100</v>
      </c>
      <c r="AO19" s="1">
        <v>98.114053140484003</v>
      </c>
      <c r="AP19" s="1">
        <v>100</v>
      </c>
      <c r="AQ19" s="1">
        <v>100</v>
      </c>
      <c r="AR19" s="1">
        <v>100</v>
      </c>
      <c r="AS19" s="1">
        <v>100</v>
      </c>
      <c r="AT19" s="1">
        <v>100.68839490150556</v>
      </c>
      <c r="AU19" s="1">
        <v>100</v>
      </c>
      <c r="AV19" s="1">
        <v>100</v>
      </c>
      <c r="AW19" s="1">
        <v>100</v>
      </c>
      <c r="AX19" s="1">
        <v>100</v>
      </c>
      <c r="AY19" s="1">
        <v>100</v>
      </c>
      <c r="AZ19" s="1">
        <v>100</v>
      </c>
      <c r="BA19" s="1">
        <v>100</v>
      </c>
      <c r="BB19" s="1">
        <v>100</v>
      </c>
      <c r="BC19" s="1">
        <v>100</v>
      </c>
      <c r="BD19" s="1">
        <v>100</v>
      </c>
      <c r="BE19" s="1">
        <v>100</v>
      </c>
      <c r="BF19" s="1">
        <v>100</v>
      </c>
      <c r="BG19" s="1">
        <v>100</v>
      </c>
      <c r="BH19" s="1">
        <v>100</v>
      </c>
    </row>
    <row r="20" spans="1:60" x14ac:dyDescent="0.25">
      <c r="A20">
        <v>7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98.190020511382031</v>
      </c>
      <c r="J20" s="1">
        <v>100</v>
      </c>
      <c r="K20" s="1">
        <v>100.94957983664952</v>
      </c>
      <c r="L20" s="1">
        <v>100</v>
      </c>
      <c r="M20" s="1">
        <v>100</v>
      </c>
      <c r="N20" s="1">
        <v>100</v>
      </c>
      <c r="O20" s="1">
        <v>100</v>
      </c>
      <c r="P20" s="1">
        <v>100</v>
      </c>
      <c r="Q20" s="1">
        <v>100</v>
      </c>
      <c r="R20" s="1">
        <v>100</v>
      </c>
      <c r="S20" s="1">
        <v>100</v>
      </c>
      <c r="T20" s="1">
        <v>101.79751650111473</v>
      </c>
      <c r="U20" s="1">
        <v>100</v>
      </c>
      <c r="V20" s="1">
        <v>100</v>
      </c>
      <c r="W20" s="1">
        <v>100</v>
      </c>
      <c r="X20" s="1">
        <v>100</v>
      </c>
      <c r="Y20" s="1">
        <v>100</v>
      </c>
      <c r="Z20" s="1">
        <v>100</v>
      </c>
      <c r="AA20" s="1">
        <v>100</v>
      </c>
      <c r="AB20" s="1">
        <v>100</v>
      </c>
      <c r="AC20" s="1">
        <v>100</v>
      </c>
      <c r="AD20" s="1">
        <v>100</v>
      </c>
      <c r="AE20" s="1">
        <v>99.308263635042167</v>
      </c>
      <c r="AF20" s="1">
        <v>100.94957983664952</v>
      </c>
      <c r="AG20" s="1">
        <v>100</v>
      </c>
      <c r="AH20" s="1">
        <v>100</v>
      </c>
      <c r="AI20" s="1">
        <v>100</v>
      </c>
      <c r="AJ20" s="1">
        <v>100</v>
      </c>
      <c r="AK20" s="1">
        <v>100</v>
      </c>
      <c r="AL20" s="1">
        <v>100</v>
      </c>
      <c r="AM20" s="1">
        <v>100</v>
      </c>
      <c r="AN20" s="1">
        <v>100</v>
      </c>
      <c r="AO20" s="1">
        <v>97.679373149378904</v>
      </c>
      <c r="AP20" s="1">
        <v>100</v>
      </c>
      <c r="AQ20" s="1">
        <v>100</v>
      </c>
      <c r="AR20" s="1">
        <v>100</v>
      </c>
      <c r="AS20" s="1">
        <v>100</v>
      </c>
      <c r="AT20" s="1">
        <v>101.12566652978312</v>
      </c>
      <c r="AU20" s="1">
        <v>100</v>
      </c>
      <c r="AV20" s="1">
        <v>100</v>
      </c>
      <c r="AW20" s="1">
        <v>100</v>
      </c>
      <c r="AX20" s="1">
        <v>100</v>
      </c>
      <c r="AY20" s="1">
        <v>100</v>
      </c>
      <c r="AZ20" s="1">
        <v>100</v>
      </c>
      <c r="BA20" s="1">
        <v>100</v>
      </c>
      <c r="BB20" s="1">
        <v>100</v>
      </c>
      <c r="BC20" s="1">
        <v>100</v>
      </c>
      <c r="BD20" s="1">
        <v>100</v>
      </c>
      <c r="BE20" s="1">
        <v>100</v>
      </c>
      <c r="BF20" s="1">
        <v>100</v>
      </c>
      <c r="BG20" s="1">
        <v>100</v>
      </c>
      <c r="BH20" s="1">
        <v>100</v>
      </c>
    </row>
    <row r="21" spans="1:60" x14ac:dyDescent="0.25">
      <c r="A21">
        <v>8</v>
      </c>
      <c r="B21" s="1">
        <v>100</v>
      </c>
      <c r="C21" s="1">
        <v>100</v>
      </c>
      <c r="D21" s="1">
        <v>100</v>
      </c>
      <c r="E21" s="1">
        <v>102.17609248896345</v>
      </c>
      <c r="F21" s="1">
        <v>100</v>
      </c>
      <c r="G21" s="1">
        <v>100</v>
      </c>
      <c r="H21" s="1">
        <v>100</v>
      </c>
      <c r="I21" s="1">
        <v>98.190020511382031</v>
      </c>
      <c r="J21" s="1">
        <v>100</v>
      </c>
      <c r="K21" s="1">
        <v>98.755652061954365</v>
      </c>
      <c r="L21" s="1">
        <v>100</v>
      </c>
      <c r="M21" s="1">
        <v>100</v>
      </c>
      <c r="N21" s="1">
        <v>100</v>
      </c>
      <c r="O21" s="1">
        <v>100</v>
      </c>
      <c r="P21" s="1">
        <v>100</v>
      </c>
      <c r="Q21" s="1">
        <v>100</v>
      </c>
      <c r="R21" s="1">
        <v>100</v>
      </c>
      <c r="S21" s="1">
        <v>100</v>
      </c>
      <c r="T21" s="1">
        <v>101.79751650111473</v>
      </c>
      <c r="U21" s="1">
        <v>100</v>
      </c>
      <c r="V21" s="1">
        <v>100</v>
      </c>
      <c r="W21" s="1">
        <v>100</v>
      </c>
      <c r="X21" s="1">
        <v>100</v>
      </c>
      <c r="Y21" s="1">
        <v>100</v>
      </c>
      <c r="Z21" s="1">
        <v>100</v>
      </c>
      <c r="AA21" s="1">
        <v>100</v>
      </c>
      <c r="AB21" s="1">
        <v>100</v>
      </c>
      <c r="AC21" s="1">
        <v>100</v>
      </c>
      <c r="AD21" s="1">
        <v>100</v>
      </c>
      <c r="AE21" s="1">
        <v>97.150006431810411</v>
      </c>
      <c r="AF21" s="1">
        <v>100.94957983664952</v>
      </c>
      <c r="AG21" s="1">
        <v>100</v>
      </c>
      <c r="AH21" s="1">
        <v>100</v>
      </c>
      <c r="AI21" s="1">
        <v>100</v>
      </c>
      <c r="AJ21" s="1">
        <v>100</v>
      </c>
      <c r="AK21" s="1">
        <v>102.17609248896345</v>
      </c>
      <c r="AL21" s="1">
        <v>100</v>
      </c>
      <c r="AM21" s="1">
        <v>100</v>
      </c>
      <c r="AN21" s="1">
        <v>100</v>
      </c>
      <c r="AO21" s="1">
        <v>97.679373149378904</v>
      </c>
      <c r="AP21" s="1">
        <v>100</v>
      </c>
      <c r="AQ21" s="1">
        <v>100</v>
      </c>
      <c r="AR21" s="1">
        <v>100</v>
      </c>
      <c r="AS21" s="1">
        <v>100</v>
      </c>
      <c r="AT21" s="1">
        <v>101.12566652978312</v>
      </c>
      <c r="AU21" s="1">
        <v>100</v>
      </c>
      <c r="AV21" s="1">
        <v>100</v>
      </c>
      <c r="AW21" s="1">
        <v>100</v>
      </c>
      <c r="AX21" s="1">
        <v>100</v>
      </c>
      <c r="AY21" s="1">
        <v>100</v>
      </c>
      <c r="AZ21" s="1">
        <v>100</v>
      </c>
      <c r="BA21" s="1">
        <v>100</v>
      </c>
      <c r="BB21" s="1">
        <v>100</v>
      </c>
      <c r="BC21" s="1">
        <v>100</v>
      </c>
      <c r="BD21" s="1">
        <v>100</v>
      </c>
      <c r="BE21" s="1">
        <v>100</v>
      </c>
      <c r="BF21" s="1">
        <v>100</v>
      </c>
      <c r="BG21" s="1">
        <v>100</v>
      </c>
      <c r="BH21" s="1">
        <v>100</v>
      </c>
    </row>
    <row r="22" spans="1:60" x14ac:dyDescent="0.25">
      <c r="A22">
        <v>9</v>
      </c>
      <c r="B22" s="1">
        <v>100</v>
      </c>
      <c r="C22" s="1">
        <v>100</v>
      </c>
      <c r="D22" s="1">
        <v>100</v>
      </c>
      <c r="E22" s="1">
        <v>104.61591054281757</v>
      </c>
      <c r="F22" s="1">
        <v>100</v>
      </c>
      <c r="G22" s="1">
        <v>100</v>
      </c>
      <c r="H22" s="1">
        <v>100</v>
      </c>
      <c r="I22" s="1">
        <v>98.190020511382031</v>
      </c>
      <c r="J22" s="1">
        <v>100</v>
      </c>
      <c r="K22" s="1">
        <v>96.295837223797847</v>
      </c>
      <c r="L22" s="1">
        <v>100</v>
      </c>
      <c r="M22" s="1">
        <v>100</v>
      </c>
      <c r="N22" s="1">
        <v>100</v>
      </c>
      <c r="O22" s="1">
        <v>100</v>
      </c>
      <c r="P22" s="1">
        <v>100</v>
      </c>
      <c r="Q22" s="1">
        <v>100</v>
      </c>
      <c r="R22" s="1">
        <v>100</v>
      </c>
      <c r="S22" s="1">
        <v>100</v>
      </c>
      <c r="T22" s="1">
        <v>101.79751650111473</v>
      </c>
      <c r="U22" s="1">
        <v>100</v>
      </c>
      <c r="V22" s="1">
        <v>100</v>
      </c>
      <c r="W22" s="1">
        <v>100</v>
      </c>
      <c r="X22" s="1">
        <v>100</v>
      </c>
      <c r="Y22" s="1">
        <v>100</v>
      </c>
      <c r="Z22" s="1">
        <v>100</v>
      </c>
      <c r="AA22" s="1">
        <v>100</v>
      </c>
      <c r="AB22" s="1">
        <v>100</v>
      </c>
      <c r="AC22" s="1">
        <v>100</v>
      </c>
      <c r="AD22" s="1">
        <v>100</v>
      </c>
      <c r="AE22" s="1">
        <v>94.730185162258678</v>
      </c>
      <c r="AF22" s="1">
        <v>100.94957983664952</v>
      </c>
      <c r="AG22" s="1">
        <v>100</v>
      </c>
      <c r="AH22" s="1">
        <v>100</v>
      </c>
      <c r="AI22" s="1">
        <v>100</v>
      </c>
      <c r="AJ22" s="1">
        <v>100</v>
      </c>
      <c r="AK22" s="1">
        <v>104.61591054281757</v>
      </c>
      <c r="AL22" s="1">
        <v>100</v>
      </c>
      <c r="AM22" s="1">
        <v>100</v>
      </c>
      <c r="AN22" s="1">
        <v>100</v>
      </c>
      <c r="AO22" s="1">
        <v>97.679373149378904</v>
      </c>
      <c r="AP22" s="1">
        <v>100</v>
      </c>
      <c r="AQ22" s="1">
        <v>100</v>
      </c>
      <c r="AR22" s="1">
        <v>100</v>
      </c>
      <c r="AS22" s="1">
        <v>100</v>
      </c>
      <c r="AT22" s="1">
        <v>101.12566652978312</v>
      </c>
      <c r="AU22" s="1">
        <v>100</v>
      </c>
      <c r="AV22" s="1">
        <v>100</v>
      </c>
      <c r="AW22" s="1">
        <v>100</v>
      </c>
      <c r="AX22" s="1">
        <v>100</v>
      </c>
      <c r="AY22" s="1">
        <v>100</v>
      </c>
      <c r="AZ22" s="1">
        <v>100</v>
      </c>
      <c r="BA22" s="1">
        <v>100</v>
      </c>
      <c r="BB22" s="1">
        <v>100</v>
      </c>
      <c r="BC22" s="1">
        <v>100</v>
      </c>
      <c r="BD22" s="1">
        <v>100</v>
      </c>
      <c r="BE22" s="1">
        <v>100</v>
      </c>
      <c r="BF22" s="1">
        <v>100</v>
      </c>
      <c r="BG22" s="1">
        <v>100</v>
      </c>
      <c r="BH22" s="1">
        <v>100</v>
      </c>
    </row>
    <row r="23" spans="1:60" x14ac:dyDescent="0.25">
      <c r="A23">
        <v>10</v>
      </c>
      <c r="B23" s="1">
        <v>100</v>
      </c>
      <c r="C23" s="1">
        <v>100</v>
      </c>
      <c r="D23" s="1">
        <v>100</v>
      </c>
      <c r="E23" s="1">
        <v>104.61591054281757</v>
      </c>
      <c r="F23" s="1">
        <v>100</v>
      </c>
      <c r="G23" s="1">
        <v>100</v>
      </c>
      <c r="H23" s="1">
        <v>100</v>
      </c>
      <c r="I23" s="1">
        <v>98.190020511382031</v>
      </c>
      <c r="J23" s="1">
        <v>100</v>
      </c>
      <c r="K23" s="1">
        <v>93.417611242200621</v>
      </c>
      <c r="L23" s="1">
        <v>100</v>
      </c>
      <c r="M23" s="1">
        <v>100</v>
      </c>
      <c r="N23" s="1">
        <v>100</v>
      </c>
      <c r="O23" s="1">
        <v>100</v>
      </c>
      <c r="P23" s="1">
        <v>100</v>
      </c>
      <c r="Q23" s="1">
        <v>100</v>
      </c>
      <c r="R23" s="1">
        <v>100</v>
      </c>
      <c r="S23" s="1">
        <v>100</v>
      </c>
      <c r="T23" s="1">
        <v>104.73809639573102</v>
      </c>
      <c r="U23" s="1">
        <v>100</v>
      </c>
      <c r="V23" s="1">
        <v>100</v>
      </c>
      <c r="W23" s="1">
        <v>100</v>
      </c>
      <c r="X23" s="1">
        <v>100</v>
      </c>
      <c r="Y23" s="1">
        <v>100</v>
      </c>
      <c r="Z23" s="1">
        <v>100</v>
      </c>
      <c r="AA23" s="1">
        <v>100</v>
      </c>
      <c r="AB23" s="1">
        <v>100</v>
      </c>
      <c r="AC23" s="1">
        <v>100</v>
      </c>
      <c r="AD23" s="1">
        <v>100</v>
      </c>
      <c r="AE23" s="1">
        <v>94.730185162258678</v>
      </c>
      <c r="AF23" s="1">
        <v>100.94957983664952</v>
      </c>
      <c r="AG23" s="1">
        <v>100</v>
      </c>
      <c r="AH23" s="1">
        <v>100</v>
      </c>
      <c r="AI23" s="1">
        <v>100</v>
      </c>
      <c r="AJ23" s="1">
        <v>100</v>
      </c>
      <c r="AK23" s="1">
        <v>101.48900245941834</v>
      </c>
      <c r="AL23" s="1">
        <v>100</v>
      </c>
      <c r="AM23" s="1">
        <v>100</v>
      </c>
      <c r="AN23" s="1">
        <v>100</v>
      </c>
      <c r="AO23" s="1">
        <v>100.74392731975907</v>
      </c>
      <c r="AP23" s="1">
        <v>100</v>
      </c>
      <c r="AQ23" s="1">
        <v>100</v>
      </c>
      <c r="AR23" s="1">
        <v>100</v>
      </c>
      <c r="AS23" s="1">
        <v>100</v>
      </c>
      <c r="AT23" s="1">
        <v>101.12566652978312</v>
      </c>
      <c r="AU23" s="1">
        <v>100</v>
      </c>
      <c r="AV23" s="1">
        <v>100</v>
      </c>
      <c r="AW23" s="1">
        <v>100</v>
      </c>
      <c r="AX23" s="1">
        <v>100</v>
      </c>
      <c r="AY23" s="1">
        <v>100</v>
      </c>
      <c r="AZ23" s="1">
        <v>100</v>
      </c>
      <c r="BA23" s="1">
        <v>100</v>
      </c>
      <c r="BB23" s="1">
        <v>100</v>
      </c>
      <c r="BC23" s="1">
        <v>100</v>
      </c>
      <c r="BD23" s="1">
        <v>100</v>
      </c>
      <c r="BE23" s="1">
        <v>100</v>
      </c>
      <c r="BF23" s="1">
        <v>100</v>
      </c>
      <c r="BG23" s="1">
        <v>100</v>
      </c>
      <c r="BH23" s="1">
        <v>100</v>
      </c>
    </row>
    <row r="24" spans="1:60" x14ac:dyDescent="0.25">
      <c r="A24">
        <v>11</v>
      </c>
      <c r="B24" s="1">
        <v>100</v>
      </c>
      <c r="C24" s="1">
        <v>100</v>
      </c>
      <c r="D24" s="1">
        <v>100</v>
      </c>
      <c r="E24" s="1">
        <v>104.61591054281757</v>
      </c>
      <c r="F24" s="1">
        <v>100</v>
      </c>
      <c r="G24" s="1">
        <v>100</v>
      </c>
      <c r="H24" s="1">
        <v>100</v>
      </c>
      <c r="I24" s="1">
        <v>98.190020511382031</v>
      </c>
      <c r="J24" s="1">
        <v>100</v>
      </c>
      <c r="K24" s="1">
        <v>93.90526856165215</v>
      </c>
      <c r="L24" s="1">
        <v>100</v>
      </c>
      <c r="M24" s="1">
        <v>100</v>
      </c>
      <c r="N24" s="1">
        <v>100</v>
      </c>
      <c r="O24" s="1">
        <v>100</v>
      </c>
      <c r="P24" s="1">
        <v>100</v>
      </c>
      <c r="Q24" s="1">
        <v>100</v>
      </c>
      <c r="R24" s="1">
        <v>100</v>
      </c>
      <c r="S24" s="1">
        <v>100</v>
      </c>
      <c r="T24" s="1">
        <v>104.26072852930899</v>
      </c>
      <c r="U24" s="1">
        <v>100</v>
      </c>
      <c r="V24" s="1">
        <v>100</v>
      </c>
      <c r="W24" s="1">
        <v>100</v>
      </c>
      <c r="X24" s="1">
        <v>100</v>
      </c>
      <c r="Y24" s="1">
        <v>100</v>
      </c>
      <c r="Z24" s="1">
        <v>100</v>
      </c>
      <c r="AA24" s="1">
        <v>100</v>
      </c>
      <c r="AB24" s="1">
        <v>100</v>
      </c>
      <c r="AC24" s="1">
        <v>100</v>
      </c>
      <c r="AD24" s="1">
        <v>100</v>
      </c>
      <c r="AE24" s="1">
        <v>94.730185162258678</v>
      </c>
      <c r="AF24" s="1">
        <v>100.94957983664952</v>
      </c>
      <c r="AG24" s="1">
        <v>100</v>
      </c>
      <c r="AH24" s="1">
        <v>100</v>
      </c>
      <c r="AI24" s="1">
        <v>100</v>
      </c>
      <c r="AJ24" s="1">
        <v>100</v>
      </c>
      <c r="AK24" s="1">
        <v>101.93787653231263</v>
      </c>
      <c r="AL24" s="1">
        <v>100</v>
      </c>
      <c r="AM24" s="1">
        <v>100</v>
      </c>
      <c r="AN24" s="1">
        <v>100</v>
      </c>
      <c r="AO24" s="1">
        <v>100.28476379383528</v>
      </c>
      <c r="AP24" s="1">
        <v>100</v>
      </c>
      <c r="AQ24" s="1">
        <v>100</v>
      </c>
      <c r="AR24" s="1">
        <v>100</v>
      </c>
      <c r="AS24" s="1">
        <v>100</v>
      </c>
      <c r="AT24" s="1">
        <v>101.12566652978312</v>
      </c>
      <c r="AU24" s="1">
        <v>100</v>
      </c>
      <c r="AV24" s="1">
        <v>100</v>
      </c>
      <c r="AW24" s="1">
        <v>100</v>
      </c>
      <c r="AX24" s="1">
        <v>100</v>
      </c>
      <c r="AY24" s="1">
        <v>100</v>
      </c>
      <c r="AZ24" s="1">
        <v>100</v>
      </c>
      <c r="BA24" s="1">
        <v>100</v>
      </c>
      <c r="BB24" s="1">
        <v>100</v>
      </c>
      <c r="BC24" s="1">
        <v>100</v>
      </c>
      <c r="BD24" s="1">
        <v>100</v>
      </c>
      <c r="BE24" s="1">
        <v>100</v>
      </c>
      <c r="BF24" s="1">
        <v>100</v>
      </c>
      <c r="BG24" s="1">
        <v>100</v>
      </c>
      <c r="BH24" s="1">
        <v>100</v>
      </c>
    </row>
    <row r="25" spans="1:60" x14ac:dyDescent="0.25">
      <c r="A25">
        <v>12</v>
      </c>
      <c r="B25" s="1">
        <v>100</v>
      </c>
      <c r="C25" s="1">
        <v>100</v>
      </c>
      <c r="D25" s="1">
        <v>100</v>
      </c>
      <c r="E25" s="1">
        <v>104.61591054281757</v>
      </c>
      <c r="F25" s="1">
        <v>100</v>
      </c>
      <c r="G25" s="1">
        <v>100</v>
      </c>
      <c r="H25" s="1">
        <v>100</v>
      </c>
      <c r="I25" s="1">
        <v>98.190020511382031</v>
      </c>
      <c r="J25" s="1">
        <v>100</v>
      </c>
      <c r="K25" s="1">
        <v>93.90526856165215</v>
      </c>
      <c r="L25" s="1">
        <v>100</v>
      </c>
      <c r="M25" s="1">
        <v>100</v>
      </c>
      <c r="N25" s="1">
        <v>100</v>
      </c>
      <c r="O25" s="1">
        <v>100</v>
      </c>
      <c r="P25" s="1">
        <v>97.376066117787218</v>
      </c>
      <c r="Q25" s="1">
        <v>100</v>
      </c>
      <c r="R25" s="1">
        <v>100</v>
      </c>
      <c r="S25" s="1">
        <v>100</v>
      </c>
      <c r="T25" s="1">
        <v>106.84828910140806</v>
      </c>
      <c r="U25" s="1">
        <v>100</v>
      </c>
      <c r="V25" s="1">
        <v>100</v>
      </c>
      <c r="W25" s="1">
        <v>100</v>
      </c>
      <c r="X25" s="1">
        <v>100</v>
      </c>
      <c r="Y25" s="1">
        <v>100</v>
      </c>
      <c r="Z25" s="1">
        <v>100</v>
      </c>
      <c r="AA25" s="1">
        <v>100</v>
      </c>
      <c r="AB25" s="1">
        <v>100</v>
      </c>
      <c r="AC25" s="1">
        <v>100</v>
      </c>
      <c r="AD25" s="1">
        <v>100</v>
      </c>
      <c r="AE25" s="1">
        <v>94.730185162258678</v>
      </c>
      <c r="AF25" s="1">
        <v>100.94957983664952</v>
      </c>
      <c r="AG25" s="1">
        <v>100</v>
      </c>
      <c r="AH25" s="1">
        <v>100</v>
      </c>
      <c r="AI25" s="1">
        <v>100</v>
      </c>
      <c r="AJ25" s="1">
        <v>100</v>
      </c>
      <c r="AK25" s="1">
        <v>101.93787653231263</v>
      </c>
      <c r="AL25" s="1">
        <v>100</v>
      </c>
      <c r="AM25" s="1">
        <v>100</v>
      </c>
      <c r="AN25" s="1">
        <v>100</v>
      </c>
      <c r="AO25" s="1">
        <v>97.653357897951778</v>
      </c>
      <c r="AP25" s="1">
        <v>100</v>
      </c>
      <c r="AQ25" s="1">
        <v>100</v>
      </c>
      <c r="AR25" s="1">
        <v>100</v>
      </c>
      <c r="AS25" s="1">
        <v>100</v>
      </c>
      <c r="AT25" s="1">
        <v>103.79344573578034</v>
      </c>
      <c r="AU25" s="1">
        <v>100</v>
      </c>
      <c r="AV25" s="1">
        <v>100</v>
      </c>
      <c r="AW25" s="1">
        <v>100</v>
      </c>
      <c r="AX25" s="1">
        <v>100</v>
      </c>
      <c r="AY25" s="1">
        <v>100</v>
      </c>
      <c r="AZ25" s="1">
        <v>100</v>
      </c>
      <c r="BA25" s="1">
        <v>100</v>
      </c>
      <c r="BB25" s="1">
        <v>100</v>
      </c>
      <c r="BC25" s="1">
        <v>100</v>
      </c>
      <c r="BD25" s="1">
        <v>100</v>
      </c>
      <c r="BE25" s="1">
        <v>100</v>
      </c>
      <c r="BF25" s="1">
        <v>100</v>
      </c>
      <c r="BG25" s="1">
        <v>100</v>
      </c>
      <c r="BH25" s="1">
        <v>100</v>
      </c>
    </row>
    <row r="26" spans="1:60" x14ac:dyDescent="0.25">
      <c r="A26">
        <v>13</v>
      </c>
      <c r="B26" s="1">
        <v>100</v>
      </c>
      <c r="C26" s="1">
        <v>100</v>
      </c>
      <c r="D26" s="1">
        <v>100</v>
      </c>
      <c r="E26" s="1">
        <v>104.61591054281757</v>
      </c>
      <c r="F26" s="1">
        <v>100</v>
      </c>
      <c r="G26" s="1">
        <v>100</v>
      </c>
      <c r="H26" s="1">
        <v>100</v>
      </c>
      <c r="I26" s="1">
        <v>98.190020511382031</v>
      </c>
      <c r="J26" s="1">
        <v>100</v>
      </c>
      <c r="K26" s="1">
        <v>93.90526856165215</v>
      </c>
      <c r="L26" s="1">
        <v>100</v>
      </c>
      <c r="M26" s="1">
        <v>100</v>
      </c>
      <c r="N26" s="1">
        <v>100</v>
      </c>
      <c r="O26" s="1">
        <v>100</v>
      </c>
      <c r="P26" s="1">
        <v>98.36812928047523</v>
      </c>
      <c r="Q26" s="1">
        <v>100</v>
      </c>
      <c r="R26" s="1">
        <v>100</v>
      </c>
      <c r="S26" s="1">
        <v>100</v>
      </c>
      <c r="T26" s="1">
        <v>105.84326742242854</v>
      </c>
      <c r="U26" s="1">
        <v>100</v>
      </c>
      <c r="V26" s="1">
        <v>100</v>
      </c>
      <c r="W26" s="1">
        <v>100</v>
      </c>
      <c r="X26" s="1">
        <v>100</v>
      </c>
      <c r="Y26" s="1">
        <v>100</v>
      </c>
      <c r="Z26" s="1">
        <v>100</v>
      </c>
      <c r="AA26" s="1">
        <v>100</v>
      </c>
      <c r="AB26" s="1">
        <v>100</v>
      </c>
      <c r="AC26" s="1">
        <v>100</v>
      </c>
      <c r="AD26" s="1">
        <v>100</v>
      </c>
      <c r="AE26" s="1">
        <v>94.730185162258678</v>
      </c>
      <c r="AF26" s="1">
        <v>100.94957983664952</v>
      </c>
      <c r="AG26" s="1">
        <v>100</v>
      </c>
      <c r="AH26" s="1">
        <v>100</v>
      </c>
      <c r="AI26" s="1">
        <v>100</v>
      </c>
      <c r="AJ26" s="1">
        <v>100</v>
      </c>
      <c r="AK26" s="1">
        <v>101.93787653231263</v>
      </c>
      <c r="AL26" s="1">
        <v>100</v>
      </c>
      <c r="AM26" s="1">
        <v>100</v>
      </c>
      <c r="AN26" s="1">
        <v>100</v>
      </c>
      <c r="AO26" s="1">
        <v>98.642604045778867</v>
      </c>
      <c r="AP26" s="1">
        <v>100</v>
      </c>
      <c r="AQ26" s="1">
        <v>100</v>
      </c>
      <c r="AR26" s="1">
        <v>100</v>
      </c>
      <c r="AS26" s="1">
        <v>100</v>
      </c>
      <c r="AT26" s="1">
        <v>102.81715810424475</v>
      </c>
      <c r="AU26" s="1">
        <v>100</v>
      </c>
      <c r="AV26" s="1">
        <v>100</v>
      </c>
      <c r="AW26" s="1">
        <v>100</v>
      </c>
      <c r="AX26" s="1">
        <v>100</v>
      </c>
      <c r="AY26" s="1">
        <v>100</v>
      </c>
      <c r="AZ26" s="1">
        <v>100</v>
      </c>
      <c r="BA26" s="1">
        <v>100</v>
      </c>
      <c r="BB26" s="1">
        <v>100</v>
      </c>
      <c r="BC26" s="1">
        <v>100</v>
      </c>
      <c r="BD26" s="1">
        <v>100</v>
      </c>
      <c r="BE26" s="1">
        <v>100</v>
      </c>
      <c r="BF26" s="1">
        <v>100</v>
      </c>
      <c r="BG26" s="1">
        <v>100</v>
      </c>
      <c r="BH26" s="1">
        <v>100</v>
      </c>
    </row>
    <row r="27" spans="1:60" x14ac:dyDescent="0.25">
      <c r="A27">
        <v>14</v>
      </c>
      <c r="B27" s="1">
        <v>100</v>
      </c>
      <c r="C27" s="1">
        <v>100</v>
      </c>
      <c r="D27" s="1">
        <v>100</v>
      </c>
      <c r="E27" s="1">
        <v>103.28715760146696</v>
      </c>
      <c r="F27" s="1">
        <v>100</v>
      </c>
      <c r="G27" s="1">
        <v>100</v>
      </c>
      <c r="H27" s="1">
        <v>100</v>
      </c>
      <c r="I27" s="1">
        <v>98.190020511382031</v>
      </c>
      <c r="J27" s="1">
        <v>100</v>
      </c>
      <c r="K27" s="1">
        <v>93.90526856165215</v>
      </c>
      <c r="L27" s="1">
        <v>100</v>
      </c>
      <c r="M27" s="1">
        <v>100</v>
      </c>
      <c r="N27" s="1">
        <v>100</v>
      </c>
      <c r="O27" s="1">
        <v>100</v>
      </c>
      <c r="P27" s="1">
        <v>98.36812928047523</v>
      </c>
      <c r="Q27" s="1">
        <v>100</v>
      </c>
      <c r="R27" s="1">
        <v>100</v>
      </c>
      <c r="S27" s="1">
        <v>100</v>
      </c>
      <c r="T27" s="1">
        <v>105.84326742242854</v>
      </c>
      <c r="U27" s="1">
        <v>100</v>
      </c>
      <c r="V27" s="1">
        <v>100</v>
      </c>
      <c r="W27" s="1">
        <v>100</v>
      </c>
      <c r="X27" s="1">
        <v>100</v>
      </c>
      <c r="Y27" s="1">
        <v>100</v>
      </c>
      <c r="Z27" s="1">
        <v>98.729874897177538</v>
      </c>
      <c r="AA27" s="1">
        <v>100</v>
      </c>
      <c r="AB27" s="1">
        <v>100</v>
      </c>
      <c r="AC27" s="1">
        <v>100</v>
      </c>
      <c r="AD27" s="1">
        <v>100</v>
      </c>
      <c r="AE27" s="1">
        <v>96.064789780442325</v>
      </c>
      <c r="AF27" s="1">
        <v>100.94957983664952</v>
      </c>
      <c r="AG27" s="1">
        <v>100</v>
      </c>
      <c r="AH27" s="1">
        <v>100</v>
      </c>
      <c r="AI27" s="1">
        <v>100</v>
      </c>
      <c r="AJ27" s="1">
        <v>100</v>
      </c>
      <c r="AK27" s="1">
        <v>101.93787653231263</v>
      </c>
      <c r="AL27" s="1">
        <v>100</v>
      </c>
      <c r="AM27" s="1">
        <v>100</v>
      </c>
      <c r="AN27" s="1">
        <v>101.26427342598943</v>
      </c>
      <c r="AO27" s="1">
        <v>98.642604045778867</v>
      </c>
      <c r="AP27" s="1">
        <v>100</v>
      </c>
      <c r="AQ27" s="1">
        <v>100</v>
      </c>
      <c r="AR27" s="1">
        <v>100</v>
      </c>
      <c r="AS27" s="1">
        <v>100</v>
      </c>
      <c r="AT27" s="1">
        <v>102.81715810424475</v>
      </c>
      <c r="AU27" s="1">
        <v>100</v>
      </c>
      <c r="AV27" s="1">
        <v>100</v>
      </c>
      <c r="AW27" s="1">
        <v>100</v>
      </c>
      <c r="AX27" s="1">
        <v>100</v>
      </c>
      <c r="AY27" s="1">
        <v>100</v>
      </c>
      <c r="AZ27" s="1">
        <v>100</v>
      </c>
      <c r="BA27" s="1">
        <v>100</v>
      </c>
      <c r="BB27" s="1">
        <v>100</v>
      </c>
      <c r="BC27" s="1">
        <v>100</v>
      </c>
      <c r="BD27" s="1">
        <v>100</v>
      </c>
      <c r="BE27" s="1">
        <v>100</v>
      </c>
      <c r="BF27" s="1">
        <v>100</v>
      </c>
      <c r="BG27" s="1">
        <v>100</v>
      </c>
      <c r="BH27" s="1">
        <v>100</v>
      </c>
    </row>
    <row r="28" spans="1:60" x14ac:dyDescent="0.25">
      <c r="A28">
        <v>15</v>
      </c>
      <c r="B28" s="1">
        <v>100</v>
      </c>
      <c r="C28" s="1">
        <v>100</v>
      </c>
      <c r="D28" s="1">
        <v>100</v>
      </c>
      <c r="E28" s="1">
        <v>103.74771032506526</v>
      </c>
      <c r="F28" s="1">
        <v>100</v>
      </c>
      <c r="G28" s="1">
        <v>100</v>
      </c>
      <c r="H28" s="1">
        <v>100</v>
      </c>
      <c r="I28" s="1">
        <v>98.190020511382031</v>
      </c>
      <c r="J28" s="1">
        <v>100</v>
      </c>
      <c r="K28" s="1">
        <v>93.90526856165215</v>
      </c>
      <c r="L28" s="1">
        <v>100</v>
      </c>
      <c r="M28" s="1">
        <v>100</v>
      </c>
      <c r="N28" s="1">
        <v>100</v>
      </c>
      <c r="O28" s="1">
        <v>100</v>
      </c>
      <c r="P28" s="1">
        <v>98.36812928047523</v>
      </c>
      <c r="Q28" s="1">
        <v>100</v>
      </c>
      <c r="R28" s="1">
        <v>100</v>
      </c>
      <c r="S28" s="1">
        <v>100</v>
      </c>
      <c r="T28" s="1">
        <v>105.84326742242854</v>
      </c>
      <c r="U28" s="1">
        <v>100</v>
      </c>
      <c r="V28" s="1">
        <v>100</v>
      </c>
      <c r="W28" s="1">
        <v>100</v>
      </c>
      <c r="X28" s="1">
        <v>100</v>
      </c>
      <c r="Y28" s="1">
        <v>100</v>
      </c>
      <c r="Z28" s="1">
        <v>99.211686322499645</v>
      </c>
      <c r="AA28" s="1">
        <v>100</v>
      </c>
      <c r="AB28" s="1">
        <v>100</v>
      </c>
      <c r="AC28" s="1">
        <v>100</v>
      </c>
      <c r="AD28" s="1">
        <v>100</v>
      </c>
      <c r="AE28" s="1">
        <v>95.606023026109952</v>
      </c>
      <c r="AF28" s="1">
        <v>100.94957983664952</v>
      </c>
      <c r="AG28" s="1">
        <v>100</v>
      </c>
      <c r="AH28" s="1">
        <v>100</v>
      </c>
      <c r="AI28" s="1">
        <v>100</v>
      </c>
      <c r="AJ28" s="1">
        <v>100</v>
      </c>
      <c r="AK28" s="1">
        <v>101.93787653231263</v>
      </c>
      <c r="AL28" s="1">
        <v>100</v>
      </c>
      <c r="AM28" s="1">
        <v>100</v>
      </c>
      <c r="AN28" s="1">
        <v>100.78067603140141</v>
      </c>
      <c r="AO28" s="1">
        <v>98.642604045778867</v>
      </c>
      <c r="AP28" s="1">
        <v>100</v>
      </c>
      <c r="AQ28" s="1">
        <v>100</v>
      </c>
      <c r="AR28" s="1">
        <v>100</v>
      </c>
      <c r="AS28" s="1">
        <v>100</v>
      </c>
      <c r="AT28" s="1">
        <v>102.81715810424475</v>
      </c>
      <c r="AU28" s="1">
        <v>100</v>
      </c>
      <c r="AV28" s="1">
        <v>100</v>
      </c>
      <c r="AW28" s="1">
        <v>100</v>
      </c>
      <c r="AX28" s="1">
        <v>100</v>
      </c>
      <c r="AY28" s="1">
        <v>100</v>
      </c>
      <c r="AZ28" s="1">
        <v>100</v>
      </c>
      <c r="BA28" s="1">
        <v>100</v>
      </c>
      <c r="BB28" s="1">
        <v>100</v>
      </c>
      <c r="BC28" s="1">
        <v>100</v>
      </c>
      <c r="BD28" s="1">
        <v>100</v>
      </c>
      <c r="BE28" s="1">
        <v>100</v>
      </c>
      <c r="BF28" s="1">
        <v>100</v>
      </c>
      <c r="BG28" s="1">
        <v>100</v>
      </c>
      <c r="BH28" s="1">
        <v>100</v>
      </c>
    </row>
    <row r="29" spans="1:60" x14ac:dyDescent="0.25">
      <c r="A29">
        <v>16</v>
      </c>
      <c r="B29" s="1">
        <v>100</v>
      </c>
      <c r="C29" s="1">
        <v>100</v>
      </c>
      <c r="D29" s="1">
        <v>100</v>
      </c>
      <c r="E29" s="1">
        <v>103.74771032506526</v>
      </c>
      <c r="F29" s="1">
        <v>100</v>
      </c>
      <c r="G29" s="1">
        <v>100</v>
      </c>
      <c r="H29" s="1">
        <v>100</v>
      </c>
      <c r="I29" s="1">
        <v>97.931383055638335</v>
      </c>
      <c r="J29" s="1">
        <v>100</v>
      </c>
      <c r="K29" s="1">
        <v>93.90526856165215</v>
      </c>
      <c r="L29" s="1">
        <v>100</v>
      </c>
      <c r="M29" s="1">
        <v>100</v>
      </c>
      <c r="N29" s="1">
        <v>100</v>
      </c>
      <c r="O29" s="1">
        <v>100</v>
      </c>
      <c r="P29" s="1">
        <v>98.36812928047523</v>
      </c>
      <c r="Q29" s="1">
        <v>100</v>
      </c>
      <c r="R29" s="1">
        <v>100</v>
      </c>
      <c r="S29" s="1">
        <v>100</v>
      </c>
      <c r="T29" s="1">
        <v>105.84326742242854</v>
      </c>
      <c r="U29" s="1">
        <v>100</v>
      </c>
      <c r="V29" s="1">
        <v>100</v>
      </c>
      <c r="W29" s="1">
        <v>100</v>
      </c>
      <c r="X29" s="1">
        <v>100</v>
      </c>
      <c r="Y29" s="1">
        <v>100</v>
      </c>
      <c r="Z29" s="1">
        <v>99.211686322499645</v>
      </c>
      <c r="AA29" s="1">
        <v>100</v>
      </c>
      <c r="AB29" s="1">
        <v>100.26292250729061</v>
      </c>
      <c r="AC29" s="1">
        <v>100</v>
      </c>
      <c r="AD29" s="1">
        <v>100</v>
      </c>
      <c r="AE29" s="1">
        <v>95.606023026109952</v>
      </c>
      <c r="AF29" s="1">
        <v>100.94957983664952</v>
      </c>
      <c r="AG29" s="1">
        <v>100</v>
      </c>
      <c r="AH29" s="1">
        <v>100</v>
      </c>
      <c r="AI29" s="1">
        <v>100</v>
      </c>
      <c r="AJ29" s="1">
        <v>100</v>
      </c>
      <c r="AK29" s="1">
        <v>101.93787653231263</v>
      </c>
      <c r="AL29" s="1">
        <v>100</v>
      </c>
      <c r="AM29" s="1">
        <v>100</v>
      </c>
      <c r="AN29" s="1">
        <v>100.78067603140141</v>
      </c>
      <c r="AO29" s="1">
        <v>98.909144563270274</v>
      </c>
      <c r="AP29" s="1">
        <v>100</v>
      </c>
      <c r="AQ29" s="1">
        <v>100</v>
      </c>
      <c r="AR29" s="1">
        <v>100</v>
      </c>
      <c r="AS29" s="1">
        <v>100</v>
      </c>
      <c r="AT29" s="1">
        <v>102.54633253520643</v>
      </c>
      <c r="AU29" s="1">
        <v>100</v>
      </c>
      <c r="AV29" s="1">
        <v>100</v>
      </c>
      <c r="AW29" s="1">
        <v>100</v>
      </c>
      <c r="AX29" s="1">
        <v>100</v>
      </c>
      <c r="AY29" s="1">
        <v>100</v>
      </c>
      <c r="AZ29" s="1">
        <v>100</v>
      </c>
      <c r="BA29" s="1">
        <v>100</v>
      </c>
      <c r="BB29" s="1">
        <v>100</v>
      </c>
      <c r="BC29" s="1">
        <v>100</v>
      </c>
      <c r="BD29" s="1">
        <v>100</v>
      </c>
      <c r="BE29" s="1">
        <v>100</v>
      </c>
      <c r="BF29" s="1">
        <v>100</v>
      </c>
      <c r="BG29" s="1">
        <v>100</v>
      </c>
      <c r="BH29" s="1">
        <v>100</v>
      </c>
    </row>
    <row r="30" spans="1:60" x14ac:dyDescent="0.25">
      <c r="A30">
        <v>17</v>
      </c>
      <c r="B30" s="1">
        <v>100</v>
      </c>
      <c r="C30" s="1">
        <v>100</v>
      </c>
      <c r="D30" s="1">
        <v>100</v>
      </c>
      <c r="E30" s="1">
        <v>103.74771032506526</v>
      </c>
      <c r="F30" s="1">
        <v>100</v>
      </c>
      <c r="G30" s="1">
        <v>100</v>
      </c>
      <c r="H30" s="1">
        <v>100</v>
      </c>
      <c r="I30" s="1">
        <v>100.06551835786881</v>
      </c>
      <c r="J30" s="1">
        <v>100</v>
      </c>
      <c r="K30" s="1">
        <v>93.90526856165215</v>
      </c>
      <c r="L30" s="1">
        <v>100</v>
      </c>
      <c r="M30" s="1">
        <v>100</v>
      </c>
      <c r="N30" s="1">
        <v>100</v>
      </c>
      <c r="O30" s="1">
        <v>100</v>
      </c>
      <c r="P30" s="1">
        <v>98.36812928047523</v>
      </c>
      <c r="Q30" s="1">
        <v>100</v>
      </c>
      <c r="R30" s="1">
        <v>100</v>
      </c>
      <c r="S30" s="1">
        <v>100</v>
      </c>
      <c r="T30" s="1">
        <v>105.84326742242854</v>
      </c>
      <c r="U30" s="1">
        <v>100</v>
      </c>
      <c r="V30" s="1">
        <v>100</v>
      </c>
      <c r="W30" s="1">
        <v>100</v>
      </c>
      <c r="X30" s="1">
        <v>100</v>
      </c>
      <c r="Y30" s="1">
        <v>100</v>
      </c>
      <c r="Z30" s="1">
        <v>99.211686322499645</v>
      </c>
      <c r="AA30" s="1">
        <v>100</v>
      </c>
      <c r="AB30" s="1">
        <v>98.162629672580223</v>
      </c>
      <c r="AC30" s="1">
        <v>100</v>
      </c>
      <c r="AD30" s="1">
        <v>100</v>
      </c>
      <c r="AE30" s="1">
        <v>95.606023026109952</v>
      </c>
      <c r="AF30" s="1">
        <v>100.94957983664952</v>
      </c>
      <c r="AG30" s="1">
        <v>100</v>
      </c>
      <c r="AH30" s="1">
        <v>100</v>
      </c>
      <c r="AI30" s="1">
        <v>100</v>
      </c>
      <c r="AJ30" s="1">
        <v>100</v>
      </c>
      <c r="AK30" s="1">
        <v>101.93787653231263</v>
      </c>
      <c r="AL30" s="1">
        <v>100</v>
      </c>
      <c r="AM30" s="1">
        <v>100</v>
      </c>
      <c r="AN30" s="1">
        <v>100.78067603140141</v>
      </c>
      <c r="AO30" s="1">
        <v>96.83721046820672</v>
      </c>
      <c r="AP30" s="1">
        <v>100</v>
      </c>
      <c r="AQ30" s="1">
        <v>100</v>
      </c>
      <c r="AR30" s="1">
        <v>100</v>
      </c>
      <c r="AS30" s="1">
        <v>100</v>
      </c>
      <c r="AT30" s="1">
        <v>104.5844241627499</v>
      </c>
      <c r="AU30" s="1">
        <v>100</v>
      </c>
      <c r="AV30" s="1">
        <v>100</v>
      </c>
      <c r="AW30" s="1">
        <v>100</v>
      </c>
      <c r="AX30" s="1">
        <v>100</v>
      </c>
      <c r="AY30" s="1">
        <v>100</v>
      </c>
      <c r="AZ30" s="1">
        <v>100</v>
      </c>
      <c r="BA30" s="1">
        <v>100</v>
      </c>
      <c r="BB30" s="1">
        <v>100</v>
      </c>
      <c r="BC30" s="1">
        <v>100</v>
      </c>
      <c r="BD30" s="1">
        <v>100</v>
      </c>
      <c r="BE30" s="1">
        <v>100</v>
      </c>
      <c r="BF30" s="1">
        <v>100</v>
      </c>
      <c r="BG30" s="1">
        <v>100</v>
      </c>
      <c r="BH30" s="1">
        <v>100</v>
      </c>
    </row>
    <row r="31" spans="1:60" x14ac:dyDescent="0.25">
      <c r="A31">
        <v>18</v>
      </c>
      <c r="B31" s="1">
        <v>100</v>
      </c>
      <c r="C31" s="1">
        <v>100</v>
      </c>
      <c r="D31" s="1">
        <v>100</v>
      </c>
      <c r="E31" s="1">
        <v>104.34855021027667</v>
      </c>
      <c r="F31" s="1">
        <v>100</v>
      </c>
      <c r="G31" s="1">
        <v>100</v>
      </c>
      <c r="H31" s="1">
        <v>100</v>
      </c>
      <c r="I31" s="1">
        <v>100.06551835786881</v>
      </c>
      <c r="J31" s="1">
        <v>100</v>
      </c>
      <c r="K31" s="1">
        <v>94.569083950473853</v>
      </c>
      <c r="L31" s="1">
        <v>100</v>
      </c>
      <c r="M31" s="1">
        <v>100</v>
      </c>
      <c r="N31" s="1">
        <v>100</v>
      </c>
      <c r="O31" s="1">
        <v>100</v>
      </c>
      <c r="P31" s="1">
        <v>98.36812928047523</v>
      </c>
      <c r="Q31" s="1">
        <v>100</v>
      </c>
      <c r="R31" s="1">
        <v>100</v>
      </c>
      <c r="S31" s="1">
        <v>100</v>
      </c>
      <c r="T31" s="1">
        <v>105.84326742242854</v>
      </c>
      <c r="U31" s="1">
        <v>100</v>
      </c>
      <c r="V31" s="1">
        <v>100</v>
      </c>
      <c r="W31" s="1">
        <v>100</v>
      </c>
      <c r="X31" s="1">
        <v>100</v>
      </c>
      <c r="Y31" s="1">
        <v>100</v>
      </c>
      <c r="Z31" s="1">
        <v>99.211686322499645</v>
      </c>
      <c r="AA31" s="1">
        <v>100</v>
      </c>
      <c r="AB31" s="1">
        <v>98.162629672580223</v>
      </c>
      <c r="AC31" s="1">
        <v>100</v>
      </c>
      <c r="AD31" s="1">
        <v>100</v>
      </c>
      <c r="AE31" s="1">
        <v>95.606023026109952</v>
      </c>
      <c r="AF31" s="1">
        <v>100.94957983664952</v>
      </c>
      <c r="AG31" s="1">
        <v>100</v>
      </c>
      <c r="AH31" s="1">
        <v>100</v>
      </c>
      <c r="AI31" s="1">
        <v>100</v>
      </c>
      <c r="AJ31" s="1">
        <v>100</v>
      </c>
      <c r="AK31" s="1">
        <v>101.31365206480258</v>
      </c>
      <c r="AL31" s="1">
        <v>100</v>
      </c>
      <c r="AM31" s="1">
        <v>100</v>
      </c>
      <c r="AN31" s="1">
        <v>100.78067603140141</v>
      </c>
      <c r="AO31" s="1">
        <v>96.83721046820672</v>
      </c>
      <c r="AP31" s="1">
        <v>100</v>
      </c>
      <c r="AQ31" s="1">
        <v>100</v>
      </c>
      <c r="AR31" s="1">
        <v>100</v>
      </c>
      <c r="AS31" s="1">
        <v>100</v>
      </c>
      <c r="AT31" s="1">
        <v>103.94399335622684</v>
      </c>
      <c r="AU31" s="1">
        <v>100</v>
      </c>
      <c r="AV31" s="1">
        <v>100</v>
      </c>
      <c r="AW31" s="1">
        <v>100</v>
      </c>
      <c r="AX31" s="1">
        <v>100</v>
      </c>
      <c r="AY31" s="1">
        <v>100</v>
      </c>
      <c r="AZ31" s="1">
        <v>100</v>
      </c>
      <c r="BA31" s="1">
        <v>100</v>
      </c>
      <c r="BB31" s="1">
        <v>100</v>
      </c>
      <c r="BC31" s="1">
        <v>100</v>
      </c>
      <c r="BD31" s="1">
        <v>100</v>
      </c>
      <c r="BE31" s="1">
        <v>100</v>
      </c>
      <c r="BF31" s="1">
        <v>100</v>
      </c>
      <c r="BG31" s="1">
        <v>100</v>
      </c>
      <c r="BH31" s="1">
        <v>100</v>
      </c>
    </row>
    <row r="32" spans="1:60" x14ac:dyDescent="0.25">
      <c r="A32">
        <v>19</v>
      </c>
      <c r="B32" s="1">
        <v>100</v>
      </c>
      <c r="C32" s="1">
        <v>100</v>
      </c>
      <c r="D32" s="1">
        <v>100</v>
      </c>
      <c r="E32" s="1">
        <v>108.36216434613463</v>
      </c>
      <c r="F32" s="1">
        <v>100</v>
      </c>
      <c r="G32" s="1">
        <v>100</v>
      </c>
      <c r="H32" s="1">
        <v>100</v>
      </c>
      <c r="I32" s="1">
        <v>100.06551835786881</v>
      </c>
      <c r="J32" s="1">
        <v>100</v>
      </c>
      <c r="K32" s="1">
        <v>98.99774920432769</v>
      </c>
      <c r="L32" s="1">
        <v>100</v>
      </c>
      <c r="M32" s="1">
        <v>100</v>
      </c>
      <c r="N32" s="1">
        <v>100</v>
      </c>
      <c r="O32" s="1">
        <v>100</v>
      </c>
      <c r="P32" s="1">
        <v>98.36812928047523</v>
      </c>
      <c r="Q32" s="1">
        <v>100</v>
      </c>
      <c r="R32" s="1">
        <v>100</v>
      </c>
      <c r="S32" s="1">
        <v>100</v>
      </c>
      <c r="T32" s="1">
        <v>105.84326742242854</v>
      </c>
      <c r="U32" s="1">
        <v>100</v>
      </c>
      <c r="V32" s="1">
        <v>100</v>
      </c>
      <c r="W32" s="1">
        <v>100</v>
      </c>
      <c r="X32" s="1">
        <v>100</v>
      </c>
      <c r="Y32" s="1">
        <v>100</v>
      </c>
      <c r="Z32" s="1">
        <v>99.211686322499645</v>
      </c>
      <c r="AA32" s="1">
        <v>100</v>
      </c>
      <c r="AB32" s="1">
        <v>98.162629672580223</v>
      </c>
      <c r="AC32" s="1">
        <v>100</v>
      </c>
      <c r="AD32" s="1">
        <v>100</v>
      </c>
      <c r="AE32" s="1">
        <v>95.606023026109952</v>
      </c>
      <c r="AF32" s="1">
        <v>100.94957983664952</v>
      </c>
      <c r="AG32" s="1">
        <v>100</v>
      </c>
      <c r="AH32" s="1">
        <v>100</v>
      </c>
      <c r="AI32" s="1">
        <v>100</v>
      </c>
      <c r="AJ32" s="1">
        <v>100</v>
      </c>
      <c r="AK32" s="1">
        <v>97.146605546419963</v>
      </c>
      <c r="AL32" s="1">
        <v>100</v>
      </c>
      <c r="AM32" s="1">
        <v>100</v>
      </c>
      <c r="AN32" s="1">
        <v>100.78067603140141</v>
      </c>
      <c r="AO32" s="1">
        <v>96.83721046820672</v>
      </c>
      <c r="AP32" s="1">
        <v>100</v>
      </c>
      <c r="AQ32" s="1">
        <v>100</v>
      </c>
      <c r="AR32" s="1">
        <v>100</v>
      </c>
      <c r="AS32" s="1">
        <v>100</v>
      </c>
      <c r="AT32" s="1">
        <v>99.66876048489766</v>
      </c>
      <c r="AU32" s="1">
        <v>100</v>
      </c>
      <c r="AV32" s="1">
        <v>100</v>
      </c>
      <c r="AW32" s="1">
        <v>100</v>
      </c>
      <c r="AX32" s="1">
        <v>100</v>
      </c>
      <c r="AY32" s="1">
        <v>100</v>
      </c>
      <c r="AZ32" s="1">
        <v>100</v>
      </c>
      <c r="BA32" s="1">
        <v>100</v>
      </c>
      <c r="BB32" s="1">
        <v>100</v>
      </c>
      <c r="BC32" s="1">
        <v>100</v>
      </c>
      <c r="BD32" s="1">
        <v>100</v>
      </c>
      <c r="BE32" s="1">
        <v>100</v>
      </c>
      <c r="BF32" s="1">
        <v>100</v>
      </c>
      <c r="BG32" s="1">
        <v>100</v>
      </c>
      <c r="BH32" s="1">
        <v>100</v>
      </c>
    </row>
    <row r="33" spans="1:60" x14ac:dyDescent="0.25">
      <c r="A33">
        <v>20</v>
      </c>
      <c r="B33" s="1">
        <v>100</v>
      </c>
      <c r="C33" s="1">
        <v>100</v>
      </c>
      <c r="D33" s="1">
        <v>100</v>
      </c>
      <c r="E33" s="1">
        <v>112.74106040306154</v>
      </c>
      <c r="F33" s="1">
        <v>100</v>
      </c>
      <c r="G33" s="1">
        <v>100</v>
      </c>
      <c r="H33" s="1">
        <v>100</v>
      </c>
      <c r="I33" s="1">
        <v>95.409006785283907</v>
      </c>
      <c r="J33" s="1">
        <v>100</v>
      </c>
      <c r="K33" s="1">
        <v>94.390925871027477</v>
      </c>
      <c r="L33" s="1">
        <v>100</v>
      </c>
      <c r="M33" s="1">
        <v>100</v>
      </c>
      <c r="N33" s="1">
        <v>100</v>
      </c>
      <c r="O33" s="1">
        <v>100</v>
      </c>
      <c r="P33" s="1">
        <v>98.36812928047523</v>
      </c>
      <c r="Q33" s="1">
        <v>100</v>
      </c>
      <c r="R33" s="1">
        <v>100</v>
      </c>
      <c r="S33" s="1">
        <v>100</v>
      </c>
      <c r="T33" s="1">
        <v>105.84326742242854</v>
      </c>
      <c r="U33" s="1">
        <v>100</v>
      </c>
      <c r="V33" s="1">
        <v>100</v>
      </c>
      <c r="W33" s="1">
        <v>100</v>
      </c>
      <c r="X33" s="1">
        <v>100</v>
      </c>
      <c r="Y33" s="1">
        <v>100</v>
      </c>
      <c r="Z33" s="1">
        <v>99.211686322499645</v>
      </c>
      <c r="AA33" s="1">
        <v>100</v>
      </c>
      <c r="AB33" s="1">
        <v>98.162629672580223</v>
      </c>
      <c r="AC33" s="1">
        <v>100</v>
      </c>
      <c r="AD33" s="1">
        <v>100</v>
      </c>
      <c r="AE33" s="1">
        <v>95.606023026109952</v>
      </c>
      <c r="AF33" s="1">
        <v>100.94957983664952</v>
      </c>
      <c r="AG33" s="1">
        <v>100</v>
      </c>
      <c r="AH33" s="1">
        <v>100</v>
      </c>
      <c r="AI33" s="1">
        <v>100</v>
      </c>
      <c r="AJ33" s="1">
        <v>100</v>
      </c>
      <c r="AK33" s="1">
        <v>102.03104439537819</v>
      </c>
      <c r="AL33" s="1">
        <v>100</v>
      </c>
      <c r="AM33" s="1">
        <v>100</v>
      </c>
      <c r="AN33" s="1">
        <v>100.78067603140141</v>
      </c>
      <c r="AO33" s="1">
        <v>96.83721046820672</v>
      </c>
      <c r="AP33" s="1">
        <v>100</v>
      </c>
      <c r="AQ33" s="1">
        <v>100</v>
      </c>
      <c r="AR33" s="1">
        <v>100</v>
      </c>
      <c r="AS33" s="1">
        <v>100</v>
      </c>
      <c r="AT33" s="1">
        <v>99.66876048489766</v>
      </c>
      <c r="AU33" s="1">
        <v>100</v>
      </c>
      <c r="AV33" s="1">
        <v>100</v>
      </c>
      <c r="AW33" s="1">
        <v>100</v>
      </c>
      <c r="AX33" s="1">
        <v>100</v>
      </c>
      <c r="AY33" s="1">
        <v>100</v>
      </c>
      <c r="AZ33" s="1">
        <v>100</v>
      </c>
      <c r="BA33" s="1">
        <v>100</v>
      </c>
      <c r="BB33" s="1">
        <v>100</v>
      </c>
      <c r="BC33" s="1">
        <v>100</v>
      </c>
      <c r="BD33" s="1">
        <v>100</v>
      </c>
      <c r="BE33" s="1">
        <v>100</v>
      </c>
      <c r="BF33" s="1">
        <v>100</v>
      </c>
      <c r="BG33" s="1">
        <v>100</v>
      </c>
      <c r="BH33" s="1">
        <v>100</v>
      </c>
    </row>
    <row r="34" spans="1:60" x14ac:dyDescent="0.25">
      <c r="A34">
        <v>21</v>
      </c>
      <c r="B34" s="1">
        <v>100</v>
      </c>
      <c r="C34" s="1">
        <v>100</v>
      </c>
      <c r="D34" s="1">
        <v>100</v>
      </c>
      <c r="E34" s="1">
        <v>112.99040891499128</v>
      </c>
      <c r="F34" s="1">
        <v>100</v>
      </c>
      <c r="G34" s="1">
        <v>100</v>
      </c>
      <c r="H34" s="1">
        <v>100</v>
      </c>
      <c r="I34" s="1">
        <v>95.145163744978248</v>
      </c>
      <c r="J34" s="1">
        <v>100</v>
      </c>
      <c r="K34" s="1">
        <v>94.12989822072268</v>
      </c>
      <c r="L34" s="1">
        <v>100</v>
      </c>
      <c r="M34" s="1">
        <v>100</v>
      </c>
      <c r="N34" s="1">
        <v>100</v>
      </c>
      <c r="O34" s="1">
        <v>100</v>
      </c>
      <c r="P34" s="1">
        <v>98.36812928047523</v>
      </c>
      <c r="Q34" s="1">
        <v>100</v>
      </c>
      <c r="R34" s="1">
        <v>100</v>
      </c>
      <c r="S34" s="1">
        <v>100</v>
      </c>
      <c r="T34" s="1">
        <v>105.84326742242854</v>
      </c>
      <c r="U34" s="1">
        <v>100</v>
      </c>
      <c r="V34" s="1">
        <v>100</v>
      </c>
      <c r="W34" s="1">
        <v>100</v>
      </c>
      <c r="X34" s="1">
        <v>100</v>
      </c>
      <c r="Y34" s="1">
        <v>100</v>
      </c>
      <c r="Z34" s="1">
        <v>99.211686322499645</v>
      </c>
      <c r="AA34" s="1">
        <v>100</v>
      </c>
      <c r="AB34" s="1">
        <v>98.162629672580223</v>
      </c>
      <c r="AC34" s="1">
        <v>100</v>
      </c>
      <c r="AD34" s="1">
        <v>100</v>
      </c>
      <c r="AE34" s="1">
        <v>95.606023026109952</v>
      </c>
      <c r="AF34" s="1">
        <v>100.94957983664952</v>
      </c>
      <c r="AG34" s="1">
        <v>100</v>
      </c>
      <c r="AH34" s="1">
        <v>100</v>
      </c>
      <c r="AI34" s="1">
        <v>100</v>
      </c>
      <c r="AJ34" s="1">
        <v>100</v>
      </c>
      <c r="AK34" s="1">
        <v>102.30656657405891</v>
      </c>
      <c r="AL34" s="1">
        <v>100</v>
      </c>
      <c r="AM34" s="1">
        <v>100</v>
      </c>
      <c r="AN34" s="1">
        <v>100.78067603140141</v>
      </c>
      <c r="AO34" s="1">
        <v>96.83721046820672</v>
      </c>
      <c r="AP34" s="1">
        <v>100</v>
      </c>
      <c r="AQ34" s="1">
        <v>100</v>
      </c>
      <c r="AR34" s="1">
        <v>100</v>
      </c>
      <c r="AS34" s="1">
        <v>100</v>
      </c>
      <c r="AT34" s="1">
        <v>99.66876048489766</v>
      </c>
      <c r="AU34" s="1">
        <v>100</v>
      </c>
      <c r="AV34" s="1">
        <v>100</v>
      </c>
      <c r="AW34" s="1">
        <v>100</v>
      </c>
      <c r="AX34" s="1">
        <v>100</v>
      </c>
      <c r="AY34" s="1">
        <v>100</v>
      </c>
      <c r="AZ34" s="1">
        <v>100</v>
      </c>
      <c r="BA34" s="1">
        <v>100</v>
      </c>
      <c r="BB34" s="1">
        <v>100</v>
      </c>
      <c r="BC34" s="1">
        <v>100</v>
      </c>
      <c r="BD34" s="1">
        <v>100</v>
      </c>
      <c r="BE34" s="1">
        <v>100</v>
      </c>
      <c r="BF34" s="1">
        <v>100</v>
      </c>
      <c r="BG34" s="1">
        <v>100</v>
      </c>
      <c r="BH34" s="1">
        <v>100</v>
      </c>
    </row>
    <row r="35" spans="1:60" x14ac:dyDescent="0.25">
      <c r="A35">
        <v>22</v>
      </c>
      <c r="B35" s="1">
        <v>100</v>
      </c>
      <c r="C35" s="1">
        <v>100</v>
      </c>
      <c r="D35" s="1">
        <v>100</v>
      </c>
      <c r="E35" s="1">
        <v>112.99040891499128</v>
      </c>
      <c r="F35" s="1">
        <v>100</v>
      </c>
      <c r="G35" s="1">
        <v>100</v>
      </c>
      <c r="H35" s="1">
        <v>100</v>
      </c>
      <c r="I35" s="1">
        <v>95.145163744978248</v>
      </c>
      <c r="J35" s="1">
        <v>100</v>
      </c>
      <c r="K35" s="1">
        <v>94.12989822072268</v>
      </c>
      <c r="L35" s="1">
        <v>100</v>
      </c>
      <c r="M35" s="1">
        <v>100</v>
      </c>
      <c r="N35" s="1">
        <v>100</v>
      </c>
      <c r="O35" s="1">
        <v>100</v>
      </c>
      <c r="P35" s="1">
        <v>98.36812928047523</v>
      </c>
      <c r="Q35" s="1">
        <v>100</v>
      </c>
      <c r="R35" s="1">
        <v>100</v>
      </c>
      <c r="S35" s="1">
        <v>100</v>
      </c>
      <c r="T35" s="1">
        <v>105.09186659256095</v>
      </c>
      <c r="U35" s="1">
        <v>100</v>
      </c>
      <c r="V35" s="1">
        <v>100</v>
      </c>
      <c r="W35" s="1">
        <v>100</v>
      </c>
      <c r="X35" s="1">
        <v>100</v>
      </c>
      <c r="Y35" s="1">
        <v>100</v>
      </c>
      <c r="Z35" s="1">
        <v>99.211686322499645</v>
      </c>
      <c r="AA35" s="1">
        <v>100</v>
      </c>
      <c r="AB35" s="1">
        <v>98.162629672580223</v>
      </c>
      <c r="AC35" s="1">
        <v>100</v>
      </c>
      <c r="AD35" s="1">
        <v>100</v>
      </c>
      <c r="AE35" s="1">
        <v>95.606023026109952</v>
      </c>
      <c r="AF35" s="1">
        <v>100.94957983664952</v>
      </c>
      <c r="AG35" s="1">
        <v>100</v>
      </c>
      <c r="AH35" s="1">
        <v>100</v>
      </c>
      <c r="AI35" s="1">
        <v>100</v>
      </c>
      <c r="AJ35" s="1">
        <v>100</v>
      </c>
      <c r="AK35" s="1">
        <v>102.30656657405891</v>
      </c>
      <c r="AL35" s="1">
        <v>100</v>
      </c>
      <c r="AM35" s="1">
        <v>100</v>
      </c>
      <c r="AN35" s="1">
        <v>101.49560302828934</v>
      </c>
      <c r="AO35" s="1">
        <v>97.581251170237479</v>
      </c>
      <c r="AP35" s="1">
        <v>100</v>
      </c>
      <c r="AQ35" s="1">
        <v>100</v>
      </c>
      <c r="AR35" s="1">
        <v>100</v>
      </c>
      <c r="AS35" s="1">
        <v>100</v>
      </c>
      <c r="AT35" s="1">
        <v>98.961193615846554</v>
      </c>
      <c r="AU35" s="1">
        <v>100</v>
      </c>
      <c r="AV35" s="1">
        <v>100</v>
      </c>
      <c r="AW35" s="1">
        <v>100</v>
      </c>
      <c r="AX35" s="1">
        <v>100</v>
      </c>
      <c r="AY35" s="1">
        <v>100</v>
      </c>
      <c r="AZ35" s="1">
        <v>100</v>
      </c>
      <c r="BA35" s="1">
        <v>100</v>
      </c>
      <c r="BB35" s="1">
        <v>100</v>
      </c>
      <c r="BC35" s="1">
        <v>100</v>
      </c>
      <c r="BD35" s="1">
        <v>100</v>
      </c>
      <c r="BE35" s="1">
        <v>100</v>
      </c>
      <c r="BF35" s="1">
        <v>100</v>
      </c>
      <c r="BG35" s="1">
        <v>100</v>
      </c>
      <c r="BH35" s="1">
        <v>100</v>
      </c>
    </row>
    <row r="36" spans="1:60" x14ac:dyDescent="0.25">
      <c r="A36">
        <v>23</v>
      </c>
      <c r="B36" s="1">
        <v>100</v>
      </c>
      <c r="C36" s="1">
        <v>100</v>
      </c>
      <c r="D36" s="1">
        <v>100</v>
      </c>
      <c r="E36" s="1">
        <v>112.99040891499128</v>
      </c>
      <c r="F36" s="1">
        <v>100</v>
      </c>
      <c r="G36" s="1">
        <v>100</v>
      </c>
      <c r="H36" s="1">
        <v>100</v>
      </c>
      <c r="I36" s="1">
        <v>95.145163744978248</v>
      </c>
      <c r="J36" s="1">
        <v>100</v>
      </c>
      <c r="K36" s="1">
        <v>94.12989822072268</v>
      </c>
      <c r="L36" s="1">
        <v>100</v>
      </c>
      <c r="M36" s="1">
        <v>100</v>
      </c>
      <c r="N36" s="1">
        <v>100</v>
      </c>
      <c r="O36" s="1">
        <v>100</v>
      </c>
      <c r="P36" s="1">
        <v>98.36812928047523</v>
      </c>
      <c r="Q36" s="1">
        <v>100</v>
      </c>
      <c r="R36" s="1">
        <v>100</v>
      </c>
      <c r="S36" s="1">
        <v>100</v>
      </c>
      <c r="T36" s="1">
        <v>106.32835966324302</v>
      </c>
      <c r="U36" s="1">
        <v>100</v>
      </c>
      <c r="V36" s="1">
        <v>100</v>
      </c>
      <c r="W36" s="1">
        <v>100</v>
      </c>
      <c r="X36" s="1">
        <v>100</v>
      </c>
      <c r="Y36" s="1">
        <v>100</v>
      </c>
      <c r="Z36" s="1">
        <v>99.211686322499645</v>
      </c>
      <c r="AA36" s="1">
        <v>100</v>
      </c>
      <c r="AB36" s="1">
        <v>98.162629672580223</v>
      </c>
      <c r="AC36" s="1">
        <v>100</v>
      </c>
      <c r="AD36" s="1">
        <v>100</v>
      </c>
      <c r="AE36" s="1">
        <v>95.606023026109952</v>
      </c>
      <c r="AF36" s="1">
        <v>100.94957983664952</v>
      </c>
      <c r="AG36" s="1">
        <v>100</v>
      </c>
      <c r="AH36" s="1">
        <v>100</v>
      </c>
      <c r="AI36" s="1">
        <v>100</v>
      </c>
      <c r="AJ36" s="1">
        <v>100</v>
      </c>
      <c r="AK36" s="1">
        <v>102.30656657405891</v>
      </c>
      <c r="AL36" s="1">
        <v>100</v>
      </c>
      <c r="AM36" s="1">
        <v>100</v>
      </c>
      <c r="AN36" s="1">
        <v>100.19574376588798</v>
      </c>
      <c r="AO36" s="1">
        <v>96.331523207785821</v>
      </c>
      <c r="AP36" s="1">
        <v>100</v>
      </c>
      <c r="AQ36" s="1">
        <v>100</v>
      </c>
      <c r="AR36" s="1">
        <v>100</v>
      </c>
      <c r="AS36" s="1">
        <v>100</v>
      </c>
      <c r="AT36" s="1">
        <v>100.27428777001749</v>
      </c>
      <c r="AU36" s="1">
        <v>100</v>
      </c>
      <c r="AV36" s="1">
        <v>100</v>
      </c>
      <c r="AW36" s="1">
        <v>100</v>
      </c>
      <c r="AX36" s="1">
        <v>100</v>
      </c>
      <c r="AY36" s="1">
        <v>100</v>
      </c>
      <c r="AZ36" s="1">
        <v>100</v>
      </c>
      <c r="BA36" s="1">
        <v>100</v>
      </c>
      <c r="BB36" s="1">
        <v>100</v>
      </c>
      <c r="BC36" s="1">
        <v>100</v>
      </c>
      <c r="BD36" s="1">
        <v>100</v>
      </c>
      <c r="BE36" s="1">
        <v>100</v>
      </c>
      <c r="BF36" s="1">
        <v>100</v>
      </c>
      <c r="BG36" s="1">
        <v>100</v>
      </c>
      <c r="BH36" s="1">
        <v>100</v>
      </c>
    </row>
    <row r="37" spans="1:60" x14ac:dyDescent="0.25">
      <c r="A37">
        <v>24</v>
      </c>
      <c r="B37" s="1">
        <v>100</v>
      </c>
      <c r="C37" s="1">
        <v>100</v>
      </c>
      <c r="D37" s="1">
        <v>100</v>
      </c>
      <c r="E37" s="1">
        <v>112.99040891499128</v>
      </c>
      <c r="F37" s="1">
        <v>100</v>
      </c>
      <c r="G37" s="1">
        <v>100</v>
      </c>
      <c r="H37" s="1">
        <v>100</v>
      </c>
      <c r="I37" s="1">
        <v>95.145163744978248</v>
      </c>
      <c r="J37" s="1">
        <v>100</v>
      </c>
      <c r="K37" s="1">
        <v>94.12989822072268</v>
      </c>
      <c r="L37" s="1">
        <v>100</v>
      </c>
      <c r="M37" s="1">
        <v>100</v>
      </c>
      <c r="N37" s="1">
        <v>100</v>
      </c>
      <c r="O37" s="1">
        <v>100</v>
      </c>
      <c r="P37" s="1">
        <v>98.36812928047523</v>
      </c>
      <c r="Q37" s="1">
        <v>100</v>
      </c>
      <c r="R37" s="1">
        <v>100</v>
      </c>
      <c r="S37" s="1">
        <v>100</v>
      </c>
      <c r="T37" s="1">
        <v>109.60495572250063</v>
      </c>
      <c r="U37" s="1">
        <v>100</v>
      </c>
      <c r="V37" s="1">
        <v>100</v>
      </c>
      <c r="W37" s="1">
        <v>100</v>
      </c>
      <c r="X37" s="1">
        <v>100</v>
      </c>
      <c r="Y37" s="1">
        <v>100</v>
      </c>
      <c r="Z37" s="1">
        <v>99.211686322499645</v>
      </c>
      <c r="AA37" s="1">
        <v>100</v>
      </c>
      <c r="AB37" s="1">
        <v>98.162629672580223</v>
      </c>
      <c r="AC37" s="1">
        <v>100</v>
      </c>
      <c r="AD37" s="1">
        <v>103.48395084259907</v>
      </c>
      <c r="AE37" s="1">
        <v>92.34019236786942</v>
      </c>
      <c r="AF37" s="1">
        <v>100.94957983664952</v>
      </c>
      <c r="AG37" s="1">
        <v>100</v>
      </c>
      <c r="AH37" s="1">
        <v>100</v>
      </c>
      <c r="AI37" s="1">
        <v>100</v>
      </c>
      <c r="AJ37" s="1">
        <v>100</v>
      </c>
      <c r="AK37" s="1">
        <v>98.811850330442752</v>
      </c>
      <c r="AL37" s="1">
        <v>100</v>
      </c>
      <c r="AM37" s="1">
        <v>100</v>
      </c>
      <c r="AN37" s="1">
        <v>100.19574376588798</v>
      </c>
      <c r="AO37" s="1">
        <v>96.331523207785821</v>
      </c>
      <c r="AP37" s="1">
        <v>100</v>
      </c>
      <c r="AQ37" s="1">
        <v>100</v>
      </c>
      <c r="AR37" s="1">
        <v>100</v>
      </c>
      <c r="AS37" s="1">
        <v>100</v>
      </c>
      <c r="AT37" s="1">
        <v>100.27428777001749</v>
      </c>
      <c r="AU37" s="1">
        <v>100</v>
      </c>
      <c r="AV37" s="1">
        <v>100</v>
      </c>
      <c r="AW37" s="1">
        <v>100</v>
      </c>
      <c r="AX37" s="1">
        <v>100</v>
      </c>
      <c r="AY37" s="1">
        <v>100</v>
      </c>
      <c r="AZ37" s="1">
        <v>100</v>
      </c>
      <c r="BA37" s="1">
        <v>100</v>
      </c>
      <c r="BB37" s="1">
        <v>100</v>
      </c>
      <c r="BC37" s="1">
        <v>100</v>
      </c>
      <c r="BD37" s="1">
        <v>100</v>
      </c>
      <c r="BE37" s="1">
        <v>100</v>
      </c>
      <c r="BF37" s="1">
        <v>100</v>
      </c>
      <c r="BG37" s="1">
        <v>100</v>
      </c>
      <c r="BH37" s="1">
        <v>100</v>
      </c>
    </row>
    <row r="38" spans="1:60" x14ac:dyDescent="0.25">
      <c r="A38">
        <v>25</v>
      </c>
      <c r="B38" s="1">
        <v>100</v>
      </c>
      <c r="C38" s="1">
        <v>100</v>
      </c>
      <c r="D38" s="1">
        <v>100</v>
      </c>
      <c r="E38" s="1">
        <v>112.99040891499128</v>
      </c>
      <c r="F38" s="1">
        <v>100</v>
      </c>
      <c r="G38" s="1">
        <v>100</v>
      </c>
      <c r="H38" s="1">
        <v>100</v>
      </c>
      <c r="I38" s="1">
        <v>95.145163744978248</v>
      </c>
      <c r="J38" s="1">
        <v>100</v>
      </c>
      <c r="K38" s="1">
        <v>94.12989822072268</v>
      </c>
      <c r="L38" s="1">
        <v>100</v>
      </c>
      <c r="M38" s="1">
        <v>100</v>
      </c>
      <c r="N38" s="1">
        <v>100</v>
      </c>
      <c r="O38" s="1">
        <v>100</v>
      </c>
      <c r="P38" s="1">
        <v>98.36812928047523</v>
      </c>
      <c r="Q38" s="1">
        <v>100</v>
      </c>
      <c r="R38" s="1">
        <v>100</v>
      </c>
      <c r="S38" s="1">
        <v>100</v>
      </c>
      <c r="T38" s="1">
        <v>111.30922678166522</v>
      </c>
      <c r="U38" s="1">
        <v>100</v>
      </c>
      <c r="V38" s="1">
        <v>100</v>
      </c>
      <c r="W38" s="1">
        <v>100</v>
      </c>
      <c r="X38" s="1">
        <v>100</v>
      </c>
      <c r="Y38" s="1">
        <v>100</v>
      </c>
      <c r="Z38" s="1">
        <v>99.211686322499645</v>
      </c>
      <c r="AA38" s="1">
        <v>100</v>
      </c>
      <c r="AB38" s="1">
        <v>98.162629672580223</v>
      </c>
      <c r="AC38" s="1">
        <v>100</v>
      </c>
      <c r="AD38" s="1">
        <v>105.28902836870739</v>
      </c>
      <c r="AE38" s="1">
        <v>90.644924460314527</v>
      </c>
      <c r="AF38" s="1">
        <v>100.94957983664952</v>
      </c>
      <c r="AG38" s="1">
        <v>100</v>
      </c>
      <c r="AH38" s="1">
        <v>100</v>
      </c>
      <c r="AI38" s="1">
        <v>100</v>
      </c>
      <c r="AJ38" s="1">
        <v>100</v>
      </c>
      <c r="AK38" s="1">
        <v>96.997769652724728</v>
      </c>
      <c r="AL38" s="1">
        <v>100</v>
      </c>
      <c r="AM38" s="1">
        <v>100</v>
      </c>
      <c r="AN38" s="1">
        <v>100.19574376588798</v>
      </c>
      <c r="AO38" s="1">
        <v>96.331523207785821</v>
      </c>
      <c r="AP38" s="1">
        <v>100</v>
      </c>
      <c r="AQ38" s="1">
        <v>100</v>
      </c>
      <c r="AR38" s="1">
        <v>100</v>
      </c>
      <c r="AS38" s="1">
        <v>100</v>
      </c>
      <c r="AT38" s="1">
        <v>100.27428777001749</v>
      </c>
      <c r="AU38" s="1">
        <v>100</v>
      </c>
      <c r="AV38" s="1">
        <v>100</v>
      </c>
      <c r="AW38" s="1">
        <v>100</v>
      </c>
      <c r="AX38" s="1">
        <v>100</v>
      </c>
      <c r="AY38" s="1">
        <v>100</v>
      </c>
      <c r="AZ38" s="1">
        <v>100</v>
      </c>
      <c r="BA38" s="1">
        <v>100</v>
      </c>
      <c r="BB38" s="1">
        <v>100</v>
      </c>
      <c r="BC38" s="1">
        <v>100</v>
      </c>
      <c r="BD38" s="1">
        <v>100</v>
      </c>
      <c r="BE38" s="1">
        <v>100</v>
      </c>
      <c r="BF38" s="1">
        <v>100</v>
      </c>
      <c r="BG38" s="1">
        <v>100</v>
      </c>
      <c r="BH38" s="1">
        <v>100</v>
      </c>
    </row>
    <row r="39" spans="1:60" x14ac:dyDescent="0.25">
      <c r="A39">
        <v>26</v>
      </c>
      <c r="B39" s="1">
        <v>100</v>
      </c>
      <c r="C39" s="1">
        <v>100</v>
      </c>
      <c r="D39" s="1">
        <v>100</v>
      </c>
      <c r="E39" s="1">
        <v>110.62868392453026</v>
      </c>
      <c r="F39" s="1">
        <v>100</v>
      </c>
      <c r="G39" s="1">
        <v>100</v>
      </c>
      <c r="H39" s="1">
        <v>100</v>
      </c>
      <c r="I39" s="1">
        <v>97.607955102869965</v>
      </c>
      <c r="J39" s="1">
        <v>100</v>
      </c>
      <c r="K39" s="1">
        <v>94.12989822072268</v>
      </c>
      <c r="L39" s="1">
        <v>100</v>
      </c>
      <c r="M39" s="1">
        <v>100</v>
      </c>
      <c r="N39" s="1">
        <v>100</v>
      </c>
      <c r="O39" s="1">
        <v>100</v>
      </c>
      <c r="P39" s="1">
        <v>98.36812928047523</v>
      </c>
      <c r="Q39" s="1">
        <v>100</v>
      </c>
      <c r="R39" s="1">
        <v>100</v>
      </c>
      <c r="S39" s="1">
        <v>100</v>
      </c>
      <c r="T39" s="1">
        <v>108.98264185216973</v>
      </c>
      <c r="U39" s="1">
        <v>100</v>
      </c>
      <c r="V39" s="1">
        <v>100</v>
      </c>
      <c r="W39" s="1">
        <v>100</v>
      </c>
      <c r="X39" s="1">
        <v>100</v>
      </c>
      <c r="Y39" s="1">
        <v>100</v>
      </c>
      <c r="Z39" s="1">
        <v>99.211686322499645</v>
      </c>
      <c r="AA39" s="1">
        <v>100</v>
      </c>
      <c r="AB39" s="1">
        <v>98.162629672580223</v>
      </c>
      <c r="AC39" s="1">
        <v>100</v>
      </c>
      <c r="AD39" s="1">
        <v>107.51454693077218</v>
      </c>
      <c r="AE39" s="1">
        <v>90.644924460314527</v>
      </c>
      <c r="AF39" s="1">
        <v>100.94957983664952</v>
      </c>
      <c r="AG39" s="1">
        <v>100</v>
      </c>
      <c r="AH39" s="1">
        <v>100</v>
      </c>
      <c r="AI39" s="1">
        <v>100</v>
      </c>
      <c r="AJ39" s="1">
        <v>100</v>
      </c>
      <c r="AK39" s="1">
        <v>96.997769652724728</v>
      </c>
      <c r="AL39" s="1">
        <v>100</v>
      </c>
      <c r="AM39" s="1">
        <v>100</v>
      </c>
      <c r="AN39" s="1">
        <v>100.19574376588798</v>
      </c>
      <c r="AO39" s="1">
        <v>96.331523207785821</v>
      </c>
      <c r="AP39" s="1">
        <v>100</v>
      </c>
      <c r="AQ39" s="1">
        <v>100</v>
      </c>
      <c r="AR39" s="1">
        <v>100</v>
      </c>
      <c r="AS39" s="1">
        <v>100</v>
      </c>
      <c r="AT39" s="1">
        <v>100.27428777001749</v>
      </c>
      <c r="AU39" s="1">
        <v>100</v>
      </c>
      <c r="AV39" s="1">
        <v>100</v>
      </c>
      <c r="AW39" s="1">
        <v>100</v>
      </c>
      <c r="AX39" s="1">
        <v>100</v>
      </c>
      <c r="AY39" s="1">
        <v>100</v>
      </c>
      <c r="AZ39" s="1">
        <v>100</v>
      </c>
      <c r="BA39" s="1">
        <v>100</v>
      </c>
      <c r="BB39" s="1">
        <v>100</v>
      </c>
      <c r="BC39" s="1">
        <v>100</v>
      </c>
      <c r="BD39" s="1">
        <v>100</v>
      </c>
      <c r="BE39" s="1">
        <v>100</v>
      </c>
      <c r="BF39" s="1">
        <v>100</v>
      </c>
      <c r="BG39" s="1">
        <v>100</v>
      </c>
      <c r="BH39" s="1">
        <v>100</v>
      </c>
    </row>
    <row r="40" spans="1:60" x14ac:dyDescent="0.25">
      <c r="A40">
        <v>27</v>
      </c>
      <c r="B40" s="1">
        <v>100</v>
      </c>
      <c r="C40" s="1">
        <v>100</v>
      </c>
      <c r="D40" s="1">
        <v>100</v>
      </c>
      <c r="E40" s="1">
        <v>109.68852083373437</v>
      </c>
      <c r="F40" s="1">
        <v>100</v>
      </c>
      <c r="G40" s="1">
        <v>100</v>
      </c>
      <c r="H40" s="1">
        <v>100</v>
      </c>
      <c r="I40" s="1">
        <v>98.586192156994812</v>
      </c>
      <c r="J40" s="1">
        <v>100</v>
      </c>
      <c r="K40" s="1">
        <v>94.12989822072268</v>
      </c>
      <c r="L40" s="1">
        <v>100</v>
      </c>
      <c r="M40" s="1">
        <v>100</v>
      </c>
      <c r="N40" s="1">
        <v>100</v>
      </c>
      <c r="O40" s="1">
        <v>100</v>
      </c>
      <c r="P40" s="1">
        <v>98.36812928047523</v>
      </c>
      <c r="Q40" s="1">
        <v>100</v>
      </c>
      <c r="R40" s="1">
        <v>100</v>
      </c>
      <c r="S40" s="1">
        <v>100</v>
      </c>
      <c r="T40" s="1">
        <v>108.05646743002136</v>
      </c>
      <c r="U40" s="1">
        <v>100</v>
      </c>
      <c r="V40" s="1">
        <v>100</v>
      </c>
      <c r="W40" s="1">
        <v>100</v>
      </c>
      <c r="X40" s="1">
        <v>100</v>
      </c>
      <c r="Y40" s="1">
        <v>100</v>
      </c>
      <c r="Z40" s="1">
        <v>99.211686322499645</v>
      </c>
      <c r="AA40" s="1">
        <v>100</v>
      </c>
      <c r="AB40" s="1">
        <v>98.162629672580223</v>
      </c>
      <c r="AC40" s="1">
        <v>100</v>
      </c>
      <c r="AD40" s="1">
        <v>108.40264738959161</v>
      </c>
      <c r="AE40" s="1">
        <v>90.644924460314527</v>
      </c>
      <c r="AF40" s="1">
        <v>100.94957983664952</v>
      </c>
      <c r="AG40" s="1">
        <v>100</v>
      </c>
      <c r="AH40" s="1">
        <v>100</v>
      </c>
      <c r="AI40" s="1">
        <v>100</v>
      </c>
      <c r="AJ40" s="1">
        <v>100</v>
      </c>
      <c r="AK40" s="1">
        <v>96.997769652724728</v>
      </c>
      <c r="AL40" s="1">
        <v>100</v>
      </c>
      <c r="AM40" s="1">
        <v>100</v>
      </c>
      <c r="AN40" s="1">
        <v>100.19574376588798</v>
      </c>
      <c r="AO40" s="1">
        <v>96.331523207785821</v>
      </c>
      <c r="AP40" s="1">
        <v>100</v>
      </c>
      <c r="AQ40" s="1">
        <v>100</v>
      </c>
      <c r="AR40" s="1">
        <v>100</v>
      </c>
      <c r="AS40" s="1">
        <v>100</v>
      </c>
      <c r="AT40" s="1">
        <v>100.27428777001749</v>
      </c>
      <c r="AU40" s="1">
        <v>100</v>
      </c>
      <c r="AV40" s="1">
        <v>100</v>
      </c>
      <c r="AW40" s="1">
        <v>100</v>
      </c>
      <c r="AX40" s="1">
        <v>100</v>
      </c>
      <c r="AY40" s="1">
        <v>100</v>
      </c>
      <c r="AZ40" s="1">
        <v>100</v>
      </c>
      <c r="BA40" s="1">
        <v>100</v>
      </c>
      <c r="BB40" s="1">
        <v>100</v>
      </c>
      <c r="BC40" s="1">
        <v>100</v>
      </c>
      <c r="BD40" s="1">
        <v>100</v>
      </c>
      <c r="BE40" s="1">
        <v>100</v>
      </c>
      <c r="BF40" s="1">
        <v>100</v>
      </c>
      <c r="BG40" s="1">
        <v>100</v>
      </c>
      <c r="BH40" s="1">
        <v>100</v>
      </c>
    </row>
    <row r="41" spans="1:60" x14ac:dyDescent="0.25">
      <c r="A41">
        <v>28</v>
      </c>
      <c r="B41" s="1">
        <v>99.450154775405551</v>
      </c>
      <c r="C41" s="1">
        <v>100</v>
      </c>
      <c r="D41" s="1">
        <v>100</v>
      </c>
      <c r="E41" s="1">
        <v>109.68852083373437</v>
      </c>
      <c r="F41" s="1">
        <v>100</v>
      </c>
      <c r="G41" s="1">
        <v>100</v>
      </c>
      <c r="H41" s="1">
        <v>100</v>
      </c>
      <c r="I41" s="1">
        <v>98.586192156994812</v>
      </c>
      <c r="J41" s="1">
        <v>100</v>
      </c>
      <c r="K41" s="1">
        <v>94.12989822072268</v>
      </c>
      <c r="L41" s="1">
        <v>100</v>
      </c>
      <c r="M41" s="1">
        <v>100</v>
      </c>
      <c r="N41" s="1">
        <v>100</v>
      </c>
      <c r="O41" s="1">
        <v>100</v>
      </c>
      <c r="P41" s="1">
        <v>98.36812928047523</v>
      </c>
      <c r="Q41" s="1">
        <v>100</v>
      </c>
      <c r="R41" s="1">
        <v>100</v>
      </c>
      <c r="S41" s="1">
        <v>100</v>
      </c>
      <c r="T41" s="1">
        <v>107.46232410399193</v>
      </c>
      <c r="U41" s="1">
        <v>100</v>
      </c>
      <c r="V41" s="1">
        <v>100</v>
      </c>
      <c r="W41" s="1">
        <v>100</v>
      </c>
      <c r="X41" s="1">
        <v>100</v>
      </c>
      <c r="Y41" s="1">
        <v>100</v>
      </c>
      <c r="Z41" s="1">
        <v>99.211686322499645</v>
      </c>
      <c r="AA41" s="1">
        <v>100</v>
      </c>
      <c r="AB41" s="1">
        <v>98.162629672580223</v>
      </c>
      <c r="AC41" s="1">
        <v>100.57277765612425</v>
      </c>
      <c r="AD41" s="1">
        <v>108.40264738959161</v>
      </c>
      <c r="AE41" s="1">
        <v>90.644924460314527</v>
      </c>
      <c r="AF41" s="1">
        <v>100.94957983664952</v>
      </c>
      <c r="AG41" s="1">
        <v>100</v>
      </c>
      <c r="AH41" s="1">
        <v>100</v>
      </c>
      <c r="AI41" s="1">
        <v>100</v>
      </c>
      <c r="AJ41" s="1">
        <v>100</v>
      </c>
      <c r="AK41" s="1">
        <v>96.997769652724728</v>
      </c>
      <c r="AL41" s="1">
        <v>100</v>
      </c>
      <c r="AM41" s="1">
        <v>100</v>
      </c>
      <c r="AN41" s="1">
        <v>100.19574376588798</v>
      </c>
      <c r="AO41" s="1">
        <v>96.331523207785821</v>
      </c>
      <c r="AP41" s="1">
        <v>100</v>
      </c>
      <c r="AQ41" s="1">
        <v>100</v>
      </c>
      <c r="AR41" s="1">
        <v>100</v>
      </c>
      <c r="AS41" s="1">
        <v>100</v>
      </c>
      <c r="AT41" s="1">
        <v>100.84549866451712</v>
      </c>
      <c r="AU41" s="1">
        <v>100</v>
      </c>
      <c r="AV41" s="1">
        <v>100</v>
      </c>
      <c r="AW41" s="1">
        <v>100</v>
      </c>
      <c r="AX41" s="1">
        <v>100</v>
      </c>
      <c r="AY41" s="1">
        <v>100</v>
      </c>
      <c r="AZ41" s="1">
        <v>100</v>
      </c>
      <c r="BA41" s="1">
        <v>100</v>
      </c>
      <c r="BB41" s="1">
        <v>100</v>
      </c>
      <c r="BC41" s="1">
        <v>100</v>
      </c>
      <c r="BD41" s="1">
        <v>100</v>
      </c>
      <c r="BE41" s="1">
        <v>100</v>
      </c>
      <c r="BF41" s="1">
        <v>100</v>
      </c>
      <c r="BG41" s="1">
        <v>100</v>
      </c>
      <c r="BH41" s="1">
        <v>100</v>
      </c>
    </row>
    <row r="42" spans="1:60" x14ac:dyDescent="0.25">
      <c r="A42">
        <v>29</v>
      </c>
      <c r="B42" s="1">
        <v>99.450154775405551</v>
      </c>
      <c r="C42" s="1">
        <v>100</v>
      </c>
      <c r="D42" s="1">
        <v>100</v>
      </c>
      <c r="E42" s="1">
        <v>110.69678014219414</v>
      </c>
      <c r="F42" s="1">
        <v>100</v>
      </c>
      <c r="G42" s="1">
        <v>100</v>
      </c>
      <c r="H42" s="1">
        <v>100</v>
      </c>
      <c r="I42" s="1">
        <v>97.485740590077626</v>
      </c>
      <c r="J42" s="1">
        <v>100</v>
      </c>
      <c r="K42" s="1">
        <v>95.304811550624166</v>
      </c>
      <c r="L42" s="1">
        <v>100</v>
      </c>
      <c r="M42" s="1">
        <v>100</v>
      </c>
      <c r="N42" s="1">
        <v>100</v>
      </c>
      <c r="O42" s="1">
        <v>100</v>
      </c>
      <c r="P42" s="1">
        <v>98.36812928047523</v>
      </c>
      <c r="Q42" s="1">
        <v>100</v>
      </c>
      <c r="R42" s="1">
        <v>100</v>
      </c>
      <c r="S42" s="1">
        <v>100</v>
      </c>
      <c r="T42" s="1">
        <v>107.46232410399193</v>
      </c>
      <c r="U42" s="1">
        <v>100</v>
      </c>
      <c r="V42" s="1">
        <v>100</v>
      </c>
      <c r="W42" s="1">
        <v>100</v>
      </c>
      <c r="X42" s="1">
        <v>100</v>
      </c>
      <c r="Y42" s="1">
        <v>100</v>
      </c>
      <c r="Z42" s="1">
        <v>99.211686322499645</v>
      </c>
      <c r="AA42" s="1">
        <v>100</v>
      </c>
      <c r="AB42" s="1">
        <v>98.162629672580223</v>
      </c>
      <c r="AC42" s="1">
        <v>100.57277765612425</v>
      </c>
      <c r="AD42" s="1">
        <v>108.40264738959161</v>
      </c>
      <c r="AE42" s="1">
        <v>90.644924460314527</v>
      </c>
      <c r="AF42" s="1">
        <v>100.94957983664952</v>
      </c>
      <c r="AG42" s="1">
        <v>100</v>
      </c>
      <c r="AH42" s="1">
        <v>100</v>
      </c>
      <c r="AI42" s="1">
        <v>100</v>
      </c>
      <c r="AJ42" s="1">
        <v>100</v>
      </c>
      <c r="AK42" s="1">
        <v>95.915048581280658</v>
      </c>
      <c r="AL42" s="1">
        <v>100</v>
      </c>
      <c r="AM42" s="1">
        <v>100</v>
      </c>
      <c r="AN42" s="1">
        <v>100.19574376588798</v>
      </c>
      <c r="AO42" s="1">
        <v>96.331523207785821</v>
      </c>
      <c r="AP42" s="1">
        <v>100</v>
      </c>
      <c r="AQ42" s="1">
        <v>100</v>
      </c>
      <c r="AR42" s="1">
        <v>100</v>
      </c>
      <c r="AS42" s="1">
        <v>100</v>
      </c>
      <c r="AT42" s="1">
        <v>100.84549866451712</v>
      </c>
      <c r="AU42" s="1">
        <v>100</v>
      </c>
      <c r="AV42" s="1">
        <v>100</v>
      </c>
      <c r="AW42" s="1">
        <v>100</v>
      </c>
      <c r="AX42" s="1">
        <v>100</v>
      </c>
      <c r="AY42" s="1">
        <v>100</v>
      </c>
      <c r="AZ42" s="1">
        <v>100</v>
      </c>
      <c r="BA42" s="1">
        <v>100</v>
      </c>
      <c r="BB42" s="1">
        <v>100</v>
      </c>
      <c r="BC42" s="1">
        <v>100</v>
      </c>
      <c r="BD42" s="1">
        <v>100</v>
      </c>
      <c r="BE42" s="1">
        <v>100</v>
      </c>
      <c r="BF42" s="1">
        <v>100</v>
      </c>
      <c r="BG42" s="1">
        <v>100</v>
      </c>
      <c r="BH42" s="1">
        <v>100</v>
      </c>
    </row>
    <row r="43" spans="1:60" x14ac:dyDescent="0.25">
      <c r="A43">
        <v>30</v>
      </c>
      <c r="B43" s="1">
        <v>99.450154775405551</v>
      </c>
      <c r="C43" s="1">
        <v>100</v>
      </c>
      <c r="D43" s="1">
        <v>100</v>
      </c>
      <c r="E43" s="1">
        <v>111.05586477933481</v>
      </c>
      <c r="F43" s="1">
        <v>100</v>
      </c>
      <c r="G43" s="1">
        <v>100</v>
      </c>
      <c r="H43" s="1">
        <v>100</v>
      </c>
      <c r="I43" s="1">
        <v>97.094507637290775</v>
      </c>
      <c r="J43" s="1">
        <v>100</v>
      </c>
      <c r="K43" s="1">
        <v>95.721889266673017</v>
      </c>
      <c r="L43" s="1">
        <v>100</v>
      </c>
      <c r="M43" s="1">
        <v>100</v>
      </c>
      <c r="N43" s="1">
        <v>100</v>
      </c>
      <c r="O43" s="1">
        <v>100</v>
      </c>
      <c r="P43" s="1">
        <v>98.36812928047523</v>
      </c>
      <c r="Q43" s="1">
        <v>100</v>
      </c>
      <c r="R43" s="1">
        <v>100</v>
      </c>
      <c r="S43" s="1">
        <v>100</v>
      </c>
      <c r="T43" s="1">
        <v>107.46232410399193</v>
      </c>
      <c r="U43" s="1">
        <v>100</v>
      </c>
      <c r="V43" s="1">
        <v>100</v>
      </c>
      <c r="W43" s="1">
        <v>100</v>
      </c>
      <c r="X43" s="1">
        <v>100</v>
      </c>
      <c r="Y43" s="1">
        <v>100</v>
      </c>
      <c r="Z43" s="1">
        <v>99.211686322499645</v>
      </c>
      <c r="AA43" s="1">
        <v>100</v>
      </c>
      <c r="AB43" s="1">
        <v>98.162629672580223</v>
      </c>
      <c r="AC43" s="1">
        <v>100.57277765612425</v>
      </c>
      <c r="AD43" s="1">
        <v>108.40264738959161</v>
      </c>
      <c r="AE43" s="1">
        <v>90.644924460314527</v>
      </c>
      <c r="AF43" s="1">
        <v>100.94957983664952</v>
      </c>
      <c r="AG43" s="1">
        <v>100</v>
      </c>
      <c r="AH43" s="1">
        <v>100</v>
      </c>
      <c r="AI43" s="1">
        <v>100</v>
      </c>
      <c r="AJ43" s="1">
        <v>100</v>
      </c>
      <c r="AK43" s="1">
        <v>95.530119180877989</v>
      </c>
      <c r="AL43" s="1">
        <v>100</v>
      </c>
      <c r="AM43" s="1">
        <v>100</v>
      </c>
      <c r="AN43" s="1">
        <v>100.19574376588798</v>
      </c>
      <c r="AO43" s="1">
        <v>96.331523207785821</v>
      </c>
      <c r="AP43" s="1">
        <v>100</v>
      </c>
      <c r="AQ43" s="1">
        <v>100</v>
      </c>
      <c r="AR43" s="1">
        <v>100</v>
      </c>
      <c r="AS43" s="1">
        <v>100</v>
      </c>
      <c r="AT43" s="1">
        <v>100.84549866451712</v>
      </c>
      <c r="AU43" s="1">
        <v>100</v>
      </c>
      <c r="AV43" s="1">
        <v>100</v>
      </c>
      <c r="AW43" s="1">
        <v>100</v>
      </c>
      <c r="AX43" s="1">
        <v>100</v>
      </c>
      <c r="AY43" s="1">
        <v>100</v>
      </c>
      <c r="AZ43" s="1">
        <v>100</v>
      </c>
      <c r="BA43" s="1">
        <v>100</v>
      </c>
      <c r="BB43" s="1">
        <v>100</v>
      </c>
      <c r="BC43" s="1">
        <v>100</v>
      </c>
      <c r="BD43" s="1">
        <v>100</v>
      </c>
      <c r="BE43" s="1">
        <v>100</v>
      </c>
      <c r="BF43" s="1">
        <v>100</v>
      </c>
      <c r="BG43" s="1">
        <v>100</v>
      </c>
      <c r="BH43" s="1">
        <v>100</v>
      </c>
    </row>
    <row r="44" spans="1:60" x14ac:dyDescent="0.25">
      <c r="A44">
        <v>31</v>
      </c>
      <c r="B44" s="1">
        <v>99.450154775405551</v>
      </c>
      <c r="C44" s="1">
        <v>100</v>
      </c>
      <c r="D44" s="1">
        <v>100</v>
      </c>
      <c r="E44" s="1">
        <v>111.05586477933481</v>
      </c>
      <c r="F44" s="1">
        <v>100</v>
      </c>
      <c r="G44" s="1">
        <v>100</v>
      </c>
      <c r="H44" s="1">
        <v>100</v>
      </c>
      <c r="I44" s="1">
        <v>97.094507637290775</v>
      </c>
      <c r="J44" s="1">
        <v>100</v>
      </c>
      <c r="K44" s="1">
        <v>94.202838275502046</v>
      </c>
      <c r="L44" s="1">
        <v>100</v>
      </c>
      <c r="M44" s="1">
        <v>100</v>
      </c>
      <c r="N44" s="1">
        <v>100</v>
      </c>
      <c r="O44" s="1">
        <v>100</v>
      </c>
      <c r="P44" s="1">
        <v>98.36812928047523</v>
      </c>
      <c r="Q44" s="1">
        <v>100</v>
      </c>
      <c r="R44" s="1">
        <v>100</v>
      </c>
      <c r="S44" s="1">
        <v>100</v>
      </c>
      <c r="T44" s="1">
        <v>107.46232410399193</v>
      </c>
      <c r="U44" s="1">
        <v>100</v>
      </c>
      <c r="V44" s="1">
        <v>100</v>
      </c>
      <c r="W44" s="1">
        <v>100</v>
      </c>
      <c r="X44" s="1">
        <v>100</v>
      </c>
      <c r="Y44" s="1">
        <v>100</v>
      </c>
      <c r="Z44" s="1">
        <v>97.637254271497412</v>
      </c>
      <c r="AA44" s="1">
        <v>100</v>
      </c>
      <c r="AB44" s="1">
        <v>98.162629672580223</v>
      </c>
      <c r="AC44" s="1">
        <v>100.57277765612425</v>
      </c>
      <c r="AD44" s="1">
        <v>108.40264738959161</v>
      </c>
      <c r="AE44" s="1">
        <v>92.23870772653089</v>
      </c>
      <c r="AF44" s="1">
        <v>100.94957983664952</v>
      </c>
      <c r="AG44" s="1">
        <v>100</v>
      </c>
      <c r="AH44" s="1">
        <v>100</v>
      </c>
      <c r="AI44" s="1">
        <v>100</v>
      </c>
      <c r="AJ44" s="1">
        <v>100</v>
      </c>
      <c r="AK44" s="1">
        <v>95.530119180877989</v>
      </c>
      <c r="AL44" s="1">
        <v>100</v>
      </c>
      <c r="AM44" s="1">
        <v>100</v>
      </c>
      <c r="AN44" s="1">
        <v>100.19574376588798</v>
      </c>
      <c r="AO44" s="1">
        <v>97.831222983742649</v>
      </c>
      <c r="AP44" s="1">
        <v>100</v>
      </c>
      <c r="AQ44" s="1">
        <v>100</v>
      </c>
      <c r="AR44" s="1">
        <v>100</v>
      </c>
      <c r="AS44" s="1">
        <v>100</v>
      </c>
      <c r="AT44" s="1">
        <v>100.84549866451712</v>
      </c>
      <c r="AU44" s="1">
        <v>100</v>
      </c>
      <c r="AV44" s="1">
        <v>100</v>
      </c>
      <c r="AW44" s="1">
        <v>100</v>
      </c>
      <c r="AX44" s="1">
        <v>100</v>
      </c>
      <c r="AY44" s="1">
        <v>100</v>
      </c>
      <c r="AZ44" s="1">
        <v>100</v>
      </c>
      <c r="BA44" s="1">
        <v>100</v>
      </c>
      <c r="BB44" s="1">
        <v>100</v>
      </c>
      <c r="BC44" s="1">
        <v>100</v>
      </c>
      <c r="BD44" s="1">
        <v>100</v>
      </c>
      <c r="BE44" s="1">
        <v>100</v>
      </c>
      <c r="BF44" s="1">
        <v>100</v>
      </c>
      <c r="BG44" s="1">
        <v>100</v>
      </c>
      <c r="BH44" s="1">
        <v>100</v>
      </c>
    </row>
    <row r="45" spans="1:60" x14ac:dyDescent="0.25">
      <c r="A45">
        <v>32</v>
      </c>
      <c r="B45" s="1">
        <v>99.450154775405551</v>
      </c>
      <c r="C45" s="1">
        <v>100</v>
      </c>
      <c r="D45" s="1">
        <v>100</v>
      </c>
      <c r="E45" s="1">
        <v>111.05586477933481</v>
      </c>
      <c r="F45" s="1">
        <v>100</v>
      </c>
      <c r="G45" s="1">
        <v>100</v>
      </c>
      <c r="H45" s="1">
        <v>100</v>
      </c>
      <c r="I45" s="1">
        <v>97.094507637290775</v>
      </c>
      <c r="J45" s="1">
        <v>100</v>
      </c>
      <c r="K45" s="1">
        <v>93.376067037406614</v>
      </c>
      <c r="L45" s="1">
        <v>100</v>
      </c>
      <c r="M45" s="1">
        <v>100</v>
      </c>
      <c r="N45" s="1">
        <v>100</v>
      </c>
      <c r="O45" s="1">
        <v>100</v>
      </c>
      <c r="P45" s="1">
        <v>98.36812928047523</v>
      </c>
      <c r="Q45" s="1">
        <v>100</v>
      </c>
      <c r="R45" s="1">
        <v>100</v>
      </c>
      <c r="S45" s="1">
        <v>100</v>
      </c>
      <c r="T45" s="1">
        <v>107.46232410399193</v>
      </c>
      <c r="U45" s="1">
        <v>100</v>
      </c>
      <c r="V45" s="1">
        <v>100</v>
      </c>
      <c r="W45" s="1">
        <v>100</v>
      </c>
      <c r="X45" s="1">
        <v>100</v>
      </c>
      <c r="Y45" s="1">
        <v>100</v>
      </c>
      <c r="Z45" s="1">
        <v>96.780340880393382</v>
      </c>
      <c r="AA45" s="1">
        <v>100</v>
      </c>
      <c r="AB45" s="1">
        <v>98.162629672580223</v>
      </c>
      <c r="AC45" s="1">
        <v>100.57277765612425</v>
      </c>
      <c r="AD45" s="1">
        <v>108.40264738959161</v>
      </c>
      <c r="AE45" s="1">
        <v>93.105319955924472</v>
      </c>
      <c r="AF45" s="1">
        <v>100.94957983664952</v>
      </c>
      <c r="AG45" s="1">
        <v>100</v>
      </c>
      <c r="AH45" s="1">
        <v>100</v>
      </c>
      <c r="AI45" s="1">
        <v>100</v>
      </c>
      <c r="AJ45" s="1">
        <v>100</v>
      </c>
      <c r="AK45" s="1">
        <v>95.530119180877989</v>
      </c>
      <c r="AL45" s="1">
        <v>100</v>
      </c>
      <c r="AM45" s="1">
        <v>100</v>
      </c>
      <c r="AN45" s="1">
        <v>100.19574376588798</v>
      </c>
      <c r="AO45" s="1">
        <v>98.648295383548543</v>
      </c>
      <c r="AP45" s="1">
        <v>100</v>
      </c>
      <c r="AQ45" s="1">
        <v>100</v>
      </c>
      <c r="AR45" s="1">
        <v>100</v>
      </c>
      <c r="AS45" s="1">
        <v>100</v>
      </c>
      <c r="AT45" s="1">
        <v>100.84549866451712</v>
      </c>
      <c r="AU45" s="1">
        <v>100</v>
      </c>
      <c r="AV45" s="1">
        <v>100</v>
      </c>
      <c r="AW45" s="1">
        <v>100</v>
      </c>
      <c r="AX45" s="1">
        <v>100</v>
      </c>
      <c r="AY45" s="1">
        <v>100</v>
      </c>
      <c r="AZ45" s="1">
        <v>100</v>
      </c>
      <c r="BA45" s="1">
        <v>100</v>
      </c>
      <c r="BB45" s="1">
        <v>100</v>
      </c>
      <c r="BC45" s="1">
        <v>100</v>
      </c>
      <c r="BD45" s="1">
        <v>100</v>
      </c>
      <c r="BE45" s="1">
        <v>100</v>
      </c>
      <c r="BF45" s="1">
        <v>100</v>
      </c>
      <c r="BG45" s="1">
        <v>100</v>
      </c>
      <c r="BH45" s="1">
        <v>100</v>
      </c>
    </row>
    <row r="46" spans="1:60" x14ac:dyDescent="0.25">
      <c r="A46">
        <v>33</v>
      </c>
      <c r="B46" s="1">
        <v>99.450154775405551</v>
      </c>
      <c r="C46" s="1">
        <v>100</v>
      </c>
      <c r="D46" s="1">
        <v>100</v>
      </c>
      <c r="E46" s="1">
        <v>111.05586477933481</v>
      </c>
      <c r="F46" s="1">
        <v>100</v>
      </c>
      <c r="G46" s="1">
        <v>100</v>
      </c>
      <c r="H46" s="1">
        <v>100</v>
      </c>
      <c r="I46" s="1">
        <v>97.094507637290775</v>
      </c>
      <c r="J46" s="1">
        <v>100</v>
      </c>
      <c r="K46" s="1">
        <v>93.376067037406614</v>
      </c>
      <c r="L46" s="1">
        <v>100</v>
      </c>
      <c r="M46" s="1">
        <v>100</v>
      </c>
      <c r="N46" s="1">
        <v>100</v>
      </c>
      <c r="O46" s="1">
        <v>100</v>
      </c>
      <c r="P46" s="1">
        <v>96.976506674019006</v>
      </c>
      <c r="Q46" s="1">
        <v>100</v>
      </c>
      <c r="R46" s="1">
        <v>100</v>
      </c>
      <c r="S46" s="1">
        <v>100</v>
      </c>
      <c r="T46" s="1">
        <v>105.942045120755</v>
      </c>
      <c r="U46" s="1">
        <v>100</v>
      </c>
      <c r="V46" s="1">
        <v>100</v>
      </c>
      <c r="W46" s="1">
        <v>100</v>
      </c>
      <c r="X46" s="1">
        <v>100</v>
      </c>
      <c r="Y46" s="1">
        <v>100</v>
      </c>
      <c r="Z46" s="1">
        <v>96.780340880393382</v>
      </c>
      <c r="AA46" s="1">
        <v>100</v>
      </c>
      <c r="AB46" s="1">
        <v>98.162629672580223</v>
      </c>
      <c r="AC46" s="1">
        <v>100.57277765612425</v>
      </c>
      <c r="AD46" s="1">
        <v>108.40264738959161</v>
      </c>
      <c r="AE46" s="1">
        <v>93.105319955924472</v>
      </c>
      <c r="AF46" s="1">
        <v>100.94957983664952</v>
      </c>
      <c r="AG46" s="1">
        <v>100</v>
      </c>
      <c r="AH46" s="1">
        <v>100</v>
      </c>
      <c r="AI46" s="1">
        <v>100</v>
      </c>
      <c r="AJ46" s="1">
        <v>100</v>
      </c>
      <c r="AK46" s="1">
        <v>95.530119180877989</v>
      </c>
      <c r="AL46" s="1">
        <v>100</v>
      </c>
      <c r="AM46" s="1">
        <v>100</v>
      </c>
      <c r="AN46" s="1">
        <v>100.19574376588798</v>
      </c>
      <c r="AO46" s="1">
        <v>100.12028186451073</v>
      </c>
      <c r="AP46" s="1">
        <v>100</v>
      </c>
      <c r="AQ46" s="1">
        <v>100</v>
      </c>
      <c r="AR46" s="1">
        <v>100</v>
      </c>
      <c r="AS46" s="1">
        <v>100</v>
      </c>
      <c r="AT46" s="1">
        <v>102.2854137732481</v>
      </c>
      <c r="AU46" s="1">
        <v>100</v>
      </c>
      <c r="AV46" s="1">
        <v>100</v>
      </c>
      <c r="AW46" s="1">
        <v>100</v>
      </c>
      <c r="AX46" s="1">
        <v>100</v>
      </c>
      <c r="AY46" s="1">
        <v>100</v>
      </c>
      <c r="AZ46" s="1">
        <v>100</v>
      </c>
      <c r="BA46" s="1">
        <v>100</v>
      </c>
      <c r="BB46" s="1">
        <v>100</v>
      </c>
      <c r="BC46" s="1">
        <v>100</v>
      </c>
      <c r="BD46" s="1">
        <v>100</v>
      </c>
      <c r="BE46" s="1">
        <v>100</v>
      </c>
      <c r="BF46" s="1">
        <v>100</v>
      </c>
      <c r="BG46" s="1">
        <v>100</v>
      </c>
      <c r="BH46" s="1">
        <v>100</v>
      </c>
    </row>
    <row r="47" spans="1:60" x14ac:dyDescent="0.25">
      <c r="A47">
        <v>34</v>
      </c>
      <c r="B47" s="1">
        <v>99.450154775405551</v>
      </c>
      <c r="C47" s="1">
        <v>100</v>
      </c>
      <c r="D47" s="1">
        <v>100</v>
      </c>
      <c r="E47" s="1">
        <v>111.05586477933481</v>
      </c>
      <c r="F47" s="1">
        <v>100</v>
      </c>
      <c r="G47" s="1">
        <v>100</v>
      </c>
      <c r="H47" s="1">
        <v>100</v>
      </c>
      <c r="I47" s="1">
        <v>97.094507637290775</v>
      </c>
      <c r="J47" s="1">
        <v>100</v>
      </c>
      <c r="K47" s="1">
        <v>93.376067037406614</v>
      </c>
      <c r="L47" s="1">
        <v>100</v>
      </c>
      <c r="M47" s="1">
        <v>100</v>
      </c>
      <c r="N47" s="1">
        <v>100</v>
      </c>
      <c r="O47" s="1">
        <v>100</v>
      </c>
      <c r="P47" s="1">
        <v>96.240985373873585</v>
      </c>
      <c r="Q47" s="1">
        <v>100</v>
      </c>
      <c r="R47" s="1">
        <v>100</v>
      </c>
      <c r="S47" s="1">
        <v>100</v>
      </c>
      <c r="T47" s="1">
        <v>105.13852441826964</v>
      </c>
      <c r="U47" s="1">
        <v>100</v>
      </c>
      <c r="V47" s="1">
        <v>100</v>
      </c>
      <c r="W47" s="1">
        <v>100</v>
      </c>
      <c r="X47" s="1">
        <v>100</v>
      </c>
      <c r="Y47" s="1">
        <v>100</v>
      </c>
      <c r="Z47" s="1">
        <v>96.780340880393382</v>
      </c>
      <c r="AA47" s="1">
        <v>100</v>
      </c>
      <c r="AB47" s="1">
        <v>98.162629672580223</v>
      </c>
      <c r="AC47" s="1">
        <v>100.57277765612425</v>
      </c>
      <c r="AD47" s="1">
        <v>108.40264738959161</v>
      </c>
      <c r="AE47" s="1">
        <v>93.105319955924472</v>
      </c>
      <c r="AF47" s="1">
        <v>100.94957983664952</v>
      </c>
      <c r="AG47" s="1">
        <v>100</v>
      </c>
      <c r="AH47" s="1">
        <v>100</v>
      </c>
      <c r="AI47" s="1">
        <v>100</v>
      </c>
      <c r="AJ47" s="1">
        <v>100</v>
      </c>
      <c r="AK47" s="1">
        <v>95.530119180877989</v>
      </c>
      <c r="AL47" s="1">
        <v>100</v>
      </c>
      <c r="AM47" s="1">
        <v>100</v>
      </c>
      <c r="AN47" s="1">
        <v>100.19574376588798</v>
      </c>
      <c r="AO47" s="1">
        <v>100.89803442506728</v>
      </c>
      <c r="AP47" s="1">
        <v>100</v>
      </c>
      <c r="AQ47" s="1">
        <v>100</v>
      </c>
      <c r="AR47" s="1">
        <v>100</v>
      </c>
      <c r="AS47" s="1">
        <v>100</v>
      </c>
      <c r="AT47" s="1">
        <v>103.04670321532232</v>
      </c>
      <c r="AU47" s="1">
        <v>100</v>
      </c>
      <c r="AV47" s="1">
        <v>100</v>
      </c>
      <c r="AW47" s="1">
        <v>100</v>
      </c>
      <c r="AX47" s="1">
        <v>100</v>
      </c>
      <c r="AY47" s="1">
        <v>100</v>
      </c>
      <c r="AZ47" s="1">
        <v>100</v>
      </c>
      <c r="BA47" s="1">
        <v>100</v>
      </c>
      <c r="BB47" s="1">
        <v>100</v>
      </c>
      <c r="BC47" s="1">
        <v>100</v>
      </c>
      <c r="BD47" s="1">
        <v>100</v>
      </c>
      <c r="BE47" s="1">
        <v>100</v>
      </c>
      <c r="BF47" s="1">
        <v>100</v>
      </c>
      <c r="BG47" s="1">
        <v>100</v>
      </c>
      <c r="BH47" s="1">
        <v>100</v>
      </c>
    </row>
    <row r="48" spans="1:60" x14ac:dyDescent="0.25">
      <c r="A48">
        <v>35</v>
      </c>
      <c r="B48" s="1">
        <v>99.450154775405551</v>
      </c>
      <c r="C48" s="1">
        <v>100</v>
      </c>
      <c r="D48" s="1">
        <v>100</v>
      </c>
      <c r="E48" s="1">
        <v>111.910639419172</v>
      </c>
      <c r="F48" s="1">
        <v>100</v>
      </c>
      <c r="G48" s="1">
        <v>100</v>
      </c>
      <c r="H48" s="1">
        <v>100</v>
      </c>
      <c r="I48" s="1">
        <v>97.094507637290775</v>
      </c>
      <c r="J48" s="1">
        <v>100</v>
      </c>
      <c r="K48" s="1">
        <v>93.376067037406614</v>
      </c>
      <c r="L48" s="1">
        <v>100</v>
      </c>
      <c r="M48" s="1">
        <v>100</v>
      </c>
      <c r="N48" s="1">
        <v>100</v>
      </c>
      <c r="O48" s="1">
        <v>100</v>
      </c>
      <c r="P48" s="1">
        <v>96.240985373873585</v>
      </c>
      <c r="Q48" s="1">
        <v>100</v>
      </c>
      <c r="R48" s="1">
        <v>100</v>
      </c>
      <c r="S48" s="1">
        <v>100</v>
      </c>
      <c r="T48" s="1">
        <v>104.20886664105964</v>
      </c>
      <c r="U48" s="1">
        <v>100</v>
      </c>
      <c r="V48" s="1">
        <v>100</v>
      </c>
      <c r="W48" s="1">
        <v>100</v>
      </c>
      <c r="X48" s="1">
        <v>100</v>
      </c>
      <c r="Y48" s="1">
        <v>100</v>
      </c>
      <c r="Z48" s="1">
        <v>96.780340880393382</v>
      </c>
      <c r="AA48" s="1">
        <v>100</v>
      </c>
      <c r="AB48" s="1">
        <v>99.129675249244102</v>
      </c>
      <c r="AC48" s="1">
        <v>100.57277765612425</v>
      </c>
      <c r="AD48" s="1">
        <v>108.40264738959161</v>
      </c>
      <c r="AE48" s="1">
        <v>93.105319955924472</v>
      </c>
      <c r="AF48" s="1">
        <v>100.94957983664952</v>
      </c>
      <c r="AG48" s="1">
        <v>100</v>
      </c>
      <c r="AH48" s="1">
        <v>100</v>
      </c>
      <c r="AI48" s="1">
        <v>100</v>
      </c>
      <c r="AJ48" s="1">
        <v>100</v>
      </c>
      <c r="AK48" s="1">
        <v>95.530119180877989</v>
      </c>
      <c r="AL48" s="1">
        <v>100</v>
      </c>
      <c r="AM48" s="1">
        <v>100</v>
      </c>
      <c r="AN48" s="1">
        <v>100.19574376588798</v>
      </c>
      <c r="AO48" s="1">
        <v>100.00587198577622</v>
      </c>
      <c r="AP48" s="1">
        <v>100</v>
      </c>
      <c r="AQ48" s="1">
        <v>100</v>
      </c>
      <c r="AR48" s="1">
        <v>100</v>
      </c>
      <c r="AS48" s="1">
        <v>100</v>
      </c>
      <c r="AT48" s="1">
        <v>103.04670321532232</v>
      </c>
      <c r="AU48" s="1">
        <v>100</v>
      </c>
      <c r="AV48" s="1">
        <v>100</v>
      </c>
      <c r="AW48" s="1">
        <v>100</v>
      </c>
      <c r="AX48" s="1">
        <v>100</v>
      </c>
      <c r="AY48" s="1">
        <v>100</v>
      </c>
      <c r="AZ48" s="1">
        <v>100</v>
      </c>
      <c r="BA48" s="1">
        <v>100</v>
      </c>
      <c r="BB48" s="1">
        <v>100</v>
      </c>
      <c r="BC48" s="1">
        <v>100</v>
      </c>
      <c r="BD48" s="1">
        <v>100</v>
      </c>
      <c r="BE48" s="1">
        <v>100</v>
      </c>
      <c r="BF48" s="1">
        <v>100</v>
      </c>
      <c r="BG48" s="1">
        <v>100</v>
      </c>
      <c r="BH48" s="1">
        <v>100</v>
      </c>
    </row>
    <row r="49" spans="1:60" x14ac:dyDescent="0.25">
      <c r="A49">
        <v>36</v>
      </c>
      <c r="B49" s="1">
        <v>99.450154775405551</v>
      </c>
      <c r="C49" s="1">
        <v>100</v>
      </c>
      <c r="D49" s="1">
        <v>100</v>
      </c>
      <c r="E49" s="1">
        <v>111.63387701727011</v>
      </c>
      <c r="F49" s="1">
        <v>100</v>
      </c>
      <c r="G49" s="1">
        <v>100</v>
      </c>
      <c r="H49" s="1">
        <v>100</v>
      </c>
      <c r="I49" s="1">
        <v>97.094507637290775</v>
      </c>
      <c r="J49" s="1">
        <v>100</v>
      </c>
      <c r="K49" s="1">
        <v>93.376067037406614</v>
      </c>
      <c r="L49" s="1">
        <v>100</v>
      </c>
      <c r="M49" s="1">
        <v>100</v>
      </c>
      <c r="N49" s="1">
        <v>100</v>
      </c>
      <c r="O49" s="1">
        <v>100</v>
      </c>
      <c r="P49" s="1">
        <v>96.240985373873585</v>
      </c>
      <c r="Q49" s="1">
        <v>100</v>
      </c>
      <c r="R49" s="1">
        <v>100</v>
      </c>
      <c r="S49" s="1">
        <v>100</v>
      </c>
      <c r="T49" s="1">
        <v>104.46445411027581</v>
      </c>
      <c r="U49" s="1">
        <v>100</v>
      </c>
      <c r="V49" s="1">
        <v>100</v>
      </c>
      <c r="W49" s="1">
        <v>100</v>
      </c>
      <c r="X49" s="1">
        <v>100</v>
      </c>
      <c r="Y49" s="1">
        <v>100</v>
      </c>
      <c r="Z49" s="1">
        <v>96.780340880393382</v>
      </c>
      <c r="AA49" s="1">
        <v>100</v>
      </c>
      <c r="AB49" s="1">
        <v>98.884521015793851</v>
      </c>
      <c r="AC49" s="1">
        <v>100.57277765612425</v>
      </c>
      <c r="AD49" s="1">
        <v>108.40264738959161</v>
      </c>
      <c r="AE49" s="1">
        <v>93.105319955924472</v>
      </c>
      <c r="AF49" s="1">
        <v>100.94957983664952</v>
      </c>
      <c r="AG49" s="1">
        <v>100</v>
      </c>
      <c r="AH49" s="1">
        <v>100</v>
      </c>
      <c r="AI49" s="1">
        <v>100</v>
      </c>
      <c r="AJ49" s="1">
        <v>100</v>
      </c>
      <c r="AK49" s="1">
        <v>95.530119180877989</v>
      </c>
      <c r="AL49" s="1">
        <v>100</v>
      </c>
      <c r="AM49" s="1">
        <v>100</v>
      </c>
      <c r="AN49" s="1">
        <v>100.19574376588798</v>
      </c>
      <c r="AO49" s="1">
        <v>100.2722011519122</v>
      </c>
      <c r="AP49" s="1">
        <v>100</v>
      </c>
      <c r="AQ49" s="1">
        <v>100</v>
      </c>
      <c r="AR49" s="1">
        <v>100</v>
      </c>
      <c r="AS49" s="1">
        <v>100</v>
      </c>
      <c r="AT49" s="1">
        <v>103.04670321532232</v>
      </c>
      <c r="AU49" s="1">
        <v>100</v>
      </c>
      <c r="AV49" s="1">
        <v>100</v>
      </c>
      <c r="AW49" s="1">
        <v>100</v>
      </c>
      <c r="AX49" s="1">
        <v>100</v>
      </c>
      <c r="AY49" s="1">
        <v>100</v>
      </c>
      <c r="AZ49" s="1">
        <v>100</v>
      </c>
      <c r="BA49" s="1">
        <v>100</v>
      </c>
      <c r="BB49" s="1">
        <v>100</v>
      </c>
      <c r="BC49" s="1">
        <v>100</v>
      </c>
      <c r="BD49" s="1">
        <v>100</v>
      </c>
      <c r="BE49" s="1">
        <v>100</v>
      </c>
      <c r="BF49" s="1">
        <v>100</v>
      </c>
      <c r="BG49" s="1">
        <v>100</v>
      </c>
      <c r="BH49" s="1">
        <v>100</v>
      </c>
    </row>
    <row r="50" spans="1:60" x14ac:dyDescent="0.25">
      <c r="A50">
        <v>37</v>
      </c>
      <c r="B50" s="1">
        <v>99.450154775405551</v>
      </c>
      <c r="C50" s="1">
        <v>100</v>
      </c>
      <c r="D50" s="1">
        <v>100</v>
      </c>
      <c r="E50" s="1">
        <v>111.63387701727011</v>
      </c>
      <c r="F50" s="1">
        <v>100</v>
      </c>
      <c r="G50" s="1">
        <v>100</v>
      </c>
      <c r="H50" s="1">
        <v>100</v>
      </c>
      <c r="I50" s="1">
        <v>96.942721479886103</v>
      </c>
      <c r="J50" s="1">
        <v>100</v>
      </c>
      <c r="K50" s="1">
        <v>93.534289509252545</v>
      </c>
      <c r="L50" s="1">
        <v>100</v>
      </c>
      <c r="M50" s="1">
        <v>100</v>
      </c>
      <c r="N50" s="1">
        <v>100</v>
      </c>
      <c r="O50" s="1">
        <v>100</v>
      </c>
      <c r="P50" s="1">
        <v>96.240985373873585</v>
      </c>
      <c r="Q50" s="1">
        <v>100</v>
      </c>
      <c r="R50" s="1">
        <v>100</v>
      </c>
      <c r="S50" s="1">
        <v>100</v>
      </c>
      <c r="T50" s="1">
        <v>104.46445411027581</v>
      </c>
      <c r="U50" s="1">
        <v>100</v>
      </c>
      <c r="V50" s="1">
        <v>100</v>
      </c>
      <c r="W50" s="1">
        <v>100</v>
      </c>
      <c r="X50" s="1">
        <v>100</v>
      </c>
      <c r="Y50" s="1">
        <v>100</v>
      </c>
      <c r="Z50" s="1">
        <v>96.780340880393382</v>
      </c>
      <c r="AA50" s="1">
        <v>100</v>
      </c>
      <c r="AB50" s="1">
        <v>98.884521015793851</v>
      </c>
      <c r="AC50" s="1">
        <v>100.57277765612425</v>
      </c>
      <c r="AD50" s="1">
        <v>108.40264738959161</v>
      </c>
      <c r="AE50" s="1">
        <v>93.105319955924472</v>
      </c>
      <c r="AF50" s="1">
        <v>100.94957983664952</v>
      </c>
      <c r="AG50" s="1">
        <v>100</v>
      </c>
      <c r="AH50" s="1">
        <v>100</v>
      </c>
      <c r="AI50" s="1">
        <v>100</v>
      </c>
      <c r="AJ50" s="1">
        <v>100</v>
      </c>
      <c r="AK50" s="1">
        <v>95.684773987807901</v>
      </c>
      <c r="AL50" s="1">
        <v>100</v>
      </c>
      <c r="AM50" s="1">
        <v>100</v>
      </c>
      <c r="AN50" s="1">
        <v>100.19574376588798</v>
      </c>
      <c r="AO50" s="1">
        <v>100.2722011519122</v>
      </c>
      <c r="AP50" s="1">
        <v>100</v>
      </c>
      <c r="AQ50" s="1">
        <v>100</v>
      </c>
      <c r="AR50" s="1">
        <v>100</v>
      </c>
      <c r="AS50" s="1">
        <v>100</v>
      </c>
      <c r="AT50" s="1">
        <v>102.88561209395115</v>
      </c>
      <c r="AU50" s="1">
        <v>100</v>
      </c>
      <c r="AV50" s="1">
        <v>100</v>
      </c>
      <c r="AW50" s="1">
        <v>100</v>
      </c>
      <c r="AX50" s="1">
        <v>100</v>
      </c>
      <c r="AY50" s="1">
        <v>100</v>
      </c>
      <c r="AZ50" s="1">
        <v>100</v>
      </c>
      <c r="BA50" s="1">
        <v>100</v>
      </c>
      <c r="BB50" s="1">
        <v>100</v>
      </c>
      <c r="BC50" s="1">
        <v>100</v>
      </c>
      <c r="BD50" s="1">
        <v>100</v>
      </c>
      <c r="BE50" s="1">
        <v>100</v>
      </c>
      <c r="BF50" s="1">
        <v>100</v>
      </c>
      <c r="BG50" s="1">
        <v>100</v>
      </c>
      <c r="BH50" s="1">
        <v>100</v>
      </c>
    </row>
    <row r="51" spans="1:60" x14ac:dyDescent="0.25">
      <c r="A51">
        <v>38</v>
      </c>
      <c r="B51" s="1">
        <v>99.450154775405551</v>
      </c>
      <c r="C51" s="1">
        <v>100</v>
      </c>
      <c r="D51" s="1">
        <v>100</v>
      </c>
      <c r="E51" s="1">
        <v>111.63387701727011</v>
      </c>
      <c r="F51" s="1">
        <v>100</v>
      </c>
      <c r="G51" s="1">
        <v>100</v>
      </c>
      <c r="H51" s="1">
        <v>100</v>
      </c>
      <c r="I51" s="1">
        <v>96.823764361680261</v>
      </c>
      <c r="J51" s="1">
        <v>100</v>
      </c>
      <c r="K51" s="1">
        <v>93.658286241603236</v>
      </c>
      <c r="L51" s="1">
        <v>100</v>
      </c>
      <c r="M51" s="1">
        <v>100</v>
      </c>
      <c r="N51" s="1">
        <v>100</v>
      </c>
      <c r="O51" s="1">
        <v>100</v>
      </c>
      <c r="P51" s="1">
        <v>96.240985373873585</v>
      </c>
      <c r="Q51" s="1">
        <v>100</v>
      </c>
      <c r="R51" s="1">
        <v>100</v>
      </c>
      <c r="S51" s="1">
        <v>100</v>
      </c>
      <c r="T51" s="1">
        <v>104.46445411027581</v>
      </c>
      <c r="U51" s="1">
        <v>100</v>
      </c>
      <c r="V51" s="1">
        <v>100</v>
      </c>
      <c r="W51" s="1">
        <v>100</v>
      </c>
      <c r="X51" s="1">
        <v>100</v>
      </c>
      <c r="Y51" s="1">
        <v>100</v>
      </c>
      <c r="Z51" s="1">
        <v>96.780340880393382</v>
      </c>
      <c r="AA51" s="1">
        <v>100</v>
      </c>
      <c r="AB51" s="1">
        <v>98.884521015793851</v>
      </c>
      <c r="AC51" s="1">
        <v>100.57277765612425</v>
      </c>
      <c r="AD51" s="1">
        <v>108.40264738959161</v>
      </c>
      <c r="AE51" s="1">
        <v>93.105319955924472</v>
      </c>
      <c r="AF51" s="1">
        <v>100.94957983664952</v>
      </c>
      <c r="AG51" s="1">
        <v>100</v>
      </c>
      <c r="AH51" s="1">
        <v>100</v>
      </c>
      <c r="AI51" s="1">
        <v>100</v>
      </c>
      <c r="AJ51" s="1">
        <v>100</v>
      </c>
      <c r="AK51" s="1">
        <v>95.805983933534151</v>
      </c>
      <c r="AL51" s="1">
        <v>100</v>
      </c>
      <c r="AM51" s="1">
        <v>100</v>
      </c>
      <c r="AN51" s="1">
        <v>100.19574376588798</v>
      </c>
      <c r="AO51" s="1">
        <v>100.2722011519122</v>
      </c>
      <c r="AP51" s="1">
        <v>100</v>
      </c>
      <c r="AQ51" s="1">
        <v>100</v>
      </c>
      <c r="AR51" s="1">
        <v>100</v>
      </c>
      <c r="AS51" s="1">
        <v>100</v>
      </c>
      <c r="AT51" s="1">
        <v>102.75936253408007</v>
      </c>
      <c r="AU51" s="1">
        <v>100</v>
      </c>
      <c r="AV51" s="1">
        <v>100</v>
      </c>
      <c r="AW51" s="1">
        <v>100</v>
      </c>
      <c r="AX51" s="1">
        <v>100</v>
      </c>
      <c r="AY51" s="1">
        <v>100</v>
      </c>
      <c r="AZ51" s="1">
        <v>100</v>
      </c>
      <c r="BA51" s="1">
        <v>100</v>
      </c>
      <c r="BB51" s="1">
        <v>100</v>
      </c>
      <c r="BC51" s="1">
        <v>100</v>
      </c>
      <c r="BD51" s="1">
        <v>100</v>
      </c>
      <c r="BE51" s="1">
        <v>100</v>
      </c>
      <c r="BF51" s="1">
        <v>100</v>
      </c>
      <c r="BG51" s="1">
        <v>100</v>
      </c>
      <c r="BH51" s="1">
        <v>100</v>
      </c>
    </row>
    <row r="52" spans="1:60" x14ac:dyDescent="0.25">
      <c r="A52">
        <v>39</v>
      </c>
      <c r="B52" s="1">
        <v>99.450154775405551</v>
      </c>
      <c r="C52" s="1">
        <v>100</v>
      </c>
      <c r="D52" s="1">
        <v>100</v>
      </c>
      <c r="E52" s="1">
        <v>112.60268112647471</v>
      </c>
      <c r="F52" s="1">
        <v>100</v>
      </c>
      <c r="G52" s="1">
        <v>100</v>
      </c>
      <c r="H52" s="1">
        <v>100</v>
      </c>
      <c r="I52" s="1">
        <v>96.823764361680261</v>
      </c>
      <c r="J52" s="1">
        <v>100</v>
      </c>
      <c r="K52" s="1">
        <v>94.813030398482027</v>
      </c>
      <c r="L52" s="1">
        <v>100</v>
      </c>
      <c r="M52" s="1">
        <v>100</v>
      </c>
      <c r="N52" s="1">
        <v>100</v>
      </c>
      <c r="O52" s="1">
        <v>100</v>
      </c>
      <c r="P52" s="1">
        <v>96.240985373873585</v>
      </c>
      <c r="Q52" s="1">
        <v>100</v>
      </c>
      <c r="R52" s="1">
        <v>100</v>
      </c>
      <c r="S52" s="1">
        <v>100</v>
      </c>
      <c r="T52" s="1">
        <v>103.38093875192857</v>
      </c>
      <c r="U52" s="1">
        <v>100</v>
      </c>
      <c r="V52" s="1">
        <v>100</v>
      </c>
      <c r="W52" s="1">
        <v>100</v>
      </c>
      <c r="X52" s="1">
        <v>100</v>
      </c>
      <c r="Y52" s="1">
        <v>100</v>
      </c>
      <c r="Z52" s="1">
        <v>96.780340880393382</v>
      </c>
      <c r="AA52" s="1">
        <v>100</v>
      </c>
      <c r="AB52" s="1">
        <v>98.884521015793851</v>
      </c>
      <c r="AC52" s="1">
        <v>100.57277765612425</v>
      </c>
      <c r="AD52" s="1">
        <v>108.40264738959161</v>
      </c>
      <c r="AE52" s="1">
        <v>93.105319955924472</v>
      </c>
      <c r="AF52" s="1">
        <v>100.94957983664952</v>
      </c>
      <c r="AG52" s="1">
        <v>100</v>
      </c>
      <c r="AH52" s="1">
        <v>100</v>
      </c>
      <c r="AI52" s="1">
        <v>100</v>
      </c>
      <c r="AJ52" s="1">
        <v>100</v>
      </c>
      <c r="AK52" s="1">
        <v>95.805983933534151</v>
      </c>
      <c r="AL52" s="1">
        <v>100</v>
      </c>
      <c r="AM52" s="1">
        <v>100</v>
      </c>
      <c r="AN52" s="1">
        <v>100.19574376588798</v>
      </c>
      <c r="AO52" s="1">
        <v>99.232168244176052</v>
      </c>
      <c r="AP52" s="1">
        <v>100</v>
      </c>
      <c r="AQ52" s="1">
        <v>100</v>
      </c>
      <c r="AR52" s="1">
        <v>100</v>
      </c>
      <c r="AS52" s="1">
        <v>100</v>
      </c>
      <c r="AT52" s="1">
        <v>102.75936253408007</v>
      </c>
      <c r="AU52" s="1">
        <v>100</v>
      </c>
      <c r="AV52" s="1">
        <v>100</v>
      </c>
      <c r="AW52" s="1">
        <v>100</v>
      </c>
      <c r="AX52" s="1">
        <v>100</v>
      </c>
      <c r="AY52" s="1">
        <v>100</v>
      </c>
      <c r="AZ52" s="1">
        <v>100</v>
      </c>
      <c r="BA52" s="1">
        <v>100</v>
      </c>
      <c r="BB52" s="1">
        <v>100</v>
      </c>
      <c r="BC52" s="1">
        <v>100</v>
      </c>
      <c r="BD52" s="1">
        <v>100</v>
      </c>
      <c r="BE52" s="1">
        <v>100</v>
      </c>
      <c r="BF52" s="1">
        <v>100</v>
      </c>
      <c r="BG52" s="1">
        <v>100</v>
      </c>
      <c r="BH52" s="1">
        <v>100</v>
      </c>
    </row>
    <row r="53" spans="1:60" x14ac:dyDescent="0.25">
      <c r="A53">
        <v>40</v>
      </c>
      <c r="B53" s="1">
        <v>99.450154775405551</v>
      </c>
      <c r="C53" s="1">
        <v>100</v>
      </c>
      <c r="D53" s="1">
        <v>100</v>
      </c>
      <c r="E53" s="1">
        <v>113.02748931424361</v>
      </c>
      <c r="F53" s="1">
        <v>100</v>
      </c>
      <c r="G53" s="1">
        <v>100</v>
      </c>
      <c r="H53" s="1">
        <v>100</v>
      </c>
      <c r="I53" s="1">
        <v>96.823764361680261</v>
      </c>
      <c r="J53" s="1">
        <v>100</v>
      </c>
      <c r="K53" s="1">
        <v>95.317544817082691</v>
      </c>
      <c r="L53" s="1">
        <v>100</v>
      </c>
      <c r="M53" s="1">
        <v>100</v>
      </c>
      <c r="N53" s="1">
        <v>100</v>
      </c>
      <c r="O53" s="1">
        <v>100</v>
      </c>
      <c r="P53" s="1">
        <v>96.240985373873585</v>
      </c>
      <c r="Q53" s="1">
        <v>100</v>
      </c>
      <c r="R53" s="1">
        <v>100</v>
      </c>
      <c r="S53" s="1">
        <v>100</v>
      </c>
      <c r="T53" s="1">
        <v>102.90676289591289</v>
      </c>
      <c r="U53" s="1">
        <v>100</v>
      </c>
      <c r="V53" s="1">
        <v>100</v>
      </c>
      <c r="W53" s="1">
        <v>100</v>
      </c>
      <c r="X53" s="1">
        <v>100</v>
      </c>
      <c r="Y53" s="1">
        <v>100</v>
      </c>
      <c r="Z53" s="1">
        <v>96.780340880393382</v>
      </c>
      <c r="AA53" s="1">
        <v>100</v>
      </c>
      <c r="AB53" s="1">
        <v>98.884521015793851</v>
      </c>
      <c r="AC53" s="1">
        <v>100.57277765612425</v>
      </c>
      <c r="AD53" s="1">
        <v>108.40264738959161</v>
      </c>
      <c r="AE53" s="1">
        <v>93.105319955924472</v>
      </c>
      <c r="AF53" s="1">
        <v>100.94957983664952</v>
      </c>
      <c r="AG53" s="1">
        <v>100</v>
      </c>
      <c r="AH53" s="1">
        <v>100</v>
      </c>
      <c r="AI53" s="1">
        <v>100</v>
      </c>
      <c r="AJ53" s="1">
        <v>100</v>
      </c>
      <c r="AK53" s="1">
        <v>95.805983933534151</v>
      </c>
      <c r="AL53" s="1">
        <v>100</v>
      </c>
      <c r="AM53" s="1">
        <v>100</v>
      </c>
      <c r="AN53" s="1">
        <v>100.19574376588798</v>
      </c>
      <c r="AO53" s="1">
        <v>98.777021493822176</v>
      </c>
      <c r="AP53" s="1">
        <v>100</v>
      </c>
      <c r="AQ53" s="1">
        <v>100</v>
      </c>
      <c r="AR53" s="1">
        <v>100</v>
      </c>
      <c r="AS53" s="1">
        <v>100</v>
      </c>
      <c r="AT53" s="1">
        <v>102.75936253408007</v>
      </c>
      <c r="AU53" s="1">
        <v>100</v>
      </c>
      <c r="AV53" s="1">
        <v>100</v>
      </c>
      <c r="AW53" s="1">
        <v>100</v>
      </c>
      <c r="AX53" s="1">
        <v>100</v>
      </c>
      <c r="AY53" s="1">
        <v>100</v>
      </c>
      <c r="AZ53" s="1">
        <v>100</v>
      </c>
      <c r="BA53" s="1">
        <v>100</v>
      </c>
      <c r="BB53" s="1">
        <v>100</v>
      </c>
      <c r="BC53" s="1">
        <v>100</v>
      </c>
      <c r="BD53" s="1">
        <v>100</v>
      </c>
      <c r="BE53" s="1">
        <v>100</v>
      </c>
      <c r="BF53" s="1">
        <v>100</v>
      </c>
      <c r="BG53" s="1">
        <v>100</v>
      </c>
      <c r="BH53" s="1">
        <v>100</v>
      </c>
    </row>
    <row r="54" spans="1:60" x14ac:dyDescent="0.25">
      <c r="A54">
        <v>41</v>
      </c>
      <c r="B54" s="1">
        <v>98.947141977289974</v>
      </c>
      <c r="C54" s="1">
        <v>100</v>
      </c>
      <c r="D54" s="1">
        <v>100</v>
      </c>
      <c r="E54" s="1">
        <v>113.02748931424361</v>
      </c>
      <c r="F54" s="1">
        <v>100</v>
      </c>
      <c r="G54" s="1">
        <v>100</v>
      </c>
      <c r="H54" s="1">
        <v>100</v>
      </c>
      <c r="I54" s="1">
        <v>96.823764361680261</v>
      </c>
      <c r="J54" s="1">
        <v>100</v>
      </c>
      <c r="K54" s="1">
        <v>94.83543450728753</v>
      </c>
      <c r="L54" s="1">
        <v>100</v>
      </c>
      <c r="M54" s="1">
        <v>100</v>
      </c>
      <c r="N54" s="1">
        <v>100</v>
      </c>
      <c r="O54" s="1">
        <v>100</v>
      </c>
      <c r="P54" s="1">
        <v>96.240985373873585</v>
      </c>
      <c r="Q54" s="1">
        <v>100</v>
      </c>
      <c r="R54" s="1">
        <v>100</v>
      </c>
      <c r="S54" s="1">
        <v>100</v>
      </c>
      <c r="T54" s="1">
        <v>102.90676289591289</v>
      </c>
      <c r="U54" s="1">
        <v>100</v>
      </c>
      <c r="V54" s="1">
        <v>100</v>
      </c>
      <c r="W54" s="1">
        <v>100</v>
      </c>
      <c r="X54" s="1">
        <v>100</v>
      </c>
      <c r="Y54" s="1">
        <v>100</v>
      </c>
      <c r="Z54" s="1">
        <v>96.780340880393382</v>
      </c>
      <c r="AA54" s="1">
        <v>100</v>
      </c>
      <c r="AB54" s="1">
        <v>99.380326778390781</v>
      </c>
      <c r="AC54" s="1">
        <v>100.57277765612425</v>
      </c>
      <c r="AD54" s="1">
        <v>108.40264738959161</v>
      </c>
      <c r="AE54" s="1">
        <v>93.105319955924472</v>
      </c>
      <c r="AF54" s="1">
        <v>100.94957983664952</v>
      </c>
      <c r="AG54" s="1">
        <v>100</v>
      </c>
      <c r="AH54" s="1">
        <v>100</v>
      </c>
      <c r="AI54" s="1">
        <v>100</v>
      </c>
      <c r="AJ54" s="1">
        <v>100</v>
      </c>
      <c r="AK54" s="1">
        <v>95.805983933534151</v>
      </c>
      <c r="AL54" s="1">
        <v>100</v>
      </c>
      <c r="AM54" s="1">
        <v>100</v>
      </c>
      <c r="AN54" s="1">
        <v>100.6850611112018</v>
      </c>
      <c r="AO54" s="1">
        <v>98.777021493822176</v>
      </c>
      <c r="AP54" s="1">
        <v>100</v>
      </c>
      <c r="AQ54" s="1">
        <v>100</v>
      </c>
      <c r="AR54" s="1">
        <v>100</v>
      </c>
      <c r="AS54" s="1">
        <v>100</v>
      </c>
      <c r="AT54" s="1">
        <v>102.75936253408007</v>
      </c>
      <c r="AU54" s="1">
        <v>100</v>
      </c>
      <c r="AV54" s="1">
        <v>100</v>
      </c>
      <c r="AW54" s="1">
        <v>100</v>
      </c>
      <c r="AX54" s="1">
        <v>100</v>
      </c>
      <c r="AY54" s="1">
        <v>100</v>
      </c>
      <c r="AZ54" s="1">
        <v>100</v>
      </c>
      <c r="BA54" s="1">
        <v>100</v>
      </c>
      <c r="BB54" s="1">
        <v>100</v>
      </c>
      <c r="BC54" s="1">
        <v>100</v>
      </c>
      <c r="BD54" s="1">
        <v>100</v>
      </c>
      <c r="BE54" s="1">
        <v>100</v>
      </c>
      <c r="BF54" s="1">
        <v>100</v>
      </c>
      <c r="BG54" s="1">
        <v>100</v>
      </c>
      <c r="BH54" s="1">
        <v>100</v>
      </c>
    </row>
    <row r="55" spans="1:60" x14ac:dyDescent="0.25">
      <c r="A55">
        <v>42</v>
      </c>
      <c r="B55" s="1">
        <v>98.827573242152624</v>
      </c>
      <c r="C55" s="1">
        <v>100</v>
      </c>
      <c r="D55" s="1">
        <v>100</v>
      </c>
      <c r="E55" s="1">
        <v>113.02748931424361</v>
      </c>
      <c r="F55" s="1">
        <v>100</v>
      </c>
      <c r="G55" s="1">
        <v>100</v>
      </c>
      <c r="H55" s="1">
        <v>100</v>
      </c>
      <c r="I55" s="1">
        <v>96.823764361680261</v>
      </c>
      <c r="J55" s="1">
        <v>100</v>
      </c>
      <c r="K55" s="1">
        <v>94.720834401376024</v>
      </c>
      <c r="L55" s="1">
        <v>100</v>
      </c>
      <c r="M55" s="1">
        <v>100</v>
      </c>
      <c r="N55" s="1">
        <v>100</v>
      </c>
      <c r="O55" s="1">
        <v>100</v>
      </c>
      <c r="P55" s="1">
        <v>96.240985373873585</v>
      </c>
      <c r="Q55" s="1">
        <v>100</v>
      </c>
      <c r="R55" s="1">
        <v>100</v>
      </c>
      <c r="S55" s="1">
        <v>100</v>
      </c>
      <c r="T55" s="1">
        <v>102.90676289591289</v>
      </c>
      <c r="U55" s="1">
        <v>100</v>
      </c>
      <c r="V55" s="1">
        <v>100</v>
      </c>
      <c r="W55" s="1">
        <v>100</v>
      </c>
      <c r="X55" s="1">
        <v>100</v>
      </c>
      <c r="Y55" s="1">
        <v>100</v>
      </c>
      <c r="Z55" s="1">
        <v>96.780340880393382</v>
      </c>
      <c r="AA55" s="1">
        <v>100</v>
      </c>
      <c r="AB55" s="1">
        <v>99.498174769590307</v>
      </c>
      <c r="AC55" s="1">
        <v>100.57277765612425</v>
      </c>
      <c r="AD55" s="1">
        <v>108.40264738959161</v>
      </c>
      <c r="AE55" s="1">
        <v>93.105319955924472</v>
      </c>
      <c r="AF55" s="1">
        <v>100.94957983664952</v>
      </c>
      <c r="AG55" s="1">
        <v>100</v>
      </c>
      <c r="AH55" s="1">
        <v>100</v>
      </c>
      <c r="AI55" s="1">
        <v>100</v>
      </c>
      <c r="AJ55" s="1">
        <v>100</v>
      </c>
      <c r="AK55" s="1">
        <v>95.805983933534151</v>
      </c>
      <c r="AL55" s="1">
        <v>100</v>
      </c>
      <c r="AM55" s="1">
        <v>100</v>
      </c>
      <c r="AN55" s="1">
        <v>100.80138196105113</v>
      </c>
      <c r="AO55" s="1">
        <v>98.777021493822176</v>
      </c>
      <c r="AP55" s="1">
        <v>100</v>
      </c>
      <c r="AQ55" s="1">
        <v>100</v>
      </c>
      <c r="AR55" s="1">
        <v>100</v>
      </c>
      <c r="AS55" s="1">
        <v>100</v>
      </c>
      <c r="AT55" s="1">
        <v>102.75936253408007</v>
      </c>
      <c r="AU55" s="1">
        <v>100</v>
      </c>
      <c r="AV55" s="1">
        <v>100</v>
      </c>
      <c r="AW55" s="1">
        <v>100</v>
      </c>
      <c r="AX55" s="1">
        <v>100</v>
      </c>
      <c r="AY55" s="1">
        <v>100</v>
      </c>
      <c r="AZ55" s="1">
        <v>100</v>
      </c>
      <c r="BA55" s="1">
        <v>100</v>
      </c>
      <c r="BB55" s="1">
        <v>100</v>
      </c>
      <c r="BC55" s="1">
        <v>100</v>
      </c>
      <c r="BD55" s="1">
        <v>100</v>
      </c>
      <c r="BE55" s="1">
        <v>100</v>
      </c>
      <c r="BF55" s="1">
        <v>100</v>
      </c>
      <c r="BG55" s="1">
        <v>100</v>
      </c>
      <c r="BH55" s="1">
        <v>100</v>
      </c>
    </row>
    <row r="56" spans="1:60" x14ac:dyDescent="0.25">
      <c r="A56">
        <v>43</v>
      </c>
      <c r="B56" s="1">
        <v>98.827573242152624</v>
      </c>
      <c r="C56" s="1">
        <v>100</v>
      </c>
      <c r="D56" s="1">
        <v>100</v>
      </c>
      <c r="E56" s="1">
        <v>113.02748931424361</v>
      </c>
      <c r="F56" s="1">
        <v>100</v>
      </c>
      <c r="G56" s="1">
        <v>100</v>
      </c>
      <c r="H56" s="1">
        <v>100</v>
      </c>
      <c r="I56" s="1">
        <v>98.329754222019233</v>
      </c>
      <c r="J56" s="1">
        <v>100</v>
      </c>
      <c r="K56" s="1">
        <v>94.720834401376024</v>
      </c>
      <c r="L56" s="1">
        <v>100</v>
      </c>
      <c r="M56" s="1">
        <v>100</v>
      </c>
      <c r="N56" s="1">
        <v>100</v>
      </c>
      <c r="O56" s="1">
        <v>100</v>
      </c>
      <c r="P56" s="1">
        <v>96.240985373873585</v>
      </c>
      <c r="Q56" s="1">
        <v>100</v>
      </c>
      <c r="R56" s="1">
        <v>98.486010811529795</v>
      </c>
      <c r="S56" s="1">
        <v>100</v>
      </c>
      <c r="T56" s="1">
        <v>102.90676289591289</v>
      </c>
      <c r="U56" s="1">
        <v>100</v>
      </c>
      <c r="V56" s="1">
        <v>100</v>
      </c>
      <c r="W56" s="1">
        <v>100</v>
      </c>
      <c r="X56" s="1">
        <v>100</v>
      </c>
      <c r="Y56" s="1">
        <v>100</v>
      </c>
      <c r="Z56" s="1">
        <v>96.780340880393382</v>
      </c>
      <c r="AA56" s="1">
        <v>98.486010811529795</v>
      </c>
      <c r="AB56" s="1">
        <v>99.498174769590307</v>
      </c>
      <c r="AC56" s="1">
        <v>100.57277765612425</v>
      </c>
      <c r="AD56" s="1">
        <v>108.40264738959161</v>
      </c>
      <c r="AE56" s="1">
        <v>93.105319955924472</v>
      </c>
      <c r="AF56" s="1">
        <v>100.94957983664952</v>
      </c>
      <c r="AG56" s="1">
        <v>100</v>
      </c>
      <c r="AH56" s="1">
        <v>100</v>
      </c>
      <c r="AI56" s="1">
        <v>100</v>
      </c>
      <c r="AJ56" s="1">
        <v>100</v>
      </c>
      <c r="AK56" s="1">
        <v>97.32797245013559</v>
      </c>
      <c r="AL56" s="1">
        <v>100</v>
      </c>
      <c r="AM56" s="1">
        <v>100</v>
      </c>
      <c r="AN56" s="1">
        <v>100.80138196105113</v>
      </c>
      <c r="AO56" s="1">
        <v>98.777021493822176</v>
      </c>
      <c r="AP56" s="1">
        <v>100</v>
      </c>
      <c r="AQ56" s="1">
        <v>100</v>
      </c>
      <c r="AR56" s="1">
        <v>100</v>
      </c>
      <c r="AS56" s="1">
        <v>100</v>
      </c>
      <c r="AT56" s="1">
        <v>102.75936253408007</v>
      </c>
      <c r="AU56" s="1">
        <v>100</v>
      </c>
      <c r="AV56" s="1">
        <v>100</v>
      </c>
      <c r="AW56" s="1">
        <v>100</v>
      </c>
      <c r="AX56" s="1">
        <v>100</v>
      </c>
      <c r="AY56" s="1">
        <v>100</v>
      </c>
      <c r="AZ56" s="1">
        <v>100</v>
      </c>
      <c r="BA56" s="1">
        <v>100</v>
      </c>
      <c r="BB56" s="1">
        <v>100</v>
      </c>
      <c r="BC56" s="1">
        <v>100</v>
      </c>
      <c r="BD56" s="1">
        <v>100</v>
      </c>
      <c r="BE56" s="1">
        <v>100</v>
      </c>
      <c r="BF56" s="1">
        <v>100</v>
      </c>
      <c r="BG56" s="1">
        <v>100</v>
      </c>
      <c r="BH56" s="1">
        <v>100</v>
      </c>
    </row>
    <row r="57" spans="1:60" x14ac:dyDescent="0.25">
      <c r="A57">
        <v>44</v>
      </c>
      <c r="B57" s="1">
        <v>98.827573242152624</v>
      </c>
      <c r="C57" s="1">
        <v>100</v>
      </c>
      <c r="D57" s="1">
        <v>100</v>
      </c>
      <c r="E57" s="1">
        <v>113.02748931424361</v>
      </c>
      <c r="F57" s="1">
        <v>100</v>
      </c>
      <c r="G57" s="1">
        <v>100</v>
      </c>
      <c r="H57" s="1">
        <v>100</v>
      </c>
      <c r="I57" s="1">
        <v>98.276366074373215</v>
      </c>
      <c r="J57" s="1">
        <v>100</v>
      </c>
      <c r="K57" s="1">
        <v>94.720834401376024</v>
      </c>
      <c r="L57" s="1">
        <v>100</v>
      </c>
      <c r="M57" s="1">
        <v>100</v>
      </c>
      <c r="N57" s="1">
        <v>100</v>
      </c>
      <c r="O57" s="1">
        <v>100</v>
      </c>
      <c r="P57" s="1">
        <v>96.240985373873585</v>
      </c>
      <c r="Q57" s="1">
        <v>100</v>
      </c>
      <c r="R57" s="1">
        <v>98.539127000430625</v>
      </c>
      <c r="S57" s="1">
        <v>100</v>
      </c>
      <c r="T57" s="1">
        <v>102.90676289591289</v>
      </c>
      <c r="U57" s="1">
        <v>100</v>
      </c>
      <c r="V57" s="1">
        <v>100</v>
      </c>
      <c r="W57" s="1">
        <v>100</v>
      </c>
      <c r="X57" s="1">
        <v>100</v>
      </c>
      <c r="Y57" s="1">
        <v>100</v>
      </c>
      <c r="Z57" s="1">
        <v>96.780340880393382</v>
      </c>
      <c r="AA57" s="1">
        <v>98.539127000430625</v>
      </c>
      <c r="AB57" s="1">
        <v>99.498174769590307</v>
      </c>
      <c r="AC57" s="1">
        <v>100.57277765612425</v>
      </c>
      <c r="AD57" s="1">
        <v>108.40264738959161</v>
      </c>
      <c r="AE57" s="1">
        <v>93.105319955924472</v>
      </c>
      <c r="AF57" s="1">
        <v>100.94957983664952</v>
      </c>
      <c r="AG57" s="1">
        <v>100</v>
      </c>
      <c r="AH57" s="1">
        <v>100</v>
      </c>
      <c r="AI57" s="1">
        <v>100</v>
      </c>
      <c r="AJ57" s="1">
        <v>100</v>
      </c>
      <c r="AK57" s="1">
        <v>97.275128219979948</v>
      </c>
      <c r="AL57" s="1">
        <v>100</v>
      </c>
      <c r="AM57" s="1">
        <v>100</v>
      </c>
      <c r="AN57" s="1">
        <v>100.80138196105113</v>
      </c>
      <c r="AO57" s="1">
        <v>98.777021493822176</v>
      </c>
      <c r="AP57" s="1">
        <v>100</v>
      </c>
      <c r="AQ57" s="1">
        <v>100</v>
      </c>
      <c r="AR57" s="1">
        <v>100</v>
      </c>
      <c r="AS57" s="1">
        <v>100</v>
      </c>
      <c r="AT57" s="1">
        <v>102.75936253408007</v>
      </c>
      <c r="AU57" s="1">
        <v>100</v>
      </c>
      <c r="AV57" s="1">
        <v>100</v>
      </c>
      <c r="AW57" s="1">
        <v>100</v>
      </c>
      <c r="AX57" s="1">
        <v>100</v>
      </c>
      <c r="AY57" s="1">
        <v>100</v>
      </c>
      <c r="AZ57" s="1">
        <v>100</v>
      </c>
      <c r="BA57" s="1">
        <v>100</v>
      </c>
      <c r="BB57" s="1">
        <v>100</v>
      </c>
      <c r="BC57" s="1">
        <v>100</v>
      </c>
      <c r="BD57" s="1">
        <v>100</v>
      </c>
      <c r="BE57" s="1">
        <v>100</v>
      </c>
      <c r="BF57" s="1">
        <v>100</v>
      </c>
      <c r="BG57" s="1">
        <v>100</v>
      </c>
      <c r="BH57" s="1">
        <v>100</v>
      </c>
    </row>
    <row r="58" spans="1:60" x14ac:dyDescent="0.25">
      <c r="A58">
        <v>45</v>
      </c>
      <c r="B58" s="1">
        <v>98.827573242152624</v>
      </c>
      <c r="C58" s="1">
        <v>100</v>
      </c>
      <c r="D58" s="1">
        <v>100</v>
      </c>
      <c r="E58" s="1">
        <v>113.02748931424361</v>
      </c>
      <c r="F58" s="1">
        <v>100</v>
      </c>
      <c r="G58" s="1">
        <v>100</v>
      </c>
      <c r="H58" s="1">
        <v>100</v>
      </c>
      <c r="I58" s="1">
        <v>98.276366074373215</v>
      </c>
      <c r="J58" s="1">
        <v>100</v>
      </c>
      <c r="K58" s="1">
        <v>94.720834401376024</v>
      </c>
      <c r="L58" s="1">
        <v>100</v>
      </c>
      <c r="M58" s="1">
        <v>100</v>
      </c>
      <c r="N58" s="1">
        <v>100</v>
      </c>
      <c r="O58" s="1">
        <v>100</v>
      </c>
      <c r="P58" s="1">
        <v>95.332283196681928</v>
      </c>
      <c r="Q58" s="1">
        <v>100</v>
      </c>
      <c r="R58" s="1">
        <v>98.539127000430625</v>
      </c>
      <c r="S58" s="1">
        <v>100</v>
      </c>
      <c r="T58" s="1">
        <v>103.82700116073384</v>
      </c>
      <c r="U58" s="1">
        <v>100</v>
      </c>
      <c r="V58" s="1">
        <v>100</v>
      </c>
      <c r="W58" s="1">
        <v>100</v>
      </c>
      <c r="X58" s="1">
        <v>100</v>
      </c>
      <c r="Y58" s="1">
        <v>100</v>
      </c>
      <c r="Z58" s="1">
        <v>96.780340880393382</v>
      </c>
      <c r="AA58" s="1">
        <v>98.539127000430625</v>
      </c>
      <c r="AB58" s="1">
        <v>99.498174769590307</v>
      </c>
      <c r="AC58" s="1">
        <v>100.57277765612425</v>
      </c>
      <c r="AD58" s="1">
        <v>108.40264738959161</v>
      </c>
      <c r="AE58" s="1">
        <v>93.105319955924472</v>
      </c>
      <c r="AF58" s="1">
        <v>100.94957983664952</v>
      </c>
      <c r="AG58" s="1">
        <v>100</v>
      </c>
      <c r="AH58" s="1">
        <v>100</v>
      </c>
      <c r="AI58" s="1">
        <v>100</v>
      </c>
      <c r="AJ58" s="1">
        <v>100</v>
      </c>
      <c r="AK58" s="1">
        <v>97.275128219979948</v>
      </c>
      <c r="AL58" s="1">
        <v>100</v>
      </c>
      <c r="AM58" s="1">
        <v>100</v>
      </c>
      <c r="AN58" s="1">
        <v>100.80138196105113</v>
      </c>
      <c r="AO58" s="1">
        <v>99.735733747882179</v>
      </c>
      <c r="AP58" s="1">
        <v>100</v>
      </c>
      <c r="AQ58" s="1">
        <v>100</v>
      </c>
      <c r="AR58" s="1">
        <v>100</v>
      </c>
      <c r="AS58" s="1">
        <v>100</v>
      </c>
      <c r="AT58" s="1">
        <v>101.78911419239077</v>
      </c>
      <c r="AU58" s="1">
        <v>100</v>
      </c>
      <c r="AV58" s="1">
        <v>100</v>
      </c>
      <c r="AW58" s="1">
        <v>100</v>
      </c>
      <c r="AX58" s="1">
        <v>100</v>
      </c>
      <c r="AY58" s="1">
        <v>100</v>
      </c>
      <c r="AZ58" s="1">
        <v>100</v>
      </c>
      <c r="BA58" s="1">
        <v>100</v>
      </c>
      <c r="BB58" s="1">
        <v>100</v>
      </c>
      <c r="BC58" s="1">
        <v>100</v>
      </c>
      <c r="BD58" s="1">
        <v>100</v>
      </c>
      <c r="BE58" s="1">
        <v>100</v>
      </c>
      <c r="BF58" s="1">
        <v>100</v>
      </c>
      <c r="BG58" s="1">
        <v>100</v>
      </c>
      <c r="BH58" s="1">
        <v>100</v>
      </c>
    </row>
    <row r="59" spans="1:60" x14ac:dyDescent="0.25">
      <c r="A59">
        <v>46</v>
      </c>
      <c r="B59" s="1">
        <v>98.827573242152624</v>
      </c>
      <c r="C59" s="1">
        <v>100</v>
      </c>
      <c r="D59" s="1">
        <v>100</v>
      </c>
      <c r="E59" s="1">
        <v>113.02748931424361</v>
      </c>
      <c r="F59" s="1">
        <v>100</v>
      </c>
      <c r="G59" s="1">
        <v>100</v>
      </c>
      <c r="H59" s="1">
        <v>100</v>
      </c>
      <c r="I59" s="1">
        <v>98.276366074373215</v>
      </c>
      <c r="J59" s="1">
        <v>100</v>
      </c>
      <c r="K59" s="1">
        <v>94.720834401376024</v>
      </c>
      <c r="L59" s="1">
        <v>100</v>
      </c>
      <c r="M59" s="1">
        <v>100</v>
      </c>
      <c r="N59" s="1">
        <v>100</v>
      </c>
      <c r="O59" s="1">
        <v>100</v>
      </c>
      <c r="P59" s="1">
        <v>95.845405756634605</v>
      </c>
      <c r="Q59" s="1">
        <v>100</v>
      </c>
      <c r="R59" s="1">
        <v>98.539127000430625</v>
      </c>
      <c r="S59" s="1">
        <v>100</v>
      </c>
      <c r="T59" s="1">
        <v>103.32016735230809</v>
      </c>
      <c r="U59" s="1">
        <v>100</v>
      </c>
      <c r="V59" s="1">
        <v>100</v>
      </c>
      <c r="W59" s="1">
        <v>100</v>
      </c>
      <c r="X59" s="1">
        <v>100</v>
      </c>
      <c r="Y59" s="1">
        <v>100</v>
      </c>
      <c r="Z59" s="1">
        <v>96.780340880393382</v>
      </c>
      <c r="AA59" s="1">
        <v>98.539127000430625</v>
      </c>
      <c r="AB59" s="1">
        <v>99.498174769590307</v>
      </c>
      <c r="AC59" s="1">
        <v>100.57277765612425</v>
      </c>
      <c r="AD59" s="1">
        <v>108.40264738959161</v>
      </c>
      <c r="AE59" s="1">
        <v>93.105319955924472</v>
      </c>
      <c r="AF59" s="1">
        <v>100.94957983664952</v>
      </c>
      <c r="AG59" s="1">
        <v>100</v>
      </c>
      <c r="AH59" s="1">
        <v>100</v>
      </c>
      <c r="AI59" s="1">
        <v>100</v>
      </c>
      <c r="AJ59" s="1">
        <v>100</v>
      </c>
      <c r="AK59" s="1">
        <v>97.275128219979948</v>
      </c>
      <c r="AL59" s="1">
        <v>100</v>
      </c>
      <c r="AM59" s="1">
        <v>100</v>
      </c>
      <c r="AN59" s="1">
        <v>100.80138196105113</v>
      </c>
      <c r="AO59" s="1">
        <v>99.248871552052009</v>
      </c>
      <c r="AP59" s="1">
        <v>100</v>
      </c>
      <c r="AQ59" s="1">
        <v>100</v>
      </c>
      <c r="AR59" s="1">
        <v>100</v>
      </c>
      <c r="AS59" s="1">
        <v>100</v>
      </c>
      <c r="AT59" s="1">
        <v>102.26968763669403</v>
      </c>
      <c r="AU59" s="1">
        <v>100</v>
      </c>
      <c r="AV59" s="1">
        <v>100</v>
      </c>
      <c r="AW59" s="1">
        <v>100</v>
      </c>
      <c r="AX59" s="1">
        <v>100</v>
      </c>
      <c r="AY59" s="1">
        <v>100</v>
      </c>
      <c r="AZ59" s="1">
        <v>100</v>
      </c>
      <c r="BA59" s="1">
        <v>100</v>
      </c>
      <c r="BB59" s="1">
        <v>100</v>
      </c>
      <c r="BC59" s="1">
        <v>100</v>
      </c>
      <c r="BD59" s="1">
        <v>100</v>
      </c>
      <c r="BE59" s="1">
        <v>100</v>
      </c>
      <c r="BF59" s="1">
        <v>100</v>
      </c>
      <c r="BG59" s="1">
        <v>100</v>
      </c>
      <c r="BH59" s="1">
        <v>100</v>
      </c>
    </row>
    <row r="60" spans="1:60" x14ac:dyDescent="0.25">
      <c r="A60">
        <v>47</v>
      </c>
      <c r="B60" s="1">
        <v>98.827573242152624</v>
      </c>
      <c r="C60" s="1">
        <v>100</v>
      </c>
      <c r="D60" s="1">
        <v>100</v>
      </c>
      <c r="E60" s="1">
        <v>113.70007015073267</v>
      </c>
      <c r="F60" s="1">
        <v>100</v>
      </c>
      <c r="G60" s="1">
        <v>100</v>
      </c>
      <c r="H60" s="1">
        <v>100</v>
      </c>
      <c r="I60" s="1">
        <v>98.276366074373215</v>
      </c>
      <c r="J60" s="1">
        <v>100</v>
      </c>
      <c r="K60" s="1">
        <v>95.523404646767872</v>
      </c>
      <c r="L60" s="1">
        <v>100</v>
      </c>
      <c r="M60" s="1">
        <v>100</v>
      </c>
      <c r="N60" s="1">
        <v>100</v>
      </c>
      <c r="O60" s="1">
        <v>100</v>
      </c>
      <c r="P60" s="1">
        <v>95.845405756634605</v>
      </c>
      <c r="Q60" s="1">
        <v>100</v>
      </c>
      <c r="R60" s="1">
        <v>98.539127000430625</v>
      </c>
      <c r="S60" s="1">
        <v>100</v>
      </c>
      <c r="T60" s="1">
        <v>103.32016735230809</v>
      </c>
      <c r="U60" s="1">
        <v>100</v>
      </c>
      <c r="V60" s="1">
        <v>100</v>
      </c>
      <c r="W60" s="1">
        <v>100</v>
      </c>
      <c r="X60" s="1">
        <v>100</v>
      </c>
      <c r="Y60" s="1">
        <v>100</v>
      </c>
      <c r="Z60" s="1">
        <v>96.780340880393382</v>
      </c>
      <c r="AA60" s="1">
        <v>98.539127000430625</v>
      </c>
      <c r="AB60" s="1">
        <v>99.498174769590307</v>
      </c>
      <c r="AC60" s="1">
        <v>100.57277765612425</v>
      </c>
      <c r="AD60" s="1">
        <v>108.40264738959161</v>
      </c>
      <c r="AE60" s="1">
        <v>93.105319955924472</v>
      </c>
      <c r="AF60" s="1">
        <v>100.94957983664952</v>
      </c>
      <c r="AG60" s="1">
        <v>100</v>
      </c>
      <c r="AH60" s="1">
        <v>100</v>
      </c>
      <c r="AI60" s="1">
        <v>100</v>
      </c>
      <c r="AJ60" s="1">
        <v>100</v>
      </c>
      <c r="AK60" s="1">
        <v>97.275128219979948</v>
      </c>
      <c r="AL60" s="1">
        <v>100</v>
      </c>
      <c r="AM60" s="1">
        <v>100</v>
      </c>
      <c r="AN60" s="1">
        <v>100.80138196105113</v>
      </c>
      <c r="AO60" s="1">
        <v>98.522352462024472</v>
      </c>
      <c r="AP60" s="1">
        <v>100</v>
      </c>
      <c r="AQ60" s="1">
        <v>100</v>
      </c>
      <c r="AR60" s="1">
        <v>100</v>
      </c>
      <c r="AS60" s="1">
        <v>100</v>
      </c>
      <c r="AT60" s="1">
        <v>101.52105564484066</v>
      </c>
      <c r="AU60" s="1">
        <v>100</v>
      </c>
      <c r="AV60" s="1">
        <v>100</v>
      </c>
      <c r="AW60" s="1">
        <v>100</v>
      </c>
      <c r="AX60" s="1">
        <v>100</v>
      </c>
      <c r="AY60" s="1">
        <v>100</v>
      </c>
      <c r="AZ60" s="1">
        <v>100</v>
      </c>
      <c r="BA60" s="1">
        <v>100</v>
      </c>
      <c r="BB60" s="1">
        <v>100</v>
      </c>
      <c r="BC60" s="1">
        <v>100</v>
      </c>
      <c r="BD60" s="1">
        <v>100</v>
      </c>
      <c r="BE60" s="1">
        <v>100</v>
      </c>
      <c r="BF60" s="1">
        <v>100</v>
      </c>
      <c r="BG60" s="1">
        <v>100</v>
      </c>
      <c r="BH60" s="1">
        <v>100</v>
      </c>
    </row>
    <row r="61" spans="1:60" x14ac:dyDescent="0.25">
      <c r="A61">
        <v>48</v>
      </c>
      <c r="B61" s="1">
        <v>98.827573242152624</v>
      </c>
      <c r="C61" s="1">
        <v>100</v>
      </c>
      <c r="D61" s="1">
        <v>100</v>
      </c>
      <c r="E61" s="1">
        <v>114.22332191857586</v>
      </c>
      <c r="F61" s="1">
        <v>100</v>
      </c>
      <c r="G61" s="1">
        <v>100</v>
      </c>
      <c r="H61" s="1">
        <v>100</v>
      </c>
      <c r="I61" s="1">
        <v>98.276366074373215</v>
      </c>
      <c r="J61" s="1">
        <v>100</v>
      </c>
      <c r="K61" s="1">
        <v>96.146223346857809</v>
      </c>
      <c r="L61" s="1">
        <v>100</v>
      </c>
      <c r="M61" s="1">
        <v>100</v>
      </c>
      <c r="N61" s="1">
        <v>100</v>
      </c>
      <c r="O61" s="1">
        <v>100</v>
      </c>
      <c r="P61" s="1">
        <v>95.845405756634605</v>
      </c>
      <c r="Q61" s="1">
        <v>100</v>
      </c>
      <c r="R61" s="1">
        <v>98.539127000430625</v>
      </c>
      <c r="S61" s="1">
        <v>100</v>
      </c>
      <c r="T61" s="1">
        <v>103.32016735230809</v>
      </c>
      <c r="U61" s="1">
        <v>100</v>
      </c>
      <c r="V61" s="1">
        <v>100</v>
      </c>
      <c r="W61" s="1">
        <v>100</v>
      </c>
      <c r="X61" s="1">
        <v>100</v>
      </c>
      <c r="Y61" s="1">
        <v>100</v>
      </c>
      <c r="Z61" s="1">
        <v>96.780340880393382</v>
      </c>
      <c r="AA61" s="1">
        <v>98.539127000430625</v>
      </c>
      <c r="AB61" s="1">
        <v>99.498174769590307</v>
      </c>
      <c r="AC61" s="1">
        <v>100.57277765612425</v>
      </c>
      <c r="AD61" s="1">
        <v>108.40264738959161</v>
      </c>
      <c r="AE61" s="1">
        <v>93.105319955924472</v>
      </c>
      <c r="AF61" s="1">
        <v>100.94957983664952</v>
      </c>
      <c r="AG61" s="1">
        <v>100</v>
      </c>
      <c r="AH61" s="1">
        <v>100</v>
      </c>
      <c r="AI61" s="1">
        <v>100</v>
      </c>
      <c r="AJ61" s="1">
        <v>100</v>
      </c>
      <c r="AK61" s="1">
        <v>97.275128219979948</v>
      </c>
      <c r="AL61" s="1">
        <v>100</v>
      </c>
      <c r="AM61" s="1">
        <v>100</v>
      </c>
      <c r="AN61" s="1">
        <v>100.80138196105113</v>
      </c>
      <c r="AO61" s="1">
        <v>97.957907176590695</v>
      </c>
      <c r="AP61" s="1">
        <v>100</v>
      </c>
      <c r="AQ61" s="1">
        <v>100</v>
      </c>
      <c r="AR61" s="1">
        <v>100</v>
      </c>
      <c r="AS61" s="1">
        <v>100</v>
      </c>
      <c r="AT61" s="1">
        <v>100.93943046234131</v>
      </c>
      <c r="AU61" s="1">
        <v>100</v>
      </c>
      <c r="AV61" s="1">
        <v>100</v>
      </c>
      <c r="AW61" s="1">
        <v>100</v>
      </c>
      <c r="AX61" s="1">
        <v>100</v>
      </c>
      <c r="AY61" s="1">
        <v>100</v>
      </c>
      <c r="AZ61" s="1">
        <v>100</v>
      </c>
      <c r="BA61" s="1">
        <v>100</v>
      </c>
      <c r="BB61" s="1">
        <v>100</v>
      </c>
      <c r="BC61" s="1">
        <v>100</v>
      </c>
      <c r="BD61" s="1">
        <v>100</v>
      </c>
      <c r="BE61" s="1">
        <v>100</v>
      </c>
      <c r="BF61" s="1">
        <v>100</v>
      </c>
      <c r="BG61" s="1">
        <v>100</v>
      </c>
      <c r="BH61" s="1">
        <v>100</v>
      </c>
    </row>
    <row r="62" spans="1:60" x14ac:dyDescent="0.25">
      <c r="A62">
        <v>49</v>
      </c>
      <c r="B62" s="1">
        <v>98.827573242152624</v>
      </c>
      <c r="C62" s="1">
        <v>100</v>
      </c>
      <c r="D62" s="1">
        <v>100</v>
      </c>
      <c r="E62" s="1">
        <v>112.99900921864611</v>
      </c>
      <c r="F62" s="1">
        <v>100</v>
      </c>
      <c r="G62" s="1">
        <v>100</v>
      </c>
      <c r="H62" s="1">
        <v>100</v>
      </c>
      <c r="I62" s="1">
        <v>97.222982220123455</v>
      </c>
      <c r="J62" s="1">
        <v>100</v>
      </c>
      <c r="K62" s="1">
        <v>97.311990049074211</v>
      </c>
      <c r="L62" s="1">
        <v>100</v>
      </c>
      <c r="M62" s="1">
        <v>100</v>
      </c>
      <c r="N62" s="1">
        <v>100</v>
      </c>
      <c r="O62" s="1">
        <v>100</v>
      </c>
      <c r="P62" s="1">
        <v>95.845405756634605</v>
      </c>
      <c r="Q62" s="1">
        <v>100</v>
      </c>
      <c r="R62" s="1">
        <v>98.539127000430625</v>
      </c>
      <c r="S62" s="1">
        <v>100</v>
      </c>
      <c r="T62" s="1">
        <v>103.32016735230809</v>
      </c>
      <c r="U62" s="1">
        <v>100</v>
      </c>
      <c r="V62" s="1">
        <v>100</v>
      </c>
      <c r="W62" s="1">
        <v>100</v>
      </c>
      <c r="X62" s="1">
        <v>100</v>
      </c>
      <c r="Y62" s="1">
        <v>100</v>
      </c>
      <c r="Z62" s="1">
        <v>96.780340880393382</v>
      </c>
      <c r="AA62" s="1">
        <v>98.539127000430625</v>
      </c>
      <c r="AB62" s="1">
        <v>99.498174769590307</v>
      </c>
      <c r="AC62" s="1">
        <v>100.57277765612425</v>
      </c>
      <c r="AD62" s="1">
        <v>108.40264738959161</v>
      </c>
      <c r="AE62" s="1">
        <v>93.105319955924472</v>
      </c>
      <c r="AF62" s="1">
        <v>100.94957983664952</v>
      </c>
      <c r="AG62" s="1">
        <v>100</v>
      </c>
      <c r="AH62" s="1">
        <v>100</v>
      </c>
      <c r="AI62" s="1">
        <v>100</v>
      </c>
      <c r="AJ62" s="1">
        <v>100</v>
      </c>
      <c r="AK62" s="1">
        <v>97.275128219979948</v>
      </c>
      <c r="AL62" s="1">
        <v>100</v>
      </c>
      <c r="AM62" s="1">
        <v>100</v>
      </c>
      <c r="AN62" s="1">
        <v>101.91331181301425</v>
      </c>
      <c r="AO62" s="1">
        <v>97.957907176590695</v>
      </c>
      <c r="AP62" s="1">
        <v>100</v>
      </c>
      <c r="AQ62" s="1">
        <v>100</v>
      </c>
      <c r="AR62" s="1">
        <v>100</v>
      </c>
      <c r="AS62" s="1">
        <v>100</v>
      </c>
      <c r="AT62" s="1">
        <v>100.93943046234131</v>
      </c>
      <c r="AU62" s="1">
        <v>100</v>
      </c>
      <c r="AV62" s="1">
        <v>100</v>
      </c>
      <c r="AW62" s="1">
        <v>100</v>
      </c>
      <c r="AX62" s="1">
        <v>100</v>
      </c>
      <c r="AY62" s="1">
        <v>100</v>
      </c>
      <c r="AZ62" s="1">
        <v>100</v>
      </c>
      <c r="BA62" s="1">
        <v>100</v>
      </c>
      <c r="BB62" s="1">
        <v>100</v>
      </c>
      <c r="BC62" s="1">
        <v>100</v>
      </c>
      <c r="BD62" s="1">
        <v>100</v>
      </c>
      <c r="BE62" s="1">
        <v>100</v>
      </c>
      <c r="BF62" s="1">
        <v>100</v>
      </c>
      <c r="BG62" s="1">
        <v>100</v>
      </c>
      <c r="BH62" s="1">
        <v>100</v>
      </c>
    </row>
    <row r="63" spans="1:60" x14ac:dyDescent="0.25">
      <c r="A63">
        <v>50</v>
      </c>
      <c r="B63" s="1">
        <v>98.827573242152624</v>
      </c>
      <c r="C63" s="1">
        <v>100</v>
      </c>
      <c r="D63" s="1">
        <v>100</v>
      </c>
      <c r="E63" s="1">
        <v>111.8206743812125</v>
      </c>
      <c r="F63" s="1">
        <v>100</v>
      </c>
      <c r="G63" s="1">
        <v>100</v>
      </c>
      <c r="H63" s="1">
        <v>100</v>
      </c>
      <c r="I63" s="1">
        <v>96.209157163237421</v>
      </c>
      <c r="J63" s="1">
        <v>100</v>
      </c>
      <c r="K63" s="1">
        <v>98.433385136774646</v>
      </c>
      <c r="L63" s="1">
        <v>100</v>
      </c>
      <c r="M63" s="1">
        <v>100</v>
      </c>
      <c r="N63" s="1">
        <v>100</v>
      </c>
      <c r="O63" s="1">
        <v>100</v>
      </c>
      <c r="P63" s="1">
        <v>95.845405756634605</v>
      </c>
      <c r="Q63" s="1">
        <v>100</v>
      </c>
      <c r="R63" s="1">
        <v>98.539127000430625</v>
      </c>
      <c r="S63" s="1">
        <v>100</v>
      </c>
      <c r="T63" s="1">
        <v>103.32016735230809</v>
      </c>
      <c r="U63" s="1">
        <v>100</v>
      </c>
      <c r="V63" s="1">
        <v>100</v>
      </c>
      <c r="W63" s="1">
        <v>100</v>
      </c>
      <c r="X63" s="1">
        <v>100</v>
      </c>
      <c r="Y63" s="1">
        <v>100</v>
      </c>
      <c r="Z63" s="1">
        <v>96.780340880393382</v>
      </c>
      <c r="AA63" s="1">
        <v>98.539127000430625</v>
      </c>
      <c r="AB63" s="1">
        <v>99.498174769590307</v>
      </c>
      <c r="AC63" s="1">
        <v>100.57277765612425</v>
      </c>
      <c r="AD63" s="1">
        <v>108.40264738959161</v>
      </c>
      <c r="AE63" s="1">
        <v>93.105319955924472</v>
      </c>
      <c r="AF63" s="1">
        <v>100.94957983664952</v>
      </c>
      <c r="AG63" s="1">
        <v>100</v>
      </c>
      <c r="AH63" s="1">
        <v>100</v>
      </c>
      <c r="AI63" s="1">
        <v>100</v>
      </c>
      <c r="AJ63" s="1">
        <v>100</v>
      </c>
      <c r="AK63" s="1">
        <v>97.275128219979948</v>
      </c>
      <c r="AL63" s="1">
        <v>100</v>
      </c>
      <c r="AM63" s="1">
        <v>100</v>
      </c>
      <c r="AN63" s="1">
        <v>102.98407661963346</v>
      </c>
      <c r="AO63" s="1">
        <v>97.957907176590695</v>
      </c>
      <c r="AP63" s="1">
        <v>100</v>
      </c>
      <c r="AQ63" s="1">
        <v>100</v>
      </c>
      <c r="AR63" s="1">
        <v>100</v>
      </c>
      <c r="AS63" s="1">
        <v>100</v>
      </c>
      <c r="AT63" s="1">
        <v>100.93943046234131</v>
      </c>
      <c r="AU63" s="1">
        <v>100</v>
      </c>
      <c r="AV63" s="1">
        <v>100</v>
      </c>
      <c r="AW63" s="1">
        <v>100</v>
      </c>
      <c r="AX63" s="1">
        <v>100</v>
      </c>
      <c r="AY63" s="1">
        <v>100</v>
      </c>
      <c r="AZ63" s="1">
        <v>100</v>
      </c>
      <c r="BA63" s="1">
        <v>100</v>
      </c>
      <c r="BB63" s="1">
        <v>100</v>
      </c>
      <c r="BC63" s="1">
        <v>100</v>
      </c>
      <c r="BD63" s="1">
        <v>100</v>
      </c>
      <c r="BE63" s="1">
        <v>100</v>
      </c>
      <c r="BF63" s="1">
        <v>100</v>
      </c>
      <c r="BG63" s="1">
        <v>100</v>
      </c>
      <c r="BH63" s="1">
        <v>100</v>
      </c>
    </row>
    <row r="64" spans="1:60" x14ac:dyDescent="0.25">
      <c r="A64">
        <v>51</v>
      </c>
      <c r="B64" s="1">
        <v>98.827573242152624</v>
      </c>
      <c r="C64" s="1">
        <v>100</v>
      </c>
      <c r="D64" s="1">
        <v>100</v>
      </c>
      <c r="E64" s="1">
        <v>111.8206743812125</v>
      </c>
      <c r="F64" s="1">
        <v>100</v>
      </c>
      <c r="G64" s="1">
        <v>100</v>
      </c>
      <c r="H64" s="1">
        <v>100</v>
      </c>
      <c r="I64" s="1">
        <v>96.159419332621695</v>
      </c>
      <c r="J64" s="1">
        <v>100</v>
      </c>
      <c r="K64" s="1">
        <v>98.484836209191243</v>
      </c>
      <c r="L64" s="1">
        <v>100</v>
      </c>
      <c r="M64" s="1">
        <v>100</v>
      </c>
      <c r="N64" s="1">
        <v>100</v>
      </c>
      <c r="O64" s="1">
        <v>100</v>
      </c>
      <c r="P64" s="1">
        <v>95.845405756634605</v>
      </c>
      <c r="Q64" s="1">
        <v>100</v>
      </c>
      <c r="R64" s="1">
        <v>98.539127000430625</v>
      </c>
      <c r="S64" s="1">
        <v>100</v>
      </c>
      <c r="T64" s="1">
        <v>103.26675329969106</v>
      </c>
      <c r="U64" s="1">
        <v>100</v>
      </c>
      <c r="V64" s="1">
        <v>100</v>
      </c>
      <c r="W64" s="1">
        <v>100</v>
      </c>
      <c r="X64" s="1">
        <v>100</v>
      </c>
      <c r="Y64" s="1">
        <v>100</v>
      </c>
      <c r="Z64" s="1">
        <v>96.780340880393382</v>
      </c>
      <c r="AA64" s="1">
        <v>98.539127000430625</v>
      </c>
      <c r="AB64" s="1">
        <v>99.498174769590307</v>
      </c>
      <c r="AC64" s="1">
        <v>100.57277765612425</v>
      </c>
      <c r="AD64" s="1">
        <v>108.40264738959161</v>
      </c>
      <c r="AE64" s="1">
        <v>93.105319955924472</v>
      </c>
      <c r="AF64" s="1">
        <v>100.94957983664952</v>
      </c>
      <c r="AG64" s="1">
        <v>100</v>
      </c>
      <c r="AH64" s="1">
        <v>100</v>
      </c>
      <c r="AI64" s="1">
        <v>100</v>
      </c>
      <c r="AJ64" s="1">
        <v>100</v>
      </c>
      <c r="AK64" s="1">
        <v>97.275128219979948</v>
      </c>
      <c r="AL64" s="1">
        <v>100</v>
      </c>
      <c r="AM64" s="1">
        <v>100</v>
      </c>
      <c r="AN64" s="1">
        <v>102.98407661963346</v>
      </c>
      <c r="AO64" s="1">
        <v>98.009607987406852</v>
      </c>
      <c r="AP64" s="1">
        <v>100</v>
      </c>
      <c r="AQ64" s="1">
        <v>100</v>
      </c>
      <c r="AR64" s="1">
        <v>100</v>
      </c>
      <c r="AS64" s="1">
        <v>100</v>
      </c>
      <c r="AT64" s="1">
        <v>100.93943046234131</v>
      </c>
      <c r="AU64" s="1">
        <v>100</v>
      </c>
      <c r="AV64" s="1">
        <v>100</v>
      </c>
      <c r="AW64" s="1">
        <v>100</v>
      </c>
      <c r="AX64" s="1">
        <v>100</v>
      </c>
      <c r="AY64" s="1">
        <v>100</v>
      </c>
      <c r="AZ64" s="1">
        <v>100</v>
      </c>
      <c r="BA64" s="1">
        <v>100</v>
      </c>
      <c r="BB64" s="1">
        <v>100</v>
      </c>
      <c r="BC64" s="1">
        <v>100</v>
      </c>
      <c r="BD64" s="1">
        <v>100</v>
      </c>
      <c r="BE64" s="1">
        <v>100</v>
      </c>
      <c r="BF64" s="1">
        <v>100</v>
      </c>
      <c r="BG64" s="1">
        <v>100</v>
      </c>
      <c r="BH64" s="1">
        <v>100</v>
      </c>
    </row>
    <row r="65" spans="1:60" x14ac:dyDescent="0.25">
      <c r="A65">
        <v>52</v>
      </c>
      <c r="B65" s="1">
        <v>98.827573242152624</v>
      </c>
      <c r="C65" s="1">
        <v>100</v>
      </c>
      <c r="D65" s="1">
        <v>100</v>
      </c>
      <c r="E65" s="1">
        <v>111.8206743812125</v>
      </c>
      <c r="F65" s="1">
        <v>100</v>
      </c>
      <c r="G65" s="1">
        <v>100</v>
      </c>
      <c r="H65" s="1">
        <v>100</v>
      </c>
      <c r="I65" s="1">
        <v>95.872755317382499</v>
      </c>
      <c r="J65" s="1">
        <v>100</v>
      </c>
      <c r="K65" s="1">
        <v>98.78137525014246</v>
      </c>
      <c r="L65" s="1">
        <v>100</v>
      </c>
      <c r="M65" s="1">
        <v>100</v>
      </c>
      <c r="N65" s="1">
        <v>100</v>
      </c>
      <c r="O65" s="1">
        <v>100</v>
      </c>
      <c r="P65" s="1">
        <v>95.845405756634605</v>
      </c>
      <c r="Q65" s="1">
        <v>100</v>
      </c>
      <c r="R65" s="1">
        <v>98.539127000430625</v>
      </c>
      <c r="S65" s="1">
        <v>100</v>
      </c>
      <c r="T65" s="1">
        <v>102.95890137684192</v>
      </c>
      <c r="U65" s="1">
        <v>100</v>
      </c>
      <c r="V65" s="1">
        <v>100</v>
      </c>
      <c r="W65" s="1">
        <v>100</v>
      </c>
      <c r="X65" s="1">
        <v>100</v>
      </c>
      <c r="Y65" s="1">
        <v>100</v>
      </c>
      <c r="Z65" s="1">
        <v>96.780340880393382</v>
      </c>
      <c r="AA65" s="1">
        <v>98.539127000430625</v>
      </c>
      <c r="AB65" s="1">
        <v>99.498174769590307</v>
      </c>
      <c r="AC65" s="1">
        <v>100.57277765612425</v>
      </c>
      <c r="AD65" s="1">
        <v>108.40264738959161</v>
      </c>
      <c r="AE65" s="1">
        <v>93.105319955924472</v>
      </c>
      <c r="AF65" s="1">
        <v>100.94957983664952</v>
      </c>
      <c r="AG65" s="1">
        <v>100</v>
      </c>
      <c r="AH65" s="1">
        <v>100</v>
      </c>
      <c r="AI65" s="1">
        <v>100</v>
      </c>
      <c r="AJ65" s="1">
        <v>100</v>
      </c>
      <c r="AK65" s="1">
        <v>97.275128219979948</v>
      </c>
      <c r="AL65" s="1">
        <v>100</v>
      </c>
      <c r="AM65" s="1">
        <v>100</v>
      </c>
      <c r="AN65" s="1">
        <v>102.98407661963346</v>
      </c>
      <c r="AO65" s="1">
        <v>98.307584884543957</v>
      </c>
      <c r="AP65" s="1">
        <v>100</v>
      </c>
      <c r="AQ65" s="1">
        <v>100</v>
      </c>
      <c r="AR65" s="1">
        <v>100</v>
      </c>
      <c r="AS65" s="1">
        <v>100</v>
      </c>
      <c r="AT65" s="1">
        <v>100.93943046234131</v>
      </c>
      <c r="AU65" s="1">
        <v>100</v>
      </c>
      <c r="AV65" s="1">
        <v>100</v>
      </c>
      <c r="AW65" s="1">
        <v>100</v>
      </c>
      <c r="AX65" s="1">
        <v>100</v>
      </c>
      <c r="AY65" s="1">
        <v>100</v>
      </c>
      <c r="AZ65" s="1">
        <v>100</v>
      </c>
      <c r="BA65" s="1">
        <v>100</v>
      </c>
      <c r="BB65" s="1">
        <v>100</v>
      </c>
      <c r="BC65" s="1">
        <v>100</v>
      </c>
      <c r="BD65" s="1">
        <v>100</v>
      </c>
      <c r="BE65" s="1">
        <v>100</v>
      </c>
      <c r="BF65" s="1">
        <v>100</v>
      </c>
      <c r="BG65" s="1">
        <v>100</v>
      </c>
      <c r="BH65" s="1">
        <v>100</v>
      </c>
    </row>
    <row r="66" spans="1:60" x14ac:dyDescent="0.25">
      <c r="A66">
        <v>53</v>
      </c>
      <c r="B66" s="1">
        <v>95.653745604276224</v>
      </c>
      <c r="C66" s="1">
        <v>100</v>
      </c>
      <c r="D66" s="1">
        <v>100</v>
      </c>
      <c r="E66" s="1">
        <v>114.89512777368913</v>
      </c>
      <c r="F66" s="1">
        <v>100</v>
      </c>
      <c r="G66" s="1">
        <v>100</v>
      </c>
      <c r="H66" s="1">
        <v>100</v>
      </c>
      <c r="I66" s="1">
        <v>95.872755317382499</v>
      </c>
      <c r="J66" s="1">
        <v>100</v>
      </c>
      <c r="K66" s="1">
        <v>98.78137525014246</v>
      </c>
      <c r="L66" s="1">
        <v>100</v>
      </c>
      <c r="M66" s="1">
        <v>100</v>
      </c>
      <c r="N66" s="1">
        <v>100</v>
      </c>
      <c r="O66" s="1">
        <v>100</v>
      </c>
      <c r="P66" s="1">
        <v>95.845405756634605</v>
      </c>
      <c r="Q66" s="1">
        <v>100</v>
      </c>
      <c r="R66" s="1">
        <v>98.539127000430625</v>
      </c>
      <c r="S66" s="1">
        <v>100</v>
      </c>
      <c r="T66" s="1">
        <v>99.6523969668375</v>
      </c>
      <c r="U66" s="1">
        <v>100</v>
      </c>
      <c r="V66" s="1">
        <v>100</v>
      </c>
      <c r="W66" s="1">
        <v>100</v>
      </c>
      <c r="X66" s="1">
        <v>100</v>
      </c>
      <c r="Y66" s="1">
        <v>100</v>
      </c>
      <c r="Z66" s="1">
        <v>96.780340880393382</v>
      </c>
      <c r="AA66" s="1">
        <v>98.539127000430625</v>
      </c>
      <c r="AB66" s="1">
        <v>99.498174769590307</v>
      </c>
      <c r="AC66" s="1">
        <v>100.57277765612425</v>
      </c>
      <c r="AD66" s="1">
        <v>108.40264738959161</v>
      </c>
      <c r="AE66" s="1">
        <v>93.105319955924472</v>
      </c>
      <c r="AF66" s="1">
        <v>100.94957983664952</v>
      </c>
      <c r="AG66" s="1">
        <v>100</v>
      </c>
      <c r="AH66" s="1">
        <v>100</v>
      </c>
      <c r="AI66" s="1">
        <v>100</v>
      </c>
      <c r="AJ66" s="1">
        <v>100</v>
      </c>
      <c r="AK66" s="1">
        <v>97.275128219979948</v>
      </c>
      <c r="AL66" s="1">
        <v>100</v>
      </c>
      <c r="AM66" s="1">
        <v>100</v>
      </c>
      <c r="AN66" s="1">
        <v>102.98407661963346</v>
      </c>
      <c r="AO66" s="1">
        <v>98.307584884543957</v>
      </c>
      <c r="AP66" s="1">
        <v>100</v>
      </c>
      <c r="AQ66" s="1">
        <v>100</v>
      </c>
      <c r="AR66" s="1">
        <v>100</v>
      </c>
      <c r="AS66" s="1">
        <v>100</v>
      </c>
      <c r="AT66" s="1">
        <v>104.3453091177455</v>
      </c>
      <c r="AU66" s="1">
        <v>100</v>
      </c>
      <c r="AV66" s="1">
        <v>100</v>
      </c>
      <c r="AW66" s="1">
        <v>100</v>
      </c>
      <c r="AX66" s="1">
        <v>100</v>
      </c>
      <c r="AY66" s="1">
        <v>100</v>
      </c>
      <c r="AZ66" s="1">
        <v>100</v>
      </c>
      <c r="BA66" s="1">
        <v>100</v>
      </c>
      <c r="BB66" s="1">
        <v>100</v>
      </c>
      <c r="BC66" s="1">
        <v>100</v>
      </c>
      <c r="BD66" s="1">
        <v>100</v>
      </c>
      <c r="BE66" s="1">
        <v>100</v>
      </c>
      <c r="BF66" s="1">
        <v>100</v>
      </c>
      <c r="BG66" s="1">
        <v>100</v>
      </c>
      <c r="BH66" s="1">
        <v>100</v>
      </c>
    </row>
    <row r="67" spans="1:60" x14ac:dyDescent="0.25">
      <c r="A67">
        <v>54</v>
      </c>
      <c r="B67" s="1">
        <v>96.647048727289175</v>
      </c>
      <c r="C67" s="1">
        <v>100</v>
      </c>
      <c r="D67" s="1">
        <v>100</v>
      </c>
      <c r="E67" s="1">
        <v>113.87491464576128</v>
      </c>
      <c r="F67" s="1">
        <v>100</v>
      </c>
      <c r="G67" s="1">
        <v>100</v>
      </c>
      <c r="H67" s="1">
        <v>100</v>
      </c>
      <c r="I67" s="1">
        <v>95.872755317382499</v>
      </c>
      <c r="J67" s="1">
        <v>100</v>
      </c>
      <c r="K67" s="1">
        <v>98.78137525014246</v>
      </c>
      <c r="L67" s="1">
        <v>100</v>
      </c>
      <c r="M67" s="1">
        <v>100</v>
      </c>
      <c r="N67" s="1">
        <v>100</v>
      </c>
      <c r="O67" s="1">
        <v>100</v>
      </c>
      <c r="P67" s="1">
        <v>95.845405756634605</v>
      </c>
      <c r="Q67" s="1">
        <v>100</v>
      </c>
      <c r="R67" s="1">
        <v>98.539127000430625</v>
      </c>
      <c r="S67" s="1">
        <v>100</v>
      </c>
      <c r="T67" s="1">
        <v>100.60584281589452</v>
      </c>
      <c r="U67" s="1">
        <v>100</v>
      </c>
      <c r="V67" s="1">
        <v>100</v>
      </c>
      <c r="W67" s="1">
        <v>100</v>
      </c>
      <c r="X67" s="1">
        <v>100</v>
      </c>
      <c r="Y67" s="1">
        <v>100</v>
      </c>
      <c r="Z67" s="1">
        <v>96.780340880393382</v>
      </c>
      <c r="AA67" s="1">
        <v>98.539127000430625</v>
      </c>
      <c r="AB67" s="1">
        <v>99.498174769590307</v>
      </c>
      <c r="AC67" s="1">
        <v>100.57277765612425</v>
      </c>
      <c r="AD67" s="1">
        <v>108.40264738959161</v>
      </c>
      <c r="AE67" s="1">
        <v>93.105319955924472</v>
      </c>
      <c r="AF67" s="1">
        <v>100.94957983664952</v>
      </c>
      <c r="AG67" s="1">
        <v>100</v>
      </c>
      <c r="AH67" s="1">
        <v>100</v>
      </c>
      <c r="AI67" s="1">
        <v>100</v>
      </c>
      <c r="AJ67" s="1">
        <v>100</v>
      </c>
      <c r="AK67" s="1">
        <v>97.275128219979948</v>
      </c>
      <c r="AL67" s="1">
        <v>100</v>
      </c>
      <c r="AM67" s="1">
        <v>100</v>
      </c>
      <c r="AN67" s="1">
        <v>102.98407661963346</v>
      </c>
      <c r="AO67" s="1">
        <v>98.307584884543957</v>
      </c>
      <c r="AP67" s="1">
        <v>100</v>
      </c>
      <c r="AQ67" s="1">
        <v>100</v>
      </c>
      <c r="AR67" s="1">
        <v>100</v>
      </c>
      <c r="AS67" s="1">
        <v>100</v>
      </c>
      <c r="AT67" s="1">
        <v>103.41877327360338</v>
      </c>
      <c r="AU67" s="1">
        <v>100</v>
      </c>
      <c r="AV67" s="1">
        <v>100</v>
      </c>
      <c r="AW67" s="1">
        <v>100</v>
      </c>
      <c r="AX67" s="1">
        <v>100</v>
      </c>
      <c r="AY67" s="1">
        <v>100</v>
      </c>
      <c r="AZ67" s="1">
        <v>100</v>
      </c>
      <c r="BA67" s="1">
        <v>100</v>
      </c>
      <c r="BB67" s="1">
        <v>100</v>
      </c>
      <c r="BC67" s="1">
        <v>100</v>
      </c>
      <c r="BD67" s="1">
        <v>100</v>
      </c>
      <c r="BE67" s="1">
        <v>100</v>
      </c>
      <c r="BF67" s="1">
        <v>100</v>
      </c>
      <c r="BG67" s="1">
        <v>100</v>
      </c>
      <c r="BH67" s="1">
        <v>100</v>
      </c>
    </row>
    <row r="68" spans="1:60" x14ac:dyDescent="0.25">
      <c r="A68">
        <v>55</v>
      </c>
      <c r="B68" s="1">
        <v>96.647048727289175</v>
      </c>
      <c r="C68" s="1">
        <v>100</v>
      </c>
      <c r="D68" s="1">
        <v>100</v>
      </c>
      <c r="E68" s="1">
        <v>113.87491464576128</v>
      </c>
      <c r="F68" s="1">
        <v>100</v>
      </c>
      <c r="G68" s="1">
        <v>100</v>
      </c>
      <c r="H68" s="1">
        <v>100</v>
      </c>
      <c r="I68" s="1">
        <v>94.674830243085708</v>
      </c>
      <c r="J68" s="1">
        <v>100</v>
      </c>
      <c r="K68" s="1">
        <v>98.78137525014246</v>
      </c>
      <c r="L68" s="1">
        <v>100</v>
      </c>
      <c r="M68" s="1">
        <v>100</v>
      </c>
      <c r="N68" s="1">
        <v>100</v>
      </c>
      <c r="O68" s="1">
        <v>100</v>
      </c>
      <c r="P68" s="1">
        <v>97.088467325217067</v>
      </c>
      <c r="Q68" s="1">
        <v>100</v>
      </c>
      <c r="R68" s="1">
        <v>98.539127000430625</v>
      </c>
      <c r="S68" s="1">
        <v>100</v>
      </c>
      <c r="T68" s="1">
        <v>99.348778060313535</v>
      </c>
      <c r="U68" s="1">
        <v>100</v>
      </c>
      <c r="V68" s="1">
        <v>100</v>
      </c>
      <c r="W68" s="1">
        <v>100</v>
      </c>
      <c r="X68" s="1">
        <v>100</v>
      </c>
      <c r="Y68" s="1">
        <v>100</v>
      </c>
      <c r="Z68" s="1">
        <v>96.780340880393382</v>
      </c>
      <c r="AA68" s="1">
        <v>98.539127000430625</v>
      </c>
      <c r="AB68" s="1">
        <v>99.498174769590307</v>
      </c>
      <c r="AC68" s="1">
        <v>100.57277765612425</v>
      </c>
      <c r="AD68" s="1">
        <v>108.40264738959161</v>
      </c>
      <c r="AE68" s="1">
        <v>93.105319955924472</v>
      </c>
      <c r="AF68" s="1">
        <v>100.94957983664952</v>
      </c>
      <c r="AG68" s="1">
        <v>100</v>
      </c>
      <c r="AH68" s="1">
        <v>100</v>
      </c>
      <c r="AI68" s="1">
        <v>100</v>
      </c>
      <c r="AJ68" s="1">
        <v>100</v>
      </c>
      <c r="AK68" s="1">
        <v>97.275128219979948</v>
      </c>
      <c r="AL68" s="1">
        <v>100</v>
      </c>
      <c r="AM68" s="1">
        <v>100</v>
      </c>
      <c r="AN68" s="1">
        <v>102.98407661963346</v>
      </c>
      <c r="AO68" s="1">
        <v>99.519513145839255</v>
      </c>
      <c r="AP68" s="1">
        <v>100</v>
      </c>
      <c r="AQ68" s="1">
        <v>100</v>
      </c>
      <c r="AR68" s="1">
        <v>100</v>
      </c>
      <c r="AS68" s="1">
        <v>100</v>
      </c>
      <c r="AT68" s="1">
        <v>103.41877327360338</v>
      </c>
      <c r="AU68" s="1">
        <v>100</v>
      </c>
      <c r="AV68" s="1">
        <v>100</v>
      </c>
      <c r="AW68" s="1">
        <v>100</v>
      </c>
      <c r="AX68" s="1">
        <v>100</v>
      </c>
      <c r="AY68" s="1">
        <v>100</v>
      </c>
      <c r="AZ68" s="1">
        <v>100</v>
      </c>
      <c r="BA68" s="1">
        <v>100</v>
      </c>
      <c r="BB68" s="1">
        <v>100</v>
      </c>
      <c r="BC68" s="1">
        <v>100</v>
      </c>
      <c r="BD68" s="1">
        <v>100</v>
      </c>
      <c r="BE68" s="1">
        <v>100</v>
      </c>
      <c r="BF68" s="1">
        <v>100</v>
      </c>
      <c r="BG68" s="1">
        <v>100</v>
      </c>
      <c r="BH68" s="1">
        <v>100</v>
      </c>
    </row>
    <row r="69" spans="1:60" x14ac:dyDescent="0.25">
      <c r="A69">
        <v>56</v>
      </c>
      <c r="B69" s="1">
        <v>96.647048727289175</v>
      </c>
      <c r="C69" s="1">
        <v>100</v>
      </c>
      <c r="D69" s="1">
        <v>100</v>
      </c>
      <c r="E69" s="1">
        <v>113.87491464576128</v>
      </c>
      <c r="F69" s="1">
        <v>100</v>
      </c>
      <c r="G69" s="1">
        <v>100</v>
      </c>
      <c r="H69" s="1">
        <v>100</v>
      </c>
      <c r="I69" s="1">
        <v>95.947100835964889</v>
      </c>
      <c r="J69" s="1">
        <v>100</v>
      </c>
      <c r="K69" s="1">
        <v>98.78137525014246</v>
      </c>
      <c r="L69" s="1">
        <v>100</v>
      </c>
      <c r="M69" s="1">
        <v>100</v>
      </c>
      <c r="N69" s="1">
        <v>100</v>
      </c>
      <c r="O69" s="1">
        <v>100</v>
      </c>
      <c r="P69" s="1">
        <v>95.861485755846545</v>
      </c>
      <c r="Q69" s="1">
        <v>100</v>
      </c>
      <c r="R69" s="1">
        <v>98.539127000430625</v>
      </c>
      <c r="S69" s="1">
        <v>100</v>
      </c>
      <c r="T69" s="1">
        <v>100.56119360035149</v>
      </c>
      <c r="U69" s="1">
        <v>100</v>
      </c>
      <c r="V69" s="1">
        <v>100</v>
      </c>
      <c r="W69" s="1">
        <v>100</v>
      </c>
      <c r="X69" s="1">
        <v>100</v>
      </c>
      <c r="Y69" s="1">
        <v>100</v>
      </c>
      <c r="Z69" s="1">
        <v>96.780340880393382</v>
      </c>
      <c r="AA69" s="1">
        <v>98.539127000430625</v>
      </c>
      <c r="AB69" s="1">
        <v>99.498174769590307</v>
      </c>
      <c r="AC69" s="1">
        <v>100.57277765612425</v>
      </c>
      <c r="AD69" s="1">
        <v>108.40264738959161</v>
      </c>
      <c r="AE69" s="1">
        <v>93.105319955924472</v>
      </c>
      <c r="AF69" s="1">
        <v>100.94957983664952</v>
      </c>
      <c r="AG69" s="1">
        <v>100</v>
      </c>
      <c r="AH69" s="1">
        <v>100</v>
      </c>
      <c r="AI69" s="1">
        <v>100</v>
      </c>
      <c r="AJ69" s="1">
        <v>100</v>
      </c>
      <c r="AK69" s="1">
        <v>97.275128219979948</v>
      </c>
      <c r="AL69" s="1">
        <v>100</v>
      </c>
      <c r="AM69" s="1">
        <v>100</v>
      </c>
      <c r="AN69" s="1">
        <v>102.98407661963346</v>
      </c>
      <c r="AO69" s="1">
        <v>98.261808582292645</v>
      </c>
      <c r="AP69" s="1">
        <v>100</v>
      </c>
      <c r="AQ69" s="1">
        <v>100</v>
      </c>
      <c r="AR69" s="1">
        <v>100</v>
      </c>
      <c r="AS69" s="1">
        <v>100</v>
      </c>
      <c r="AT69" s="1">
        <v>103.41877327360338</v>
      </c>
      <c r="AU69" s="1">
        <v>100</v>
      </c>
      <c r="AV69" s="1">
        <v>100</v>
      </c>
      <c r="AW69" s="1">
        <v>100</v>
      </c>
      <c r="AX69" s="1">
        <v>100</v>
      </c>
      <c r="AY69" s="1">
        <v>100</v>
      </c>
      <c r="AZ69" s="1">
        <v>100</v>
      </c>
      <c r="BA69" s="1">
        <v>100</v>
      </c>
      <c r="BB69" s="1">
        <v>100</v>
      </c>
      <c r="BC69" s="1">
        <v>100</v>
      </c>
      <c r="BD69" s="1">
        <v>100</v>
      </c>
      <c r="BE69" s="1">
        <v>100</v>
      </c>
      <c r="BF69" s="1">
        <v>100</v>
      </c>
      <c r="BG69" s="1">
        <v>100</v>
      </c>
      <c r="BH69" s="1">
        <v>100</v>
      </c>
    </row>
    <row r="70" spans="1:60" x14ac:dyDescent="0.25">
      <c r="A70">
        <v>57</v>
      </c>
      <c r="B70" s="1">
        <v>96.647048727289175</v>
      </c>
      <c r="C70" s="1">
        <v>100</v>
      </c>
      <c r="D70" s="1">
        <v>100</v>
      </c>
      <c r="E70" s="1">
        <v>113.87491464576128</v>
      </c>
      <c r="F70" s="1">
        <v>100</v>
      </c>
      <c r="G70" s="1">
        <v>100</v>
      </c>
      <c r="H70" s="1">
        <v>100</v>
      </c>
      <c r="I70" s="1">
        <v>95.947100835964889</v>
      </c>
      <c r="J70" s="1">
        <v>100</v>
      </c>
      <c r="K70" s="1">
        <v>98.78137525014246</v>
      </c>
      <c r="L70" s="1">
        <v>100</v>
      </c>
      <c r="M70" s="1">
        <v>100</v>
      </c>
      <c r="N70" s="1">
        <v>100</v>
      </c>
      <c r="O70" s="1">
        <v>100</v>
      </c>
      <c r="P70" s="1">
        <v>95.861485755846545</v>
      </c>
      <c r="Q70" s="1">
        <v>100</v>
      </c>
      <c r="R70" s="1">
        <v>98.539127000430625</v>
      </c>
      <c r="S70" s="1">
        <v>100</v>
      </c>
      <c r="T70" s="1">
        <v>100.51638530805529</v>
      </c>
      <c r="U70" s="1">
        <v>100</v>
      </c>
      <c r="V70" s="1">
        <v>100</v>
      </c>
      <c r="W70" s="1">
        <v>100</v>
      </c>
      <c r="X70" s="1">
        <v>100</v>
      </c>
      <c r="Y70" s="1">
        <v>100</v>
      </c>
      <c r="Z70" s="1">
        <v>96.780340880393382</v>
      </c>
      <c r="AA70" s="1">
        <v>98.539127000430625</v>
      </c>
      <c r="AB70" s="1">
        <v>99.498174769590307</v>
      </c>
      <c r="AC70" s="1">
        <v>100.57277765612425</v>
      </c>
      <c r="AD70" s="1">
        <v>108.40264738959161</v>
      </c>
      <c r="AE70" s="1">
        <v>93.105319955924472</v>
      </c>
      <c r="AF70" s="1">
        <v>100.94957983664952</v>
      </c>
      <c r="AG70" s="1">
        <v>100</v>
      </c>
      <c r="AH70" s="1">
        <v>100</v>
      </c>
      <c r="AI70" s="1">
        <v>100</v>
      </c>
      <c r="AJ70" s="1">
        <v>100</v>
      </c>
      <c r="AK70" s="1">
        <v>97.275128219979948</v>
      </c>
      <c r="AL70" s="1">
        <v>100</v>
      </c>
      <c r="AM70" s="1">
        <v>100</v>
      </c>
      <c r="AN70" s="1">
        <v>103.02846591927299</v>
      </c>
      <c r="AO70" s="1">
        <v>98.218024855361108</v>
      </c>
      <c r="AP70" s="1">
        <v>100</v>
      </c>
      <c r="AQ70" s="1">
        <v>100</v>
      </c>
      <c r="AR70" s="1">
        <v>100</v>
      </c>
      <c r="AS70" s="1">
        <v>100</v>
      </c>
      <c r="AT70" s="1">
        <v>103.46297599319158</v>
      </c>
      <c r="AU70" s="1">
        <v>100</v>
      </c>
      <c r="AV70" s="1">
        <v>100</v>
      </c>
      <c r="AW70" s="1">
        <v>100</v>
      </c>
      <c r="AX70" s="1">
        <v>100</v>
      </c>
      <c r="AY70" s="1">
        <v>100</v>
      </c>
      <c r="AZ70" s="1">
        <v>100</v>
      </c>
      <c r="BA70" s="1">
        <v>100</v>
      </c>
      <c r="BB70" s="1">
        <v>100</v>
      </c>
      <c r="BC70" s="1">
        <v>100</v>
      </c>
      <c r="BD70" s="1">
        <v>100</v>
      </c>
      <c r="BE70" s="1">
        <v>100</v>
      </c>
      <c r="BF70" s="1">
        <v>100</v>
      </c>
      <c r="BG70" s="1">
        <v>100</v>
      </c>
      <c r="BH70" s="1">
        <v>100</v>
      </c>
    </row>
    <row r="71" spans="1:60" x14ac:dyDescent="0.25">
      <c r="A71">
        <v>58</v>
      </c>
      <c r="B71" s="1">
        <v>96.647048727289175</v>
      </c>
      <c r="C71" s="1">
        <v>100</v>
      </c>
      <c r="D71" s="1">
        <v>100</v>
      </c>
      <c r="E71" s="1">
        <v>113.87491464576128</v>
      </c>
      <c r="F71" s="1">
        <v>100</v>
      </c>
      <c r="G71" s="1">
        <v>100</v>
      </c>
      <c r="H71" s="1">
        <v>100</v>
      </c>
      <c r="I71" s="1">
        <v>95.947100835964889</v>
      </c>
      <c r="J71" s="1">
        <v>100</v>
      </c>
      <c r="K71" s="1">
        <v>98.78137525014246</v>
      </c>
      <c r="L71" s="1">
        <v>100</v>
      </c>
      <c r="M71" s="1">
        <v>100</v>
      </c>
      <c r="N71" s="1">
        <v>100</v>
      </c>
      <c r="O71" s="1">
        <v>100</v>
      </c>
      <c r="P71" s="1">
        <v>95.861485755846545</v>
      </c>
      <c r="Q71" s="1">
        <v>100</v>
      </c>
      <c r="R71" s="1">
        <v>98.539127000430625</v>
      </c>
      <c r="S71" s="1">
        <v>100</v>
      </c>
      <c r="T71" s="1">
        <v>101.22987922302579</v>
      </c>
      <c r="U71" s="1">
        <v>100</v>
      </c>
      <c r="V71" s="1">
        <v>100</v>
      </c>
      <c r="W71" s="1">
        <v>100</v>
      </c>
      <c r="X71" s="1">
        <v>100</v>
      </c>
      <c r="Y71" s="1">
        <v>100</v>
      </c>
      <c r="Z71" s="1">
        <v>96.780340880393382</v>
      </c>
      <c r="AA71" s="1">
        <v>98.539127000430625</v>
      </c>
      <c r="AB71" s="1">
        <v>99.498174769590307</v>
      </c>
      <c r="AC71" s="1">
        <v>100.57277765612425</v>
      </c>
      <c r="AD71" s="1">
        <v>108.40264738959161</v>
      </c>
      <c r="AE71" s="1">
        <v>93.105319955924472</v>
      </c>
      <c r="AF71" s="1">
        <v>100.94957983664952</v>
      </c>
      <c r="AG71" s="1">
        <v>100</v>
      </c>
      <c r="AH71" s="1">
        <v>100</v>
      </c>
      <c r="AI71" s="1">
        <v>100</v>
      </c>
      <c r="AJ71" s="1">
        <v>100</v>
      </c>
      <c r="AK71" s="1">
        <v>97.275128219979948</v>
      </c>
      <c r="AL71" s="1">
        <v>100</v>
      </c>
      <c r="AM71" s="1">
        <v>100</v>
      </c>
      <c r="AN71" s="1">
        <v>102.30814285003406</v>
      </c>
      <c r="AO71" s="1">
        <v>98.948214954151439</v>
      </c>
      <c r="AP71" s="1">
        <v>100</v>
      </c>
      <c r="AQ71" s="1">
        <v>100</v>
      </c>
      <c r="AR71" s="1">
        <v>100</v>
      </c>
      <c r="AS71" s="1">
        <v>100</v>
      </c>
      <c r="AT71" s="1">
        <v>102.73961504866966</v>
      </c>
      <c r="AU71" s="1">
        <v>100</v>
      </c>
      <c r="AV71" s="1">
        <v>100</v>
      </c>
      <c r="AW71" s="1">
        <v>100</v>
      </c>
      <c r="AX71" s="1">
        <v>100</v>
      </c>
      <c r="AY71" s="1">
        <v>100</v>
      </c>
      <c r="AZ71" s="1">
        <v>100</v>
      </c>
      <c r="BA71" s="1">
        <v>100</v>
      </c>
      <c r="BB71" s="1">
        <v>100</v>
      </c>
      <c r="BC71" s="1">
        <v>100</v>
      </c>
      <c r="BD71" s="1">
        <v>100</v>
      </c>
      <c r="BE71" s="1">
        <v>100</v>
      </c>
      <c r="BF71" s="1">
        <v>100</v>
      </c>
      <c r="BG71" s="1">
        <v>100</v>
      </c>
      <c r="BH71" s="1">
        <v>100</v>
      </c>
    </row>
    <row r="72" spans="1:60" x14ac:dyDescent="0.25">
      <c r="A72">
        <v>59</v>
      </c>
      <c r="B72" s="1">
        <v>96.647048727289175</v>
      </c>
      <c r="C72" s="1">
        <v>100</v>
      </c>
      <c r="D72" s="1">
        <v>100</v>
      </c>
      <c r="E72" s="1">
        <v>112.7282426122611</v>
      </c>
      <c r="F72" s="1">
        <v>100</v>
      </c>
      <c r="G72" s="1">
        <v>100</v>
      </c>
      <c r="H72" s="1">
        <v>100</v>
      </c>
      <c r="I72" s="1">
        <v>97.096119351203782</v>
      </c>
      <c r="J72" s="1">
        <v>100</v>
      </c>
      <c r="K72" s="1">
        <v>98.78137525014246</v>
      </c>
      <c r="L72" s="1">
        <v>100</v>
      </c>
      <c r="M72" s="1">
        <v>100</v>
      </c>
      <c r="N72" s="1">
        <v>100</v>
      </c>
      <c r="O72" s="1">
        <v>100</v>
      </c>
      <c r="P72" s="1">
        <v>95.861485755846545</v>
      </c>
      <c r="Q72" s="1">
        <v>100</v>
      </c>
      <c r="R72" s="1">
        <v>98.539127000430625</v>
      </c>
      <c r="S72" s="1">
        <v>100</v>
      </c>
      <c r="T72" s="1">
        <v>100.21053732651825</v>
      </c>
      <c r="U72" s="1">
        <v>100</v>
      </c>
      <c r="V72" s="1">
        <v>100</v>
      </c>
      <c r="W72" s="1">
        <v>100</v>
      </c>
      <c r="X72" s="1">
        <v>100</v>
      </c>
      <c r="Y72" s="1">
        <v>100</v>
      </c>
      <c r="Z72" s="1">
        <v>96.780340880393382</v>
      </c>
      <c r="AA72" s="1">
        <v>98.539127000430625</v>
      </c>
      <c r="AB72" s="1">
        <v>99.498174769590307</v>
      </c>
      <c r="AC72" s="1">
        <v>100.57277765612425</v>
      </c>
      <c r="AD72" s="1">
        <v>109.41964280436044</v>
      </c>
      <c r="AE72" s="1">
        <v>93.105319955924472</v>
      </c>
      <c r="AF72" s="1">
        <v>100.94957983664952</v>
      </c>
      <c r="AG72" s="1">
        <v>100</v>
      </c>
      <c r="AH72" s="1">
        <v>100</v>
      </c>
      <c r="AI72" s="1">
        <v>100</v>
      </c>
      <c r="AJ72" s="1">
        <v>100</v>
      </c>
      <c r="AK72" s="1">
        <v>97.275128219979948</v>
      </c>
      <c r="AL72" s="1">
        <v>100</v>
      </c>
      <c r="AM72" s="1">
        <v>100</v>
      </c>
      <c r="AN72" s="1">
        <v>102.30814285003406</v>
      </c>
      <c r="AO72" s="1">
        <v>98.948214954151439</v>
      </c>
      <c r="AP72" s="1">
        <v>100</v>
      </c>
      <c r="AQ72" s="1">
        <v>100</v>
      </c>
      <c r="AR72" s="1">
        <v>100</v>
      </c>
      <c r="AS72" s="1">
        <v>100</v>
      </c>
      <c r="AT72" s="1">
        <v>102.73961504866966</v>
      </c>
      <c r="AU72" s="1">
        <v>100</v>
      </c>
      <c r="AV72" s="1">
        <v>100</v>
      </c>
      <c r="AW72" s="1">
        <v>100</v>
      </c>
      <c r="AX72" s="1">
        <v>100</v>
      </c>
      <c r="AY72" s="1">
        <v>100</v>
      </c>
      <c r="AZ72" s="1">
        <v>100</v>
      </c>
      <c r="BA72" s="1">
        <v>100</v>
      </c>
      <c r="BB72" s="1">
        <v>100</v>
      </c>
      <c r="BC72" s="1">
        <v>100</v>
      </c>
      <c r="BD72" s="1">
        <v>100</v>
      </c>
      <c r="BE72" s="1">
        <v>100</v>
      </c>
      <c r="BF72" s="1">
        <v>100</v>
      </c>
      <c r="BG72" s="1">
        <v>100</v>
      </c>
      <c r="BH72" s="1">
        <v>100</v>
      </c>
    </row>
    <row r="73" spans="1:60" x14ac:dyDescent="0.25">
      <c r="A73">
        <v>60</v>
      </c>
      <c r="B73" s="1">
        <v>96.647048727289175</v>
      </c>
      <c r="C73" s="1">
        <v>100</v>
      </c>
      <c r="D73" s="1">
        <v>100</v>
      </c>
      <c r="E73" s="1">
        <v>112.20327959260266</v>
      </c>
      <c r="F73" s="1">
        <v>100</v>
      </c>
      <c r="G73" s="1">
        <v>100</v>
      </c>
      <c r="H73" s="1">
        <v>100</v>
      </c>
      <c r="I73" s="1">
        <v>97.621522685111643</v>
      </c>
      <c r="J73" s="1">
        <v>100</v>
      </c>
      <c r="K73" s="1">
        <v>98.78137525014246</v>
      </c>
      <c r="L73" s="1">
        <v>100</v>
      </c>
      <c r="M73" s="1">
        <v>100</v>
      </c>
      <c r="N73" s="1">
        <v>100</v>
      </c>
      <c r="O73" s="1">
        <v>100</v>
      </c>
      <c r="P73" s="1">
        <v>95.861485755846545</v>
      </c>
      <c r="Q73" s="1">
        <v>100</v>
      </c>
      <c r="R73" s="1">
        <v>98.539127000430625</v>
      </c>
      <c r="S73" s="1">
        <v>100</v>
      </c>
      <c r="T73" s="1">
        <v>99.743867882752767</v>
      </c>
      <c r="U73" s="1">
        <v>100</v>
      </c>
      <c r="V73" s="1">
        <v>100</v>
      </c>
      <c r="W73" s="1">
        <v>100</v>
      </c>
      <c r="X73" s="1">
        <v>100</v>
      </c>
      <c r="Y73" s="1">
        <v>100</v>
      </c>
      <c r="Z73" s="1">
        <v>96.780340880393382</v>
      </c>
      <c r="AA73" s="1">
        <v>98.539127000430625</v>
      </c>
      <c r="AB73" s="1">
        <v>99.498174769590307</v>
      </c>
      <c r="AC73" s="1">
        <v>100.57277765612425</v>
      </c>
      <c r="AD73" s="1">
        <v>109.88587193387652</v>
      </c>
      <c r="AE73" s="1">
        <v>93.105319955924472</v>
      </c>
      <c r="AF73" s="1">
        <v>100.94957983664952</v>
      </c>
      <c r="AG73" s="1">
        <v>100</v>
      </c>
      <c r="AH73" s="1">
        <v>100</v>
      </c>
      <c r="AI73" s="1">
        <v>100</v>
      </c>
      <c r="AJ73" s="1">
        <v>100</v>
      </c>
      <c r="AK73" s="1">
        <v>97.275128219979948</v>
      </c>
      <c r="AL73" s="1">
        <v>100</v>
      </c>
      <c r="AM73" s="1">
        <v>100</v>
      </c>
      <c r="AN73" s="1">
        <v>102.30814285003406</v>
      </c>
      <c r="AO73" s="1">
        <v>98.948214954151439</v>
      </c>
      <c r="AP73" s="1">
        <v>100</v>
      </c>
      <c r="AQ73" s="1">
        <v>100</v>
      </c>
      <c r="AR73" s="1">
        <v>100</v>
      </c>
      <c r="AS73" s="1">
        <v>100</v>
      </c>
      <c r="AT73" s="1">
        <v>102.73961504866966</v>
      </c>
      <c r="AU73" s="1">
        <v>100</v>
      </c>
      <c r="AV73" s="1">
        <v>100</v>
      </c>
      <c r="AW73" s="1">
        <v>100</v>
      </c>
      <c r="AX73" s="1">
        <v>100</v>
      </c>
      <c r="AY73" s="1">
        <v>100</v>
      </c>
      <c r="AZ73" s="1">
        <v>100</v>
      </c>
      <c r="BA73" s="1">
        <v>100</v>
      </c>
      <c r="BB73" s="1">
        <v>100</v>
      </c>
      <c r="BC73" s="1">
        <v>100</v>
      </c>
      <c r="BD73" s="1">
        <v>100</v>
      </c>
      <c r="BE73" s="1">
        <v>100</v>
      </c>
      <c r="BF73" s="1">
        <v>100</v>
      </c>
      <c r="BG73" s="1">
        <v>100</v>
      </c>
      <c r="BH73" s="1">
        <v>100</v>
      </c>
    </row>
    <row r="74" spans="1:60" x14ac:dyDescent="0.25">
      <c r="A74">
        <v>61</v>
      </c>
      <c r="B74" s="1">
        <v>96.647048727289175</v>
      </c>
      <c r="C74" s="1">
        <v>100</v>
      </c>
      <c r="D74" s="1">
        <v>100</v>
      </c>
      <c r="E74" s="1">
        <v>112.20327959260266</v>
      </c>
      <c r="F74" s="1">
        <v>100</v>
      </c>
      <c r="G74" s="1">
        <v>100</v>
      </c>
      <c r="H74" s="1">
        <v>100.79196607836715</v>
      </c>
      <c r="I74" s="1">
        <v>98.432784440290078</v>
      </c>
      <c r="J74" s="1">
        <v>100</v>
      </c>
      <c r="K74" s="1">
        <v>98.78137525014246</v>
      </c>
      <c r="L74" s="1">
        <v>100</v>
      </c>
      <c r="M74" s="1">
        <v>100</v>
      </c>
      <c r="N74" s="1">
        <v>100</v>
      </c>
      <c r="O74" s="1">
        <v>100</v>
      </c>
      <c r="P74" s="1">
        <v>95.861485755846545</v>
      </c>
      <c r="Q74" s="1">
        <v>100</v>
      </c>
      <c r="R74" s="1">
        <v>98.539127000430625</v>
      </c>
      <c r="S74" s="1">
        <v>100</v>
      </c>
      <c r="T74" s="1">
        <v>98.939043941446627</v>
      </c>
      <c r="U74" s="1">
        <v>100</v>
      </c>
      <c r="V74" s="1">
        <v>100</v>
      </c>
      <c r="W74" s="1">
        <v>100</v>
      </c>
      <c r="X74" s="1">
        <v>100</v>
      </c>
      <c r="Y74" s="1">
        <v>100</v>
      </c>
      <c r="Z74" s="1">
        <v>96.780340880393382</v>
      </c>
      <c r="AA74" s="1">
        <v>98.539127000430625</v>
      </c>
      <c r="AB74" s="1">
        <v>99.498174769590307</v>
      </c>
      <c r="AC74" s="1">
        <v>100.57277765612425</v>
      </c>
      <c r="AD74" s="1">
        <v>109.88587193387652</v>
      </c>
      <c r="AE74" s="1">
        <v>93.105319955924472</v>
      </c>
      <c r="AF74" s="1">
        <v>100.94957983664952</v>
      </c>
      <c r="AG74" s="1">
        <v>100</v>
      </c>
      <c r="AH74" s="1">
        <v>100</v>
      </c>
      <c r="AI74" s="1">
        <v>100</v>
      </c>
      <c r="AJ74" s="1">
        <v>100</v>
      </c>
      <c r="AK74" s="1">
        <v>97.275128219979948</v>
      </c>
      <c r="AL74" s="1">
        <v>100</v>
      </c>
      <c r="AM74" s="1">
        <v>100</v>
      </c>
      <c r="AN74" s="1">
        <v>102.30814285003406</v>
      </c>
      <c r="AO74" s="1">
        <v>98.14981106191199</v>
      </c>
      <c r="AP74" s="1">
        <v>100</v>
      </c>
      <c r="AQ74" s="1">
        <v>100</v>
      </c>
      <c r="AR74" s="1">
        <v>100</v>
      </c>
      <c r="AS74" s="1">
        <v>100</v>
      </c>
      <c r="AT74" s="1">
        <v>102.73961504866966</v>
      </c>
      <c r="AU74" s="1">
        <v>100</v>
      </c>
      <c r="AV74" s="1">
        <v>100</v>
      </c>
      <c r="AW74" s="1">
        <v>100</v>
      </c>
      <c r="AX74" s="1">
        <v>100</v>
      </c>
      <c r="AY74" s="1">
        <v>100</v>
      </c>
      <c r="AZ74" s="1">
        <v>100</v>
      </c>
      <c r="BA74" s="1">
        <v>100</v>
      </c>
      <c r="BB74" s="1">
        <v>100</v>
      </c>
      <c r="BC74" s="1">
        <v>100</v>
      </c>
      <c r="BD74" s="1">
        <v>100</v>
      </c>
      <c r="BE74" s="1">
        <v>100</v>
      </c>
      <c r="BF74" s="1">
        <v>100</v>
      </c>
      <c r="BG74" s="1">
        <v>100</v>
      </c>
      <c r="BH74" s="1">
        <v>100</v>
      </c>
    </row>
    <row r="75" spans="1:60" x14ac:dyDescent="0.25">
      <c r="A75">
        <v>62</v>
      </c>
      <c r="B75" s="1">
        <v>96.647048727289175</v>
      </c>
      <c r="C75" s="1">
        <v>100</v>
      </c>
      <c r="D75" s="1">
        <v>100</v>
      </c>
      <c r="E75" s="1">
        <v>112.20327959260266</v>
      </c>
      <c r="F75" s="1">
        <v>100</v>
      </c>
      <c r="G75" s="1">
        <v>100</v>
      </c>
      <c r="H75" s="1">
        <v>100.79779325216231</v>
      </c>
      <c r="I75" s="1">
        <v>98.438751276510686</v>
      </c>
      <c r="J75" s="1">
        <v>100</v>
      </c>
      <c r="K75" s="1">
        <v>98.78137525014246</v>
      </c>
      <c r="L75" s="1">
        <v>100</v>
      </c>
      <c r="M75" s="1">
        <v>100</v>
      </c>
      <c r="N75" s="1">
        <v>100</v>
      </c>
      <c r="O75" s="1">
        <v>100</v>
      </c>
      <c r="P75" s="1">
        <v>95.861485755846545</v>
      </c>
      <c r="Q75" s="1">
        <v>100</v>
      </c>
      <c r="R75" s="1">
        <v>98.539127000430625</v>
      </c>
      <c r="S75" s="1">
        <v>100</v>
      </c>
      <c r="T75" s="1">
        <v>98.933123322164647</v>
      </c>
      <c r="U75" s="1">
        <v>100</v>
      </c>
      <c r="V75" s="1">
        <v>100</v>
      </c>
      <c r="W75" s="1">
        <v>100</v>
      </c>
      <c r="X75" s="1">
        <v>100</v>
      </c>
      <c r="Y75" s="1">
        <v>100</v>
      </c>
      <c r="Z75" s="1">
        <v>96.780340880393382</v>
      </c>
      <c r="AA75" s="1">
        <v>98.539127000430625</v>
      </c>
      <c r="AB75" s="1">
        <v>99.498174769590307</v>
      </c>
      <c r="AC75" s="1">
        <v>100.57277765612425</v>
      </c>
      <c r="AD75" s="1">
        <v>109.88587193387652</v>
      </c>
      <c r="AE75" s="1">
        <v>93.105319955924472</v>
      </c>
      <c r="AF75" s="1">
        <v>100.94957983664952</v>
      </c>
      <c r="AG75" s="1">
        <v>100</v>
      </c>
      <c r="AH75" s="1">
        <v>100</v>
      </c>
      <c r="AI75" s="1">
        <v>100</v>
      </c>
      <c r="AJ75" s="1">
        <v>100</v>
      </c>
      <c r="AK75" s="1">
        <v>97.275128219979948</v>
      </c>
      <c r="AL75" s="1">
        <v>100</v>
      </c>
      <c r="AM75" s="1">
        <v>100</v>
      </c>
      <c r="AN75" s="1">
        <v>102.30814285003406</v>
      </c>
      <c r="AO75" s="1">
        <v>98.143937671178193</v>
      </c>
      <c r="AP75" s="1">
        <v>100</v>
      </c>
      <c r="AQ75" s="1">
        <v>100</v>
      </c>
      <c r="AR75" s="1">
        <v>100</v>
      </c>
      <c r="AS75" s="1">
        <v>100</v>
      </c>
      <c r="AT75" s="1">
        <v>102.73961504866966</v>
      </c>
      <c r="AU75" s="1">
        <v>100</v>
      </c>
      <c r="AV75" s="1">
        <v>100</v>
      </c>
      <c r="AW75" s="1">
        <v>100</v>
      </c>
      <c r="AX75" s="1">
        <v>100</v>
      </c>
      <c r="AY75" s="1">
        <v>100</v>
      </c>
      <c r="AZ75" s="1">
        <v>100</v>
      </c>
      <c r="BA75" s="1">
        <v>100</v>
      </c>
      <c r="BB75" s="1">
        <v>100</v>
      </c>
      <c r="BC75" s="1">
        <v>100</v>
      </c>
      <c r="BD75" s="1">
        <v>100</v>
      </c>
      <c r="BE75" s="1">
        <v>100</v>
      </c>
      <c r="BF75" s="1">
        <v>100</v>
      </c>
      <c r="BG75" s="1">
        <v>100</v>
      </c>
      <c r="BH75" s="1">
        <v>100</v>
      </c>
    </row>
    <row r="76" spans="1:60" x14ac:dyDescent="0.25">
      <c r="A76">
        <v>63</v>
      </c>
      <c r="B76" s="1">
        <v>96.647048727289175</v>
      </c>
      <c r="C76" s="1">
        <v>100</v>
      </c>
      <c r="D76" s="1">
        <v>100</v>
      </c>
      <c r="E76" s="1">
        <v>113.07429451392163</v>
      </c>
      <c r="F76" s="1">
        <v>100</v>
      </c>
      <c r="G76" s="1">
        <v>100</v>
      </c>
      <c r="H76" s="1">
        <v>100.79779325216231</v>
      </c>
      <c r="I76" s="1">
        <v>97.508280671277078</v>
      </c>
      <c r="J76" s="1">
        <v>100</v>
      </c>
      <c r="K76" s="1">
        <v>98.78137525014246</v>
      </c>
      <c r="L76" s="1">
        <v>100</v>
      </c>
      <c r="M76" s="1">
        <v>100</v>
      </c>
      <c r="N76" s="1">
        <v>100</v>
      </c>
      <c r="O76" s="1">
        <v>100</v>
      </c>
      <c r="P76" s="1">
        <v>95.861485755846545</v>
      </c>
      <c r="Q76" s="1">
        <v>100</v>
      </c>
      <c r="R76" s="1">
        <v>98.539127000430625</v>
      </c>
      <c r="S76" s="1">
        <v>100</v>
      </c>
      <c r="T76" s="1">
        <v>98.933123322164647</v>
      </c>
      <c r="U76" s="1">
        <v>99.054772035232389</v>
      </c>
      <c r="V76" s="1">
        <v>100</v>
      </c>
      <c r="W76" s="1">
        <v>100</v>
      </c>
      <c r="X76" s="1">
        <v>100</v>
      </c>
      <c r="Y76" s="1">
        <v>100</v>
      </c>
      <c r="Z76" s="1">
        <v>96.780340880393382</v>
      </c>
      <c r="AA76" s="1">
        <v>98.539127000430625</v>
      </c>
      <c r="AB76" s="1">
        <v>99.498174769590307</v>
      </c>
      <c r="AC76" s="1">
        <v>100.57277765612425</v>
      </c>
      <c r="AD76" s="1">
        <v>109.88587193387652</v>
      </c>
      <c r="AE76" s="1">
        <v>93.105319955924472</v>
      </c>
      <c r="AF76" s="1">
        <v>100.94957983664952</v>
      </c>
      <c r="AG76" s="1">
        <v>100</v>
      </c>
      <c r="AH76" s="1">
        <v>100</v>
      </c>
      <c r="AI76" s="1">
        <v>100</v>
      </c>
      <c r="AJ76" s="1">
        <v>100</v>
      </c>
      <c r="AK76" s="1">
        <v>98.279811868662179</v>
      </c>
      <c r="AL76" s="1">
        <v>100</v>
      </c>
      <c r="AM76" s="1">
        <v>100</v>
      </c>
      <c r="AN76" s="1">
        <v>102.30814285003406</v>
      </c>
      <c r="AO76" s="1">
        <v>98.143937671178193</v>
      </c>
      <c r="AP76" s="1">
        <v>100</v>
      </c>
      <c r="AQ76" s="1">
        <v>100</v>
      </c>
      <c r="AR76" s="1">
        <v>100</v>
      </c>
      <c r="AS76" s="1">
        <v>100</v>
      </c>
      <c r="AT76" s="1">
        <v>102.73961504866966</v>
      </c>
      <c r="AU76" s="1">
        <v>100</v>
      </c>
      <c r="AV76" s="1">
        <v>100</v>
      </c>
      <c r="AW76" s="1">
        <v>100</v>
      </c>
      <c r="AX76" s="1">
        <v>100</v>
      </c>
      <c r="AY76" s="1">
        <v>100</v>
      </c>
      <c r="AZ76" s="1">
        <v>100</v>
      </c>
      <c r="BA76" s="1">
        <v>100</v>
      </c>
      <c r="BB76" s="1">
        <v>100</v>
      </c>
      <c r="BC76" s="1">
        <v>100</v>
      </c>
      <c r="BD76" s="1">
        <v>100</v>
      </c>
      <c r="BE76" s="1">
        <v>100</v>
      </c>
      <c r="BF76" s="1">
        <v>100</v>
      </c>
      <c r="BG76" s="1">
        <v>100</v>
      </c>
      <c r="BH76" s="1">
        <v>100</v>
      </c>
    </row>
    <row r="77" spans="1:60" x14ac:dyDescent="0.25">
      <c r="A77">
        <v>64</v>
      </c>
      <c r="B77" s="1">
        <v>96.647048727289175</v>
      </c>
      <c r="C77" s="1">
        <v>100</v>
      </c>
      <c r="D77" s="1">
        <v>100</v>
      </c>
      <c r="E77" s="1">
        <v>113.3289008703652</v>
      </c>
      <c r="F77" s="1">
        <v>100</v>
      </c>
      <c r="G77" s="1">
        <v>100</v>
      </c>
      <c r="H77" s="1">
        <v>100.79779325216231</v>
      </c>
      <c r="I77" s="1">
        <v>97.236664748304293</v>
      </c>
      <c r="J77" s="1">
        <v>100</v>
      </c>
      <c r="K77" s="1">
        <v>98.78137525014246</v>
      </c>
      <c r="L77" s="1">
        <v>100</v>
      </c>
      <c r="M77" s="1">
        <v>100</v>
      </c>
      <c r="N77" s="1">
        <v>100</v>
      </c>
      <c r="O77" s="1">
        <v>100</v>
      </c>
      <c r="P77" s="1">
        <v>95.861485755846545</v>
      </c>
      <c r="Q77" s="1">
        <v>100</v>
      </c>
      <c r="R77" s="1">
        <v>98.539127000430625</v>
      </c>
      <c r="S77" s="1">
        <v>100</v>
      </c>
      <c r="T77" s="1">
        <v>98.933123322164647</v>
      </c>
      <c r="U77" s="1">
        <v>98.778848255775031</v>
      </c>
      <c r="V77" s="1">
        <v>100</v>
      </c>
      <c r="W77" s="1">
        <v>100</v>
      </c>
      <c r="X77" s="1">
        <v>100</v>
      </c>
      <c r="Y77" s="1">
        <v>100</v>
      </c>
      <c r="Z77" s="1">
        <v>96.780340880393382</v>
      </c>
      <c r="AA77" s="1">
        <v>98.539127000430625</v>
      </c>
      <c r="AB77" s="1">
        <v>99.498174769590307</v>
      </c>
      <c r="AC77" s="1">
        <v>100.57277765612425</v>
      </c>
      <c r="AD77" s="1">
        <v>109.88587193387652</v>
      </c>
      <c r="AE77" s="1">
        <v>93.105319955924472</v>
      </c>
      <c r="AF77" s="1">
        <v>100.94957983664952</v>
      </c>
      <c r="AG77" s="1">
        <v>100</v>
      </c>
      <c r="AH77" s="1">
        <v>100</v>
      </c>
      <c r="AI77" s="1">
        <v>100</v>
      </c>
      <c r="AJ77" s="1">
        <v>100</v>
      </c>
      <c r="AK77" s="1">
        <v>98.572745214648748</v>
      </c>
      <c r="AL77" s="1">
        <v>100</v>
      </c>
      <c r="AM77" s="1">
        <v>100</v>
      </c>
      <c r="AN77" s="1">
        <v>102.30814285003406</v>
      </c>
      <c r="AO77" s="1">
        <v>98.143937671178193</v>
      </c>
      <c r="AP77" s="1">
        <v>100</v>
      </c>
      <c r="AQ77" s="1">
        <v>100</v>
      </c>
      <c r="AR77" s="1">
        <v>100</v>
      </c>
      <c r="AS77" s="1">
        <v>100</v>
      </c>
      <c r="AT77" s="1">
        <v>102.73961504866966</v>
      </c>
      <c r="AU77" s="1">
        <v>100</v>
      </c>
      <c r="AV77" s="1">
        <v>100</v>
      </c>
      <c r="AW77" s="1">
        <v>100</v>
      </c>
      <c r="AX77" s="1">
        <v>100</v>
      </c>
      <c r="AY77" s="1">
        <v>100</v>
      </c>
      <c r="AZ77" s="1">
        <v>100</v>
      </c>
      <c r="BA77" s="1">
        <v>100</v>
      </c>
      <c r="BB77" s="1">
        <v>100</v>
      </c>
      <c r="BC77" s="1">
        <v>100</v>
      </c>
      <c r="BD77" s="1">
        <v>100</v>
      </c>
      <c r="BE77" s="1">
        <v>100</v>
      </c>
      <c r="BF77" s="1">
        <v>100</v>
      </c>
      <c r="BG77" s="1">
        <v>100</v>
      </c>
      <c r="BH77" s="1">
        <v>100</v>
      </c>
    </row>
    <row r="78" spans="1:60" x14ac:dyDescent="0.25">
      <c r="A78">
        <v>65</v>
      </c>
      <c r="B78" s="1">
        <v>96.647048727289175</v>
      </c>
      <c r="C78" s="1">
        <v>100</v>
      </c>
      <c r="D78" s="1">
        <v>100</v>
      </c>
      <c r="E78" s="1">
        <v>113.3289008703652</v>
      </c>
      <c r="F78" s="1">
        <v>100</v>
      </c>
      <c r="G78" s="1">
        <v>100</v>
      </c>
      <c r="H78" s="1">
        <v>100.79779325216231</v>
      </c>
      <c r="I78" s="1">
        <v>97.236664748304293</v>
      </c>
      <c r="J78" s="1">
        <v>100</v>
      </c>
      <c r="K78" s="1">
        <v>98.78137525014246</v>
      </c>
      <c r="L78" s="1">
        <v>100.39009695094161</v>
      </c>
      <c r="M78" s="1">
        <v>100</v>
      </c>
      <c r="N78" s="1">
        <v>100</v>
      </c>
      <c r="O78" s="1">
        <v>100</v>
      </c>
      <c r="P78" s="1">
        <v>95.861485755846545</v>
      </c>
      <c r="Q78" s="1">
        <v>100</v>
      </c>
      <c r="R78" s="1">
        <v>98.539127000430625</v>
      </c>
      <c r="S78" s="1">
        <v>100</v>
      </c>
      <c r="T78" s="1">
        <v>99.327427007161333</v>
      </c>
      <c r="U78" s="1">
        <v>98.778848255775031</v>
      </c>
      <c r="V78" s="1">
        <v>100</v>
      </c>
      <c r="W78" s="1">
        <v>100</v>
      </c>
      <c r="X78" s="1">
        <v>100</v>
      </c>
      <c r="Y78" s="1">
        <v>100</v>
      </c>
      <c r="Z78" s="1">
        <v>96.780340880393382</v>
      </c>
      <c r="AA78" s="1">
        <v>98.539127000430625</v>
      </c>
      <c r="AB78" s="1">
        <v>99.498174769590307</v>
      </c>
      <c r="AC78" s="1">
        <v>100.57277765612425</v>
      </c>
      <c r="AD78" s="1">
        <v>109.88587193387652</v>
      </c>
      <c r="AE78" s="1">
        <v>93.105319955924472</v>
      </c>
      <c r="AF78" s="1">
        <v>100.94957983664952</v>
      </c>
      <c r="AG78" s="1">
        <v>100</v>
      </c>
      <c r="AH78" s="1">
        <v>100</v>
      </c>
      <c r="AI78" s="1">
        <v>100</v>
      </c>
      <c r="AJ78" s="1">
        <v>100</v>
      </c>
      <c r="AK78" s="1">
        <v>98.572745214648748</v>
      </c>
      <c r="AL78" s="1">
        <v>100</v>
      </c>
      <c r="AM78" s="1">
        <v>100</v>
      </c>
      <c r="AN78" s="1">
        <v>102.30814285003406</v>
      </c>
      <c r="AO78" s="1">
        <v>97.760709845502873</v>
      </c>
      <c r="AP78" s="1">
        <v>100</v>
      </c>
      <c r="AQ78" s="1">
        <v>100</v>
      </c>
      <c r="AR78" s="1">
        <v>100</v>
      </c>
      <c r="AS78" s="1">
        <v>100</v>
      </c>
      <c r="AT78" s="1">
        <v>102.33844223840669</v>
      </c>
      <c r="AU78" s="1">
        <v>100</v>
      </c>
      <c r="AV78" s="1">
        <v>100</v>
      </c>
      <c r="AW78" s="1">
        <v>100</v>
      </c>
      <c r="AX78" s="1">
        <v>100</v>
      </c>
      <c r="AY78" s="1">
        <v>100</v>
      </c>
      <c r="AZ78" s="1">
        <v>100</v>
      </c>
      <c r="BA78" s="1">
        <v>100</v>
      </c>
      <c r="BB78" s="1">
        <v>100</v>
      </c>
      <c r="BC78" s="1">
        <v>100</v>
      </c>
      <c r="BD78" s="1">
        <v>100</v>
      </c>
      <c r="BE78" s="1">
        <v>100</v>
      </c>
      <c r="BF78" s="1">
        <v>100</v>
      </c>
      <c r="BG78" s="1">
        <v>100</v>
      </c>
      <c r="BH78" s="1">
        <v>100</v>
      </c>
    </row>
    <row r="79" spans="1:60" x14ac:dyDescent="0.25">
      <c r="A79">
        <v>66</v>
      </c>
      <c r="B79" s="1">
        <v>96.647048727289175</v>
      </c>
      <c r="C79" s="1">
        <v>100</v>
      </c>
      <c r="D79" s="1">
        <v>100</v>
      </c>
      <c r="E79" s="1">
        <v>113.3289008703652</v>
      </c>
      <c r="F79" s="1">
        <v>100</v>
      </c>
      <c r="G79" s="1">
        <v>100</v>
      </c>
      <c r="H79" s="1">
        <v>100.79779325216231</v>
      </c>
      <c r="I79" s="1">
        <v>97.236664748304293</v>
      </c>
      <c r="J79" s="1">
        <v>100</v>
      </c>
      <c r="K79" s="1">
        <v>98.78137525014246</v>
      </c>
      <c r="L79" s="1">
        <v>101.96364723002077</v>
      </c>
      <c r="M79" s="1">
        <v>100</v>
      </c>
      <c r="N79" s="1">
        <v>100</v>
      </c>
      <c r="O79" s="1">
        <v>100</v>
      </c>
      <c r="P79" s="1">
        <v>95.861485755846545</v>
      </c>
      <c r="Q79" s="1">
        <v>100</v>
      </c>
      <c r="R79" s="1">
        <v>98.539127000430625</v>
      </c>
      <c r="S79" s="1">
        <v>100</v>
      </c>
      <c r="T79" s="1">
        <v>100.91781215891351</v>
      </c>
      <c r="U79" s="1">
        <v>98.778848255775031</v>
      </c>
      <c r="V79" s="1">
        <v>100</v>
      </c>
      <c r="W79" s="1">
        <v>100</v>
      </c>
      <c r="X79" s="1">
        <v>100</v>
      </c>
      <c r="Y79" s="1">
        <v>100</v>
      </c>
      <c r="Z79" s="1">
        <v>96.780340880393382</v>
      </c>
      <c r="AA79" s="1">
        <v>98.539127000430625</v>
      </c>
      <c r="AB79" s="1">
        <v>99.498174769590307</v>
      </c>
      <c r="AC79" s="1">
        <v>100.57277765612425</v>
      </c>
      <c r="AD79" s="1">
        <v>109.88587193387652</v>
      </c>
      <c r="AE79" s="1">
        <v>93.105319955924472</v>
      </c>
      <c r="AF79" s="1">
        <v>100.94957983664952</v>
      </c>
      <c r="AG79" s="1">
        <v>100</v>
      </c>
      <c r="AH79" s="1">
        <v>100</v>
      </c>
      <c r="AI79" s="1">
        <v>100</v>
      </c>
      <c r="AJ79" s="1">
        <v>100</v>
      </c>
      <c r="AK79" s="1">
        <v>98.572745214648748</v>
      </c>
      <c r="AL79" s="1">
        <v>100</v>
      </c>
      <c r="AM79" s="1">
        <v>100</v>
      </c>
      <c r="AN79" s="1">
        <v>102.30814285003406</v>
      </c>
      <c r="AO79" s="1">
        <v>96.214933312208515</v>
      </c>
      <c r="AP79" s="1">
        <v>100</v>
      </c>
      <c r="AQ79" s="1">
        <v>100</v>
      </c>
      <c r="AR79" s="1">
        <v>100</v>
      </c>
      <c r="AS79" s="1">
        <v>100</v>
      </c>
      <c r="AT79" s="1">
        <v>100.72028334086973</v>
      </c>
      <c r="AU79" s="1">
        <v>100</v>
      </c>
      <c r="AV79" s="1">
        <v>100</v>
      </c>
      <c r="AW79" s="1">
        <v>100</v>
      </c>
      <c r="AX79" s="1">
        <v>100</v>
      </c>
      <c r="AY79" s="1">
        <v>100</v>
      </c>
      <c r="AZ79" s="1">
        <v>100</v>
      </c>
      <c r="BA79" s="1">
        <v>100</v>
      </c>
      <c r="BB79" s="1">
        <v>100</v>
      </c>
      <c r="BC79" s="1">
        <v>100</v>
      </c>
      <c r="BD79" s="1">
        <v>100</v>
      </c>
      <c r="BE79" s="1">
        <v>100</v>
      </c>
      <c r="BF79" s="1">
        <v>100</v>
      </c>
      <c r="BG79" s="1">
        <v>100</v>
      </c>
      <c r="BH79" s="1">
        <v>100</v>
      </c>
    </row>
    <row r="80" spans="1:60" x14ac:dyDescent="0.25">
      <c r="A80">
        <v>67</v>
      </c>
      <c r="B80" s="1">
        <v>96.647048727289175</v>
      </c>
      <c r="C80" s="1">
        <v>100</v>
      </c>
      <c r="D80" s="1">
        <v>100</v>
      </c>
      <c r="E80" s="1">
        <v>113.3289008703652</v>
      </c>
      <c r="F80" s="1">
        <v>100</v>
      </c>
      <c r="G80" s="1">
        <v>100</v>
      </c>
      <c r="H80" s="1">
        <v>100.79779325216231</v>
      </c>
      <c r="I80" s="1">
        <v>97.754979908163023</v>
      </c>
      <c r="J80" s="1">
        <v>100</v>
      </c>
      <c r="K80" s="1">
        <v>98.251344796320851</v>
      </c>
      <c r="L80" s="1">
        <v>101.96364723002077</v>
      </c>
      <c r="M80" s="1">
        <v>100</v>
      </c>
      <c r="N80" s="1">
        <v>100</v>
      </c>
      <c r="O80" s="1">
        <v>100</v>
      </c>
      <c r="P80" s="1">
        <v>95.861485755846545</v>
      </c>
      <c r="Q80" s="1">
        <v>100</v>
      </c>
      <c r="R80" s="1">
        <v>98.539127000430625</v>
      </c>
      <c r="S80" s="1">
        <v>100</v>
      </c>
      <c r="T80" s="1">
        <v>100.91781215891351</v>
      </c>
      <c r="U80" s="1">
        <v>98.778848255775031</v>
      </c>
      <c r="V80" s="1">
        <v>100</v>
      </c>
      <c r="W80" s="1">
        <v>100</v>
      </c>
      <c r="X80" s="1">
        <v>100</v>
      </c>
      <c r="Y80" s="1">
        <v>100</v>
      </c>
      <c r="Z80" s="1">
        <v>96.780340880393382</v>
      </c>
      <c r="AA80" s="1">
        <v>98.539127000430625</v>
      </c>
      <c r="AB80" s="1">
        <v>99.498174769590307</v>
      </c>
      <c r="AC80" s="1">
        <v>100.57277765612425</v>
      </c>
      <c r="AD80" s="1">
        <v>109.88587193387652</v>
      </c>
      <c r="AE80" s="1">
        <v>92.605745467672207</v>
      </c>
      <c r="AF80" s="1">
        <v>100.94957983664952</v>
      </c>
      <c r="AG80" s="1">
        <v>100</v>
      </c>
      <c r="AH80" s="1">
        <v>100</v>
      </c>
      <c r="AI80" s="1">
        <v>100</v>
      </c>
      <c r="AJ80" s="1">
        <v>100</v>
      </c>
      <c r="AK80" s="1">
        <v>99.084034996863892</v>
      </c>
      <c r="AL80" s="1">
        <v>100</v>
      </c>
      <c r="AM80" s="1">
        <v>100</v>
      </c>
      <c r="AN80" s="1">
        <v>102.30814285003406</v>
      </c>
      <c r="AO80" s="1">
        <v>96.214933312208515</v>
      </c>
      <c r="AP80" s="1">
        <v>100</v>
      </c>
      <c r="AQ80" s="1">
        <v>100</v>
      </c>
      <c r="AR80" s="1">
        <v>100</v>
      </c>
      <c r="AS80" s="1">
        <v>100</v>
      </c>
      <c r="AT80" s="1">
        <v>100.72028334086973</v>
      </c>
      <c r="AU80" s="1">
        <v>100</v>
      </c>
      <c r="AV80" s="1">
        <v>100</v>
      </c>
      <c r="AW80" s="1">
        <v>100</v>
      </c>
      <c r="AX80" s="1">
        <v>100</v>
      </c>
      <c r="AY80" s="1">
        <v>100</v>
      </c>
      <c r="AZ80" s="1">
        <v>100</v>
      </c>
      <c r="BA80" s="1">
        <v>100</v>
      </c>
      <c r="BB80" s="1">
        <v>100</v>
      </c>
      <c r="BC80" s="1">
        <v>100</v>
      </c>
      <c r="BD80" s="1">
        <v>100</v>
      </c>
      <c r="BE80" s="1">
        <v>100</v>
      </c>
      <c r="BF80" s="1">
        <v>100</v>
      </c>
      <c r="BG80" s="1">
        <v>100</v>
      </c>
      <c r="BH80" s="1">
        <v>100</v>
      </c>
    </row>
    <row r="81" spans="1:60" x14ac:dyDescent="0.25">
      <c r="A81">
        <v>68</v>
      </c>
      <c r="B81" s="1">
        <v>96.647048727289175</v>
      </c>
      <c r="C81" s="1">
        <v>100</v>
      </c>
      <c r="D81" s="1">
        <v>100</v>
      </c>
      <c r="E81" s="1">
        <v>113.3289008703652</v>
      </c>
      <c r="F81" s="1">
        <v>100</v>
      </c>
      <c r="G81" s="1">
        <v>100</v>
      </c>
      <c r="H81" s="1">
        <v>100.79779325216231</v>
      </c>
      <c r="I81" s="1">
        <v>95.268447073714583</v>
      </c>
      <c r="J81" s="1">
        <v>100</v>
      </c>
      <c r="K81" s="1">
        <v>100.68072855764159</v>
      </c>
      <c r="L81" s="1">
        <v>101.96364723002077</v>
      </c>
      <c r="M81" s="1">
        <v>100</v>
      </c>
      <c r="N81" s="1">
        <v>100</v>
      </c>
      <c r="O81" s="1">
        <v>100</v>
      </c>
      <c r="P81" s="1">
        <v>95.861485755846545</v>
      </c>
      <c r="Q81" s="1">
        <v>100</v>
      </c>
      <c r="R81" s="1">
        <v>98.539127000430625</v>
      </c>
      <c r="S81" s="1">
        <v>100</v>
      </c>
      <c r="T81" s="1">
        <v>100.91781215891351</v>
      </c>
      <c r="U81" s="1">
        <v>98.778848255775031</v>
      </c>
      <c r="V81" s="1">
        <v>100</v>
      </c>
      <c r="W81" s="1">
        <v>100</v>
      </c>
      <c r="X81" s="1">
        <v>100</v>
      </c>
      <c r="Y81" s="1">
        <v>100</v>
      </c>
      <c r="Z81" s="1">
        <v>96.780340880393382</v>
      </c>
      <c r="AA81" s="1">
        <v>98.539127000430625</v>
      </c>
      <c r="AB81" s="1">
        <v>99.498174769590307</v>
      </c>
      <c r="AC81" s="1">
        <v>100.57277765612425</v>
      </c>
      <c r="AD81" s="1">
        <v>109.88587193387652</v>
      </c>
      <c r="AE81" s="1">
        <v>95.183233725778521</v>
      </c>
      <c r="AF81" s="1">
        <v>100.94957983664952</v>
      </c>
      <c r="AG81" s="1">
        <v>100</v>
      </c>
      <c r="AH81" s="1">
        <v>100</v>
      </c>
      <c r="AI81" s="1">
        <v>100</v>
      </c>
      <c r="AJ81" s="1">
        <v>100</v>
      </c>
      <c r="AK81" s="1">
        <v>96.563695811885282</v>
      </c>
      <c r="AL81" s="1">
        <v>100</v>
      </c>
      <c r="AM81" s="1">
        <v>100</v>
      </c>
      <c r="AN81" s="1">
        <v>102.30814285003406</v>
      </c>
      <c r="AO81" s="1">
        <v>96.214933312208515</v>
      </c>
      <c r="AP81" s="1">
        <v>100</v>
      </c>
      <c r="AQ81" s="1">
        <v>100</v>
      </c>
      <c r="AR81" s="1">
        <v>100</v>
      </c>
      <c r="AS81" s="1">
        <v>100</v>
      </c>
      <c r="AT81" s="1">
        <v>100.72028334086973</v>
      </c>
      <c r="AU81" s="1">
        <v>100</v>
      </c>
      <c r="AV81" s="1">
        <v>100</v>
      </c>
      <c r="AW81" s="1">
        <v>100</v>
      </c>
      <c r="AX81" s="1">
        <v>100</v>
      </c>
      <c r="AY81" s="1">
        <v>100</v>
      </c>
      <c r="AZ81" s="1">
        <v>100</v>
      </c>
      <c r="BA81" s="1">
        <v>100</v>
      </c>
      <c r="BB81" s="1">
        <v>100</v>
      </c>
      <c r="BC81" s="1">
        <v>100</v>
      </c>
      <c r="BD81" s="1">
        <v>100</v>
      </c>
      <c r="BE81" s="1">
        <v>100</v>
      </c>
      <c r="BF81" s="1">
        <v>100</v>
      </c>
      <c r="BG81" s="1">
        <v>100</v>
      </c>
      <c r="BH81" s="1">
        <v>100</v>
      </c>
    </row>
    <row r="82" spans="1:60" x14ac:dyDescent="0.25">
      <c r="A82">
        <v>69</v>
      </c>
      <c r="B82" s="1">
        <v>96.647048727289175</v>
      </c>
      <c r="C82" s="1">
        <v>100</v>
      </c>
      <c r="D82" s="1">
        <v>100</v>
      </c>
      <c r="E82" s="1">
        <v>113.3289008703652</v>
      </c>
      <c r="F82" s="1">
        <v>100</v>
      </c>
      <c r="G82" s="1">
        <v>100</v>
      </c>
      <c r="H82" s="1">
        <v>100.79779325216231</v>
      </c>
      <c r="I82" s="1">
        <v>95.771539464841922</v>
      </c>
      <c r="J82" s="1">
        <v>100</v>
      </c>
      <c r="K82" s="1">
        <v>100.18501663040396</v>
      </c>
      <c r="L82" s="1">
        <v>101.96364723002077</v>
      </c>
      <c r="M82" s="1">
        <v>100</v>
      </c>
      <c r="N82" s="1">
        <v>100</v>
      </c>
      <c r="O82" s="1">
        <v>100</v>
      </c>
      <c r="P82" s="1">
        <v>95.861485755846545</v>
      </c>
      <c r="Q82" s="1">
        <v>100</v>
      </c>
      <c r="R82" s="1">
        <v>98.539127000430625</v>
      </c>
      <c r="S82" s="1">
        <v>100</v>
      </c>
      <c r="T82" s="1">
        <v>100.91781215891351</v>
      </c>
      <c r="U82" s="1">
        <v>98.778848255775031</v>
      </c>
      <c r="V82" s="1">
        <v>100</v>
      </c>
      <c r="W82" s="1">
        <v>100</v>
      </c>
      <c r="X82" s="1">
        <v>100</v>
      </c>
      <c r="Y82" s="1">
        <v>100</v>
      </c>
      <c r="Z82" s="1">
        <v>96.780340880393382</v>
      </c>
      <c r="AA82" s="1">
        <v>98.539127000430625</v>
      </c>
      <c r="AB82" s="1">
        <v>99.498174769590307</v>
      </c>
      <c r="AC82" s="1">
        <v>100.57277765612425</v>
      </c>
      <c r="AD82" s="1">
        <v>109.88587193387652</v>
      </c>
      <c r="AE82" s="1">
        <v>95.183233725778521</v>
      </c>
      <c r="AF82" s="1">
        <v>100.94957983664952</v>
      </c>
      <c r="AG82" s="1">
        <v>100</v>
      </c>
      <c r="AH82" s="1">
        <v>100</v>
      </c>
      <c r="AI82" s="1">
        <v>100</v>
      </c>
      <c r="AJ82" s="1">
        <v>100</v>
      </c>
      <c r="AK82" s="1">
        <v>97.060040016964933</v>
      </c>
      <c r="AL82" s="1">
        <v>100</v>
      </c>
      <c r="AM82" s="1">
        <v>100</v>
      </c>
      <c r="AN82" s="1">
        <v>101.8044181810647</v>
      </c>
      <c r="AO82" s="1">
        <v>96.214933312208515</v>
      </c>
      <c r="AP82" s="1">
        <v>100</v>
      </c>
      <c r="AQ82" s="1">
        <v>100</v>
      </c>
      <c r="AR82" s="1">
        <v>100</v>
      </c>
      <c r="AS82" s="1">
        <v>100</v>
      </c>
      <c r="AT82" s="1">
        <v>100.72028334086973</v>
      </c>
      <c r="AU82" s="1">
        <v>100</v>
      </c>
      <c r="AV82" s="1">
        <v>100</v>
      </c>
      <c r="AW82" s="1">
        <v>100</v>
      </c>
      <c r="AX82" s="1">
        <v>100</v>
      </c>
      <c r="AY82" s="1">
        <v>100</v>
      </c>
      <c r="AZ82" s="1">
        <v>100</v>
      </c>
      <c r="BA82" s="1">
        <v>100</v>
      </c>
      <c r="BB82" s="1">
        <v>100</v>
      </c>
      <c r="BC82" s="1">
        <v>100</v>
      </c>
      <c r="BD82" s="1">
        <v>100</v>
      </c>
      <c r="BE82" s="1">
        <v>100</v>
      </c>
      <c r="BF82" s="1">
        <v>100</v>
      </c>
      <c r="BG82" s="1">
        <v>100</v>
      </c>
      <c r="BH82" s="1">
        <v>100</v>
      </c>
    </row>
    <row r="83" spans="1:60" x14ac:dyDescent="0.25">
      <c r="A83">
        <v>70</v>
      </c>
      <c r="B83" s="1">
        <v>96.647048727289175</v>
      </c>
      <c r="C83" s="1">
        <v>100</v>
      </c>
      <c r="D83" s="1">
        <v>100</v>
      </c>
      <c r="E83" s="1">
        <v>113.3289008703652</v>
      </c>
      <c r="F83" s="1">
        <v>100</v>
      </c>
      <c r="G83" s="1">
        <v>100</v>
      </c>
      <c r="H83" s="1">
        <v>100.79779325216231</v>
      </c>
      <c r="I83" s="1">
        <v>94.140751210658493</v>
      </c>
      <c r="J83" s="1">
        <v>100</v>
      </c>
      <c r="K83" s="1">
        <v>101.83993751671322</v>
      </c>
      <c r="L83" s="1">
        <v>101.96364723002077</v>
      </c>
      <c r="M83" s="1">
        <v>100</v>
      </c>
      <c r="N83" s="1">
        <v>100</v>
      </c>
      <c r="O83" s="1">
        <v>100</v>
      </c>
      <c r="P83" s="1">
        <v>95.861485755846545</v>
      </c>
      <c r="Q83" s="1">
        <v>100</v>
      </c>
      <c r="R83" s="1">
        <v>98.539127000430625</v>
      </c>
      <c r="S83" s="1">
        <v>100</v>
      </c>
      <c r="T83" s="1">
        <v>100.91781215891351</v>
      </c>
      <c r="U83" s="1">
        <v>98.778848255775031</v>
      </c>
      <c r="V83" s="1">
        <v>100</v>
      </c>
      <c r="W83" s="1">
        <v>100</v>
      </c>
      <c r="X83" s="1">
        <v>100</v>
      </c>
      <c r="Y83" s="1">
        <v>100</v>
      </c>
      <c r="Z83" s="1">
        <v>96.780340880393382</v>
      </c>
      <c r="AA83" s="1">
        <v>98.539127000430625</v>
      </c>
      <c r="AB83" s="1">
        <v>99.498174769590307</v>
      </c>
      <c r="AC83" s="1">
        <v>100.57277765612425</v>
      </c>
      <c r="AD83" s="1">
        <v>109.88587193387652</v>
      </c>
      <c r="AE83" s="1">
        <v>95.183233725778521</v>
      </c>
      <c r="AF83" s="1">
        <v>100.94957983664952</v>
      </c>
      <c r="AG83" s="1">
        <v>100</v>
      </c>
      <c r="AH83" s="1">
        <v>100</v>
      </c>
      <c r="AI83" s="1">
        <v>100</v>
      </c>
      <c r="AJ83" s="1">
        <v>100</v>
      </c>
      <c r="AK83" s="1">
        <v>95.407311303458698</v>
      </c>
      <c r="AL83" s="1">
        <v>100</v>
      </c>
      <c r="AM83" s="1">
        <v>100</v>
      </c>
      <c r="AN83" s="1">
        <v>103.43301426244513</v>
      </c>
      <c r="AO83" s="1">
        <v>96.214933312208515</v>
      </c>
      <c r="AP83" s="1">
        <v>100</v>
      </c>
      <c r="AQ83" s="1">
        <v>100</v>
      </c>
      <c r="AR83" s="1">
        <v>100</v>
      </c>
      <c r="AS83" s="1">
        <v>100</v>
      </c>
      <c r="AT83" s="1">
        <v>100.72028334086973</v>
      </c>
      <c r="AU83" s="1">
        <v>100</v>
      </c>
      <c r="AV83" s="1">
        <v>100</v>
      </c>
      <c r="AW83" s="1">
        <v>100</v>
      </c>
      <c r="AX83" s="1">
        <v>100</v>
      </c>
      <c r="AY83" s="1">
        <v>100</v>
      </c>
      <c r="AZ83" s="1">
        <v>100</v>
      </c>
      <c r="BA83" s="1">
        <v>100</v>
      </c>
      <c r="BB83" s="1">
        <v>100</v>
      </c>
      <c r="BC83" s="1">
        <v>100</v>
      </c>
      <c r="BD83" s="1">
        <v>100</v>
      </c>
      <c r="BE83" s="1">
        <v>100</v>
      </c>
      <c r="BF83" s="1">
        <v>100</v>
      </c>
      <c r="BG83" s="1">
        <v>100</v>
      </c>
      <c r="BH83" s="1">
        <v>100</v>
      </c>
    </row>
    <row r="84" spans="1:60" x14ac:dyDescent="0.25">
      <c r="A84">
        <v>71</v>
      </c>
      <c r="B84" s="1">
        <v>96.647048727289175</v>
      </c>
      <c r="C84" s="1">
        <v>100</v>
      </c>
      <c r="D84" s="1">
        <v>100</v>
      </c>
      <c r="E84" s="1">
        <v>113.3289008703652</v>
      </c>
      <c r="F84" s="1">
        <v>100</v>
      </c>
      <c r="G84" s="1">
        <v>100</v>
      </c>
      <c r="H84" s="1">
        <v>100.79779325216231</v>
      </c>
      <c r="I84" s="1">
        <v>91.929730417637671</v>
      </c>
      <c r="J84" s="1">
        <v>100</v>
      </c>
      <c r="K84" s="1">
        <v>104.06295969136582</v>
      </c>
      <c r="L84" s="1">
        <v>101.96364723002077</v>
      </c>
      <c r="M84" s="1">
        <v>100</v>
      </c>
      <c r="N84" s="1">
        <v>100</v>
      </c>
      <c r="O84" s="1">
        <v>100</v>
      </c>
      <c r="P84" s="1">
        <v>95.861485755846545</v>
      </c>
      <c r="Q84" s="1">
        <v>100</v>
      </c>
      <c r="R84" s="1">
        <v>98.539127000430625</v>
      </c>
      <c r="S84" s="1">
        <v>100</v>
      </c>
      <c r="T84" s="1">
        <v>100.91781215891351</v>
      </c>
      <c r="U84" s="1">
        <v>98.778848255775031</v>
      </c>
      <c r="V84" s="1">
        <v>100</v>
      </c>
      <c r="W84" s="1">
        <v>100</v>
      </c>
      <c r="X84" s="1">
        <v>100</v>
      </c>
      <c r="Y84" s="1">
        <v>100</v>
      </c>
      <c r="Z84" s="1">
        <v>96.780340880393382</v>
      </c>
      <c r="AA84" s="1">
        <v>98.539127000430625</v>
      </c>
      <c r="AB84" s="1">
        <v>99.498174769590307</v>
      </c>
      <c r="AC84" s="1">
        <v>100.57277765612425</v>
      </c>
      <c r="AD84" s="1">
        <v>109.88587193387652</v>
      </c>
      <c r="AE84" s="1">
        <v>95.183233725778521</v>
      </c>
      <c r="AF84" s="1">
        <v>100.94957983664952</v>
      </c>
      <c r="AG84" s="1">
        <v>100</v>
      </c>
      <c r="AH84" s="1">
        <v>100</v>
      </c>
      <c r="AI84" s="1">
        <v>100</v>
      </c>
      <c r="AJ84" s="1">
        <v>100</v>
      </c>
      <c r="AK84" s="1">
        <v>95.407311303458698</v>
      </c>
      <c r="AL84" s="1">
        <v>100</v>
      </c>
      <c r="AM84" s="1">
        <v>100</v>
      </c>
      <c r="AN84" s="1">
        <v>103.43301426244513</v>
      </c>
      <c r="AO84" s="1">
        <v>93.955197592909087</v>
      </c>
      <c r="AP84" s="1">
        <v>100</v>
      </c>
      <c r="AQ84" s="1">
        <v>100</v>
      </c>
      <c r="AR84" s="1">
        <v>100</v>
      </c>
      <c r="AS84" s="1">
        <v>100</v>
      </c>
      <c r="AT84" s="1">
        <v>102.96801767853738</v>
      </c>
      <c r="AU84" s="1">
        <v>100</v>
      </c>
      <c r="AV84" s="1">
        <v>100</v>
      </c>
      <c r="AW84" s="1">
        <v>100</v>
      </c>
      <c r="AX84" s="1">
        <v>100</v>
      </c>
      <c r="AY84" s="1">
        <v>100</v>
      </c>
      <c r="AZ84" s="1">
        <v>100</v>
      </c>
      <c r="BA84" s="1">
        <v>100</v>
      </c>
      <c r="BB84" s="1">
        <v>100</v>
      </c>
      <c r="BC84" s="1">
        <v>100</v>
      </c>
      <c r="BD84" s="1">
        <v>100</v>
      </c>
      <c r="BE84" s="1">
        <v>100</v>
      </c>
      <c r="BF84" s="1">
        <v>100</v>
      </c>
      <c r="BG84" s="1">
        <v>100</v>
      </c>
      <c r="BH84" s="1">
        <v>100</v>
      </c>
    </row>
    <row r="85" spans="1:60" x14ac:dyDescent="0.25">
      <c r="A85">
        <v>72</v>
      </c>
      <c r="B85" s="1">
        <v>96.647048727289175</v>
      </c>
      <c r="C85" s="1">
        <v>100</v>
      </c>
      <c r="D85" s="1">
        <v>100</v>
      </c>
      <c r="E85" s="1">
        <v>113.3289008703652</v>
      </c>
      <c r="F85" s="1">
        <v>100</v>
      </c>
      <c r="G85" s="1">
        <v>100</v>
      </c>
      <c r="H85" s="1">
        <v>100.79779325216231</v>
      </c>
      <c r="I85" s="1">
        <v>92.589990142659005</v>
      </c>
      <c r="J85" s="1">
        <v>100</v>
      </c>
      <c r="K85" s="1">
        <v>103.40636250812419</v>
      </c>
      <c r="L85" s="1">
        <v>101.96364723002077</v>
      </c>
      <c r="M85" s="1">
        <v>100</v>
      </c>
      <c r="N85" s="1">
        <v>100</v>
      </c>
      <c r="O85" s="1">
        <v>100</v>
      </c>
      <c r="P85" s="1">
        <v>95.861485755846545</v>
      </c>
      <c r="Q85" s="1">
        <v>100</v>
      </c>
      <c r="R85" s="1">
        <v>98.539127000430625</v>
      </c>
      <c r="S85" s="1">
        <v>100</v>
      </c>
      <c r="T85" s="1">
        <v>100.91781215891351</v>
      </c>
      <c r="U85" s="1">
        <v>98.778848255775031</v>
      </c>
      <c r="V85" s="1">
        <v>100</v>
      </c>
      <c r="W85" s="1">
        <v>100</v>
      </c>
      <c r="X85" s="1">
        <v>100</v>
      </c>
      <c r="Y85" s="1">
        <v>100</v>
      </c>
      <c r="Z85" s="1">
        <v>96.780340880393382</v>
      </c>
      <c r="AA85" s="1">
        <v>98.539127000430625</v>
      </c>
      <c r="AB85" s="1">
        <v>99.498174769590307</v>
      </c>
      <c r="AC85" s="1">
        <v>100.57277765612425</v>
      </c>
      <c r="AD85" s="1">
        <v>109.88587193387652</v>
      </c>
      <c r="AE85" s="1">
        <v>95.183233725778521</v>
      </c>
      <c r="AF85" s="1">
        <v>100.94957983664952</v>
      </c>
      <c r="AG85" s="1">
        <v>100</v>
      </c>
      <c r="AH85" s="1">
        <v>100</v>
      </c>
      <c r="AI85" s="1">
        <v>100</v>
      </c>
      <c r="AJ85" s="1">
        <v>100</v>
      </c>
      <c r="AK85" s="1">
        <v>95.407311303458698</v>
      </c>
      <c r="AL85" s="1">
        <v>100</v>
      </c>
      <c r="AM85" s="1">
        <v>100</v>
      </c>
      <c r="AN85" s="1">
        <v>103.43301426244513</v>
      </c>
      <c r="AO85" s="1">
        <v>94.601223572119153</v>
      </c>
      <c r="AP85" s="1">
        <v>100</v>
      </c>
      <c r="AQ85" s="1">
        <v>100</v>
      </c>
      <c r="AR85" s="1">
        <v>100</v>
      </c>
      <c r="AS85" s="1">
        <v>100</v>
      </c>
      <c r="AT85" s="1">
        <v>102.31832915754761</v>
      </c>
      <c r="AU85" s="1">
        <v>100</v>
      </c>
      <c r="AV85" s="1">
        <v>100</v>
      </c>
      <c r="AW85" s="1">
        <v>100</v>
      </c>
      <c r="AX85" s="1">
        <v>100</v>
      </c>
      <c r="AY85" s="1">
        <v>100</v>
      </c>
      <c r="AZ85" s="1">
        <v>100</v>
      </c>
      <c r="BA85" s="1">
        <v>100</v>
      </c>
      <c r="BB85" s="1">
        <v>100</v>
      </c>
      <c r="BC85" s="1">
        <v>100</v>
      </c>
      <c r="BD85" s="1">
        <v>100</v>
      </c>
      <c r="BE85" s="1">
        <v>100</v>
      </c>
      <c r="BF85" s="1">
        <v>100</v>
      </c>
      <c r="BG85" s="1">
        <v>100</v>
      </c>
      <c r="BH85" s="1">
        <v>100</v>
      </c>
    </row>
    <row r="86" spans="1:60" x14ac:dyDescent="0.25">
      <c r="A86">
        <v>73</v>
      </c>
      <c r="B86" s="1">
        <v>96.647048727289175</v>
      </c>
      <c r="C86" s="1">
        <v>100</v>
      </c>
      <c r="D86" s="1">
        <v>100</v>
      </c>
      <c r="E86" s="1">
        <v>113.3289008703652</v>
      </c>
      <c r="F86" s="1">
        <v>100</v>
      </c>
      <c r="G86" s="1">
        <v>100</v>
      </c>
      <c r="H86" s="1">
        <v>100.79779325216231</v>
      </c>
      <c r="I86" s="1">
        <v>92.589990142659005</v>
      </c>
      <c r="J86" s="1">
        <v>100</v>
      </c>
      <c r="K86" s="1">
        <v>103.33680241014579</v>
      </c>
      <c r="L86" s="1">
        <v>101.96364723002077</v>
      </c>
      <c r="M86" s="1">
        <v>100</v>
      </c>
      <c r="N86" s="1">
        <v>100</v>
      </c>
      <c r="O86" s="1">
        <v>100</v>
      </c>
      <c r="P86" s="1">
        <v>95.861485755846545</v>
      </c>
      <c r="Q86" s="1">
        <v>100</v>
      </c>
      <c r="R86" s="1">
        <v>98.539127000430625</v>
      </c>
      <c r="S86" s="1">
        <v>100</v>
      </c>
      <c r="T86" s="1">
        <v>100.91781215891351</v>
      </c>
      <c r="U86" s="1">
        <v>98.778848255775031</v>
      </c>
      <c r="V86" s="1">
        <v>100</v>
      </c>
      <c r="W86" s="1">
        <v>100</v>
      </c>
      <c r="X86" s="1">
        <v>100</v>
      </c>
      <c r="Y86" s="1">
        <v>100</v>
      </c>
      <c r="Z86" s="1">
        <v>96.71523801988522</v>
      </c>
      <c r="AA86" s="1">
        <v>98.539127000430625</v>
      </c>
      <c r="AB86" s="1">
        <v>99.498174769590307</v>
      </c>
      <c r="AC86" s="1">
        <v>100.57277765612425</v>
      </c>
      <c r="AD86" s="1">
        <v>109.88587193387652</v>
      </c>
      <c r="AE86" s="1">
        <v>95.250644366738712</v>
      </c>
      <c r="AF86" s="1">
        <v>100.94957983664952</v>
      </c>
      <c r="AG86" s="1">
        <v>100</v>
      </c>
      <c r="AH86" s="1">
        <v>100</v>
      </c>
      <c r="AI86" s="1">
        <v>100</v>
      </c>
      <c r="AJ86" s="1">
        <v>100</v>
      </c>
      <c r="AK86" s="1">
        <v>95.474563620985066</v>
      </c>
      <c r="AL86" s="1">
        <v>100</v>
      </c>
      <c r="AM86" s="1">
        <v>100</v>
      </c>
      <c r="AN86" s="1">
        <v>103.43301426244513</v>
      </c>
      <c r="AO86" s="1">
        <v>94.601223572119153</v>
      </c>
      <c r="AP86" s="1">
        <v>100</v>
      </c>
      <c r="AQ86" s="1">
        <v>100</v>
      </c>
      <c r="AR86" s="1">
        <v>100</v>
      </c>
      <c r="AS86" s="1">
        <v>100</v>
      </c>
      <c r="AT86" s="1">
        <v>102.31832915754761</v>
      </c>
      <c r="AU86" s="1">
        <v>100</v>
      </c>
      <c r="AV86" s="1">
        <v>100</v>
      </c>
      <c r="AW86" s="1">
        <v>100</v>
      </c>
      <c r="AX86" s="1">
        <v>100</v>
      </c>
      <c r="AY86" s="1">
        <v>100</v>
      </c>
      <c r="AZ86" s="1">
        <v>100</v>
      </c>
      <c r="BA86" s="1">
        <v>100</v>
      </c>
      <c r="BB86" s="1">
        <v>100</v>
      </c>
      <c r="BC86" s="1">
        <v>100</v>
      </c>
      <c r="BD86" s="1">
        <v>100</v>
      </c>
      <c r="BE86" s="1">
        <v>100</v>
      </c>
      <c r="BF86" s="1">
        <v>100</v>
      </c>
      <c r="BG86" s="1">
        <v>100</v>
      </c>
      <c r="BH86" s="1">
        <v>100</v>
      </c>
    </row>
    <row r="87" spans="1:60" x14ac:dyDescent="0.25">
      <c r="A87">
        <v>74</v>
      </c>
      <c r="B87" s="1">
        <v>96.647048727289175</v>
      </c>
      <c r="C87" s="1">
        <v>100</v>
      </c>
      <c r="D87" s="1">
        <v>100</v>
      </c>
      <c r="E87" s="1">
        <v>113.3289008703652</v>
      </c>
      <c r="F87" s="1">
        <v>100</v>
      </c>
      <c r="G87" s="1">
        <v>100</v>
      </c>
      <c r="H87" s="1">
        <v>100.79779325216231</v>
      </c>
      <c r="I87" s="1">
        <v>92.589990142659005</v>
      </c>
      <c r="J87" s="1">
        <v>100</v>
      </c>
      <c r="K87" s="1">
        <v>104.33387916469987</v>
      </c>
      <c r="L87" s="1">
        <v>101.96364723002077</v>
      </c>
      <c r="M87" s="1">
        <v>100</v>
      </c>
      <c r="N87" s="1">
        <v>100</v>
      </c>
      <c r="O87" s="1">
        <v>100</v>
      </c>
      <c r="P87" s="1">
        <v>95.861485755846545</v>
      </c>
      <c r="Q87" s="1">
        <v>100</v>
      </c>
      <c r="R87" s="1">
        <v>98.539127000430625</v>
      </c>
      <c r="S87" s="1">
        <v>100</v>
      </c>
      <c r="T87" s="1">
        <v>100.91781215891351</v>
      </c>
      <c r="U87" s="1">
        <v>98.778848255775031</v>
      </c>
      <c r="V87" s="1">
        <v>100</v>
      </c>
      <c r="W87" s="1">
        <v>100</v>
      </c>
      <c r="X87" s="1">
        <v>100</v>
      </c>
      <c r="Y87" s="1">
        <v>100</v>
      </c>
      <c r="Z87" s="1">
        <v>97.780579176900417</v>
      </c>
      <c r="AA87" s="1">
        <v>98.539127000430625</v>
      </c>
      <c r="AB87" s="1">
        <v>99.498174769590307</v>
      </c>
      <c r="AC87" s="1">
        <v>100.57277765612425</v>
      </c>
      <c r="AD87" s="1">
        <v>109.88587193387652</v>
      </c>
      <c r="AE87" s="1">
        <v>94.220646092765818</v>
      </c>
      <c r="AF87" s="1">
        <v>100.94957983664952</v>
      </c>
      <c r="AG87" s="1">
        <v>100</v>
      </c>
      <c r="AH87" s="1">
        <v>100</v>
      </c>
      <c r="AI87" s="1">
        <v>100</v>
      </c>
      <c r="AJ87" s="1">
        <v>100</v>
      </c>
      <c r="AK87" s="1">
        <v>94.442143983388689</v>
      </c>
      <c r="AL87" s="1">
        <v>100</v>
      </c>
      <c r="AM87" s="1">
        <v>100</v>
      </c>
      <c r="AN87" s="1">
        <v>103.43301426244513</v>
      </c>
      <c r="AO87" s="1">
        <v>94.601223572119153</v>
      </c>
      <c r="AP87" s="1">
        <v>100</v>
      </c>
      <c r="AQ87" s="1">
        <v>100</v>
      </c>
      <c r="AR87" s="1">
        <v>100</v>
      </c>
      <c r="AS87" s="1">
        <v>100</v>
      </c>
      <c r="AT87" s="1">
        <v>102.31832915754761</v>
      </c>
      <c r="AU87" s="1">
        <v>100</v>
      </c>
      <c r="AV87" s="1">
        <v>100</v>
      </c>
      <c r="AW87" s="1">
        <v>100</v>
      </c>
      <c r="AX87" s="1">
        <v>100</v>
      </c>
      <c r="AY87" s="1">
        <v>100</v>
      </c>
      <c r="AZ87" s="1">
        <v>100</v>
      </c>
      <c r="BA87" s="1">
        <v>100</v>
      </c>
      <c r="BB87" s="1">
        <v>100</v>
      </c>
      <c r="BC87" s="1">
        <v>100</v>
      </c>
      <c r="BD87" s="1">
        <v>100</v>
      </c>
      <c r="BE87" s="1">
        <v>100</v>
      </c>
      <c r="BF87" s="1">
        <v>100</v>
      </c>
      <c r="BG87" s="1">
        <v>100</v>
      </c>
      <c r="BH87" s="1">
        <v>100</v>
      </c>
    </row>
    <row r="88" spans="1:60" x14ac:dyDescent="0.25">
      <c r="A88">
        <v>75</v>
      </c>
      <c r="B88" s="1">
        <v>96.647048727289175</v>
      </c>
      <c r="C88" s="1">
        <v>100</v>
      </c>
      <c r="D88" s="1">
        <v>100</v>
      </c>
      <c r="E88" s="1">
        <v>113.3289008703652</v>
      </c>
      <c r="F88" s="1">
        <v>100</v>
      </c>
      <c r="G88" s="1">
        <v>100</v>
      </c>
      <c r="H88" s="1">
        <v>100.79779325216231</v>
      </c>
      <c r="I88" s="1">
        <v>92.589990142659005</v>
      </c>
      <c r="J88" s="1">
        <v>100</v>
      </c>
      <c r="K88" s="1">
        <v>104.33387916469987</v>
      </c>
      <c r="L88" s="1">
        <v>101.96364723002077</v>
      </c>
      <c r="M88" s="1">
        <v>100</v>
      </c>
      <c r="N88" s="1">
        <v>100</v>
      </c>
      <c r="O88" s="1">
        <v>100</v>
      </c>
      <c r="P88" s="1">
        <v>95.861485755846545</v>
      </c>
      <c r="Q88" s="1">
        <v>100</v>
      </c>
      <c r="R88" s="1">
        <v>98.539127000430625</v>
      </c>
      <c r="S88" s="1">
        <v>100</v>
      </c>
      <c r="T88" s="1">
        <v>100.91781215891351</v>
      </c>
      <c r="U88" s="1">
        <v>98.778848255775031</v>
      </c>
      <c r="V88" s="1">
        <v>100</v>
      </c>
      <c r="W88" s="1">
        <v>100</v>
      </c>
      <c r="X88" s="1">
        <v>100</v>
      </c>
      <c r="Y88" s="1">
        <v>100</v>
      </c>
      <c r="Z88" s="1">
        <v>97.780579176900417</v>
      </c>
      <c r="AA88" s="1">
        <v>98.539127000430625</v>
      </c>
      <c r="AB88" s="1">
        <v>99.498174769590307</v>
      </c>
      <c r="AC88" s="1">
        <v>100.57277765612425</v>
      </c>
      <c r="AD88" s="1">
        <v>109.88587193387652</v>
      </c>
      <c r="AE88" s="1">
        <v>93.597281297044447</v>
      </c>
      <c r="AF88" s="1">
        <v>100.94957983664952</v>
      </c>
      <c r="AG88" s="1">
        <v>100</v>
      </c>
      <c r="AH88" s="1">
        <v>100</v>
      </c>
      <c r="AI88" s="1">
        <v>100</v>
      </c>
      <c r="AJ88" s="1">
        <v>100</v>
      </c>
      <c r="AK88" s="1">
        <v>93.817313755269367</v>
      </c>
      <c r="AL88" s="1">
        <v>100</v>
      </c>
      <c r="AM88" s="1">
        <v>100</v>
      </c>
      <c r="AN88" s="1">
        <v>103.43301426244513</v>
      </c>
      <c r="AO88" s="1">
        <v>95.249778921406744</v>
      </c>
      <c r="AP88" s="1">
        <v>100</v>
      </c>
      <c r="AQ88" s="1">
        <v>100</v>
      </c>
      <c r="AR88" s="1">
        <v>100</v>
      </c>
      <c r="AS88" s="1">
        <v>100</v>
      </c>
      <c r="AT88" s="1">
        <v>102.91796883210071</v>
      </c>
      <c r="AU88" s="1">
        <v>100</v>
      </c>
      <c r="AV88" s="1">
        <v>100</v>
      </c>
      <c r="AW88" s="1">
        <v>100</v>
      </c>
      <c r="AX88" s="1">
        <v>100</v>
      </c>
      <c r="AY88" s="1">
        <v>100</v>
      </c>
      <c r="AZ88" s="1">
        <v>100</v>
      </c>
      <c r="BA88" s="1">
        <v>100</v>
      </c>
      <c r="BB88" s="1">
        <v>100</v>
      </c>
      <c r="BC88" s="1">
        <v>100</v>
      </c>
      <c r="BD88" s="1">
        <v>100</v>
      </c>
      <c r="BE88" s="1">
        <v>100</v>
      </c>
      <c r="BF88" s="1">
        <v>100</v>
      </c>
      <c r="BG88" s="1">
        <v>100</v>
      </c>
      <c r="BH88" s="1">
        <v>100</v>
      </c>
    </row>
    <row r="89" spans="1:60" x14ac:dyDescent="0.25">
      <c r="A89">
        <v>76</v>
      </c>
      <c r="B89" s="1">
        <v>96.647048727289175</v>
      </c>
      <c r="C89" s="1">
        <v>100</v>
      </c>
      <c r="D89" s="1">
        <v>100</v>
      </c>
      <c r="E89" s="1">
        <v>113.3289008703652</v>
      </c>
      <c r="F89" s="1">
        <v>100</v>
      </c>
      <c r="G89" s="1">
        <v>100</v>
      </c>
      <c r="H89" s="1">
        <v>100.79779325216231</v>
      </c>
      <c r="I89" s="1">
        <v>92.589990142659005</v>
      </c>
      <c r="J89" s="1">
        <v>100</v>
      </c>
      <c r="K89" s="1">
        <v>104.33387916469987</v>
      </c>
      <c r="L89" s="1">
        <v>101.96364723002077</v>
      </c>
      <c r="M89" s="1">
        <v>100</v>
      </c>
      <c r="N89" s="1">
        <v>100</v>
      </c>
      <c r="O89" s="1">
        <v>100</v>
      </c>
      <c r="P89" s="1">
        <v>95.861485755846545</v>
      </c>
      <c r="Q89" s="1">
        <v>100</v>
      </c>
      <c r="R89" s="1">
        <v>98.539127000430625</v>
      </c>
      <c r="S89" s="1">
        <v>100</v>
      </c>
      <c r="T89" s="1">
        <v>100.91781215891351</v>
      </c>
      <c r="U89" s="1">
        <v>98.778848255775031</v>
      </c>
      <c r="V89" s="1">
        <v>100</v>
      </c>
      <c r="W89" s="1">
        <v>100</v>
      </c>
      <c r="X89" s="1">
        <v>100</v>
      </c>
      <c r="Y89" s="1">
        <v>100</v>
      </c>
      <c r="Z89" s="1">
        <v>97.780579176900417</v>
      </c>
      <c r="AA89" s="1">
        <v>98.539127000430625</v>
      </c>
      <c r="AB89" s="1">
        <v>99.498174769590307</v>
      </c>
      <c r="AC89" s="1">
        <v>100.57277765612425</v>
      </c>
      <c r="AD89" s="1">
        <v>109.88587193387652</v>
      </c>
      <c r="AE89" s="1">
        <v>92.044510872376279</v>
      </c>
      <c r="AF89" s="1">
        <v>100.94957983664952</v>
      </c>
      <c r="AG89" s="1">
        <v>100</v>
      </c>
      <c r="AH89" s="1">
        <v>100</v>
      </c>
      <c r="AI89" s="1">
        <v>100</v>
      </c>
      <c r="AJ89" s="1">
        <v>100</v>
      </c>
      <c r="AK89" s="1">
        <v>92.260893012035694</v>
      </c>
      <c r="AL89" s="1">
        <v>100</v>
      </c>
      <c r="AM89" s="1">
        <v>100</v>
      </c>
      <c r="AN89" s="1">
        <v>103.43301426244513</v>
      </c>
      <c r="AO89" s="1">
        <v>96.864530278974726</v>
      </c>
      <c r="AP89" s="1">
        <v>100</v>
      </c>
      <c r="AQ89" s="1">
        <v>100</v>
      </c>
      <c r="AR89" s="1">
        <v>100</v>
      </c>
      <c r="AS89" s="1">
        <v>100</v>
      </c>
      <c r="AT89" s="1">
        <v>104.41240864243457</v>
      </c>
      <c r="AU89" s="1">
        <v>100</v>
      </c>
      <c r="AV89" s="1">
        <v>100</v>
      </c>
      <c r="AW89" s="1">
        <v>100</v>
      </c>
      <c r="AX89" s="1">
        <v>100</v>
      </c>
      <c r="AY89" s="1">
        <v>100</v>
      </c>
      <c r="AZ89" s="1">
        <v>100</v>
      </c>
      <c r="BA89" s="1">
        <v>100</v>
      </c>
      <c r="BB89" s="1">
        <v>100</v>
      </c>
      <c r="BC89" s="1">
        <v>100</v>
      </c>
      <c r="BD89" s="1">
        <v>100</v>
      </c>
      <c r="BE89" s="1">
        <v>100</v>
      </c>
      <c r="BF89" s="1">
        <v>100</v>
      </c>
      <c r="BG89" s="1">
        <v>100</v>
      </c>
      <c r="BH89" s="1">
        <v>100</v>
      </c>
    </row>
    <row r="90" spans="1:60" x14ac:dyDescent="0.25">
      <c r="A90">
        <v>77</v>
      </c>
      <c r="B90" s="1">
        <v>96.647048727289175</v>
      </c>
      <c r="C90" s="1">
        <v>100</v>
      </c>
      <c r="D90" s="1">
        <v>100</v>
      </c>
      <c r="E90" s="1">
        <v>113.3289008703652</v>
      </c>
      <c r="F90" s="1">
        <v>100</v>
      </c>
      <c r="G90" s="1">
        <v>100</v>
      </c>
      <c r="H90" s="1">
        <v>100.79779325216231</v>
      </c>
      <c r="I90" s="1">
        <v>92.589990142659005</v>
      </c>
      <c r="J90" s="1">
        <v>100</v>
      </c>
      <c r="K90" s="1">
        <v>104.33387916469987</v>
      </c>
      <c r="L90" s="1">
        <v>103.90222541083598</v>
      </c>
      <c r="M90" s="1">
        <v>100</v>
      </c>
      <c r="N90" s="1">
        <v>100</v>
      </c>
      <c r="O90" s="1">
        <v>100</v>
      </c>
      <c r="P90" s="1">
        <v>95.861485755846545</v>
      </c>
      <c r="Q90" s="1">
        <v>100</v>
      </c>
      <c r="R90" s="1">
        <v>98.539127000430625</v>
      </c>
      <c r="S90" s="1">
        <v>100</v>
      </c>
      <c r="T90" s="1">
        <v>100.91781215891351</v>
      </c>
      <c r="U90" s="1">
        <v>98.778848255775031</v>
      </c>
      <c r="V90" s="1">
        <v>100</v>
      </c>
      <c r="W90" s="1">
        <v>100</v>
      </c>
      <c r="X90" s="1">
        <v>100</v>
      </c>
      <c r="Y90" s="1">
        <v>100</v>
      </c>
      <c r="Z90" s="1">
        <v>97.780579176900417</v>
      </c>
      <c r="AA90" s="1">
        <v>98.539127000430625</v>
      </c>
      <c r="AB90" s="1">
        <v>99.498174769590307</v>
      </c>
      <c r="AC90" s="1">
        <v>100.57277765612425</v>
      </c>
      <c r="AD90" s="1">
        <v>109.88587193387652</v>
      </c>
      <c r="AE90" s="1">
        <v>92.044510872376279</v>
      </c>
      <c r="AF90" s="1">
        <v>100.94957983664952</v>
      </c>
      <c r="AG90" s="1">
        <v>100</v>
      </c>
      <c r="AH90" s="1">
        <v>100</v>
      </c>
      <c r="AI90" s="1">
        <v>100</v>
      </c>
      <c r="AJ90" s="1">
        <v>100</v>
      </c>
      <c r="AK90" s="1">
        <v>92.260893012035694</v>
      </c>
      <c r="AL90" s="1">
        <v>100</v>
      </c>
      <c r="AM90" s="1">
        <v>100</v>
      </c>
      <c r="AN90" s="1">
        <v>105.34405304600911</v>
      </c>
      <c r="AO90" s="1">
        <v>95.011902049398145</v>
      </c>
      <c r="AP90" s="1">
        <v>100</v>
      </c>
      <c r="AQ90" s="1">
        <v>100</v>
      </c>
      <c r="AR90" s="1">
        <v>100</v>
      </c>
      <c r="AS90" s="1">
        <v>100</v>
      </c>
      <c r="AT90" s="1">
        <v>102.41541990763196</v>
      </c>
      <c r="AU90" s="1">
        <v>100</v>
      </c>
      <c r="AV90" s="1">
        <v>100</v>
      </c>
      <c r="AW90" s="1">
        <v>100</v>
      </c>
      <c r="AX90" s="1">
        <v>100</v>
      </c>
      <c r="AY90" s="1">
        <v>100</v>
      </c>
      <c r="AZ90" s="1">
        <v>100</v>
      </c>
      <c r="BA90" s="1">
        <v>100</v>
      </c>
      <c r="BB90" s="1">
        <v>100</v>
      </c>
      <c r="BC90" s="1">
        <v>100</v>
      </c>
      <c r="BD90" s="1">
        <v>100</v>
      </c>
      <c r="BE90" s="1">
        <v>100</v>
      </c>
      <c r="BF90" s="1">
        <v>100</v>
      </c>
      <c r="BG90" s="1">
        <v>100</v>
      </c>
      <c r="BH90" s="1">
        <v>100</v>
      </c>
    </row>
    <row r="91" spans="1:60" x14ac:dyDescent="0.25">
      <c r="A91">
        <v>78</v>
      </c>
      <c r="B91" s="1">
        <v>96.647048727289175</v>
      </c>
      <c r="C91" s="1">
        <v>100</v>
      </c>
      <c r="D91" s="1">
        <v>100</v>
      </c>
      <c r="E91" s="1">
        <v>113.3289008703652</v>
      </c>
      <c r="F91" s="1">
        <v>100</v>
      </c>
      <c r="G91" s="1">
        <v>100</v>
      </c>
      <c r="H91" s="1">
        <v>100.79779325216231</v>
      </c>
      <c r="I91" s="1">
        <v>92.589990142659005</v>
      </c>
      <c r="J91" s="1">
        <v>100</v>
      </c>
      <c r="K91" s="1">
        <v>104.33387916469987</v>
      </c>
      <c r="L91" s="1">
        <v>103.71572838339243</v>
      </c>
      <c r="M91" s="1">
        <v>100</v>
      </c>
      <c r="N91" s="1">
        <v>100</v>
      </c>
      <c r="O91" s="1">
        <v>100</v>
      </c>
      <c r="P91" s="1">
        <v>95.861485755846545</v>
      </c>
      <c r="Q91" s="1">
        <v>100</v>
      </c>
      <c r="R91" s="1">
        <v>98.539127000430625</v>
      </c>
      <c r="S91" s="1">
        <v>100</v>
      </c>
      <c r="T91" s="1">
        <v>100.91781215891351</v>
      </c>
      <c r="U91" s="1">
        <v>98.778848255775031</v>
      </c>
      <c r="V91" s="1">
        <v>100</v>
      </c>
      <c r="W91" s="1">
        <v>100</v>
      </c>
      <c r="X91" s="1">
        <v>100</v>
      </c>
      <c r="Y91" s="1">
        <v>100</v>
      </c>
      <c r="Z91" s="1">
        <v>97.780579176900417</v>
      </c>
      <c r="AA91" s="1">
        <v>98.539127000430625</v>
      </c>
      <c r="AB91" s="1">
        <v>99.498174769590307</v>
      </c>
      <c r="AC91" s="1">
        <v>100.57277765612425</v>
      </c>
      <c r="AD91" s="1">
        <v>109.88587193387652</v>
      </c>
      <c r="AE91" s="1">
        <v>92.044510872376279</v>
      </c>
      <c r="AF91" s="1">
        <v>100.94957983664952</v>
      </c>
      <c r="AG91" s="1">
        <v>100</v>
      </c>
      <c r="AH91" s="1">
        <v>100</v>
      </c>
      <c r="AI91" s="1">
        <v>100</v>
      </c>
      <c r="AJ91" s="1">
        <v>100</v>
      </c>
      <c r="AK91" s="1">
        <v>92.260893012035694</v>
      </c>
      <c r="AL91" s="1">
        <v>100</v>
      </c>
      <c r="AM91" s="1">
        <v>100</v>
      </c>
      <c r="AN91" s="1">
        <v>105.15496804158063</v>
      </c>
      <c r="AO91" s="1">
        <v>95.206735222044372</v>
      </c>
      <c r="AP91" s="1">
        <v>100</v>
      </c>
      <c r="AQ91" s="1">
        <v>100</v>
      </c>
      <c r="AR91" s="1">
        <v>100</v>
      </c>
      <c r="AS91" s="1">
        <v>100</v>
      </c>
      <c r="AT91" s="1">
        <v>102.59616876685777</v>
      </c>
      <c r="AU91" s="1">
        <v>100</v>
      </c>
      <c r="AV91" s="1">
        <v>100</v>
      </c>
      <c r="AW91" s="1">
        <v>100</v>
      </c>
      <c r="AX91" s="1">
        <v>100</v>
      </c>
      <c r="AY91" s="1">
        <v>100</v>
      </c>
      <c r="AZ91" s="1">
        <v>100</v>
      </c>
      <c r="BA91" s="1">
        <v>100</v>
      </c>
      <c r="BB91" s="1">
        <v>100</v>
      </c>
      <c r="BC91" s="1">
        <v>100</v>
      </c>
      <c r="BD91" s="1">
        <v>100</v>
      </c>
      <c r="BE91" s="1">
        <v>100</v>
      </c>
      <c r="BF91" s="1">
        <v>100</v>
      </c>
      <c r="BG91" s="1">
        <v>100</v>
      </c>
      <c r="BH91" s="1">
        <v>100</v>
      </c>
    </row>
    <row r="92" spans="1:60" x14ac:dyDescent="0.25">
      <c r="A92">
        <v>79</v>
      </c>
      <c r="B92" s="1">
        <v>96.647048727289175</v>
      </c>
      <c r="C92" s="1">
        <v>100</v>
      </c>
      <c r="D92" s="1">
        <v>100</v>
      </c>
      <c r="E92" s="1">
        <v>113.3289008703652</v>
      </c>
      <c r="F92" s="1">
        <v>100</v>
      </c>
      <c r="G92" s="1">
        <v>100</v>
      </c>
      <c r="H92" s="1">
        <v>100.79779325216231</v>
      </c>
      <c r="I92" s="1">
        <v>92.589990142659005</v>
      </c>
      <c r="J92" s="1">
        <v>100</v>
      </c>
      <c r="K92" s="1">
        <v>103.8653274201905</v>
      </c>
      <c r="L92" s="1">
        <v>103.71572838339243</v>
      </c>
      <c r="M92" s="1">
        <v>100</v>
      </c>
      <c r="N92" s="1">
        <v>100</v>
      </c>
      <c r="O92" s="1">
        <v>100</v>
      </c>
      <c r="P92" s="1">
        <v>95.861485755846545</v>
      </c>
      <c r="Q92" s="1">
        <v>100</v>
      </c>
      <c r="R92" s="1">
        <v>98.539127000430625</v>
      </c>
      <c r="S92" s="1">
        <v>100</v>
      </c>
      <c r="T92" s="1">
        <v>100.91781215891351</v>
      </c>
      <c r="U92" s="1">
        <v>98.778848255775031</v>
      </c>
      <c r="V92" s="1">
        <v>100</v>
      </c>
      <c r="W92" s="1">
        <v>100</v>
      </c>
      <c r="X92" s="1">
        <v>100</v>
      </c>
      <c r="Y92" s="1">
        <v>100</v>
      </c>
      <c r="Z92" s="1">
        <v>97.780579176900417</v>
      </c>
      <c r="AA92" s="1">
        <v>98.539127000430625</v>
      </c>
      <c r="AB92" s="1">
        <v>99.498174769590307</v>
      </c>
      <c r="AC92" s="1">
        <v>100.57277765612425</v>
      </c>
      <c r="AD92" s="1">
        <v>109.88587193387652</v>
      </c>
      <c r="AE92" s="1">
        <v>92.515301926596138</v>
      </c>
      <c r="AF92" s="1">
        <v>100.94957983664952</v>
      </c>
      <c r="AG92" s="1">
        <v>100</v>
      </c>
      <c r="AH92" s="1">
        <v>100</v>
      </c>
      <c r="AI92" s="1">
        <v>100</v>
      </c>
      <c r="AJ92" s="1">
        <v>100</v>
      </c>
      <c r="AK92" s="1">
        <v>91.846559693684327</v>
      </c>
      <c r="AL92" s="1">
        <v>100</v>
      </c>
      <c r="AM92" s="1">
        <v>100</v>
      </c>
      <c r="AN92" s="1">
        <v>105.56706205022151</v>
      </c>
      <c r="AO92" s="1">
        <v>95.206735222044372</v>
      </c>
      <c r="AP92" s="1">
        <v>100</v>
      </c>
      <c r="AQ92" s="1">
        <v>100</v>
      </c>
      <c r="AR92" s="1">
        <v>100</v>
      </c>
      <c r="AS92" s="1">
        <v>100</v>
      </c>
      <c r="AT92" s="1">
        <v>102.59616876685777</v>
      </c>
      <c r="AU92" s="1">
        <v>100</v>
      </c>
      <c r="AV92" s="1">
        <v>100</v>
      </c>
      <c r="AW92" s="1">
        <v>100</v>
      </c>
      <c r="AX92" s="1">
        <v>100</v>
      </c>
      <c r="AY92" s="1">
        <v>100</v>
      </c>
      <c r="AZ92" s="1">
        <v>100</v>
      </c>
      <c r="BA92" s="1">
        <v>100</v>
      </c>
      <c r="BB92" s="1">
        <v>100</v>
      </c>
      <c r="BC92" s="1">
        <v>100</v>
      </c>
      <c r="BD92" s="1">
        <v>100</v>
      </c>
      <c r="BE92" s="1">
        <v>100</v>
      </c>
      <c r="BF92" s="1">
        <v>100</v>
      </c>
      <c r="BG92" s="1">
        <v>100</v>
      </c>
      <c r="BH92" s="1">
        <v>100</v>
      </c>
    </row>
    <row r="93" spans="1:60" x14ac:dyDescent="0.25">
      <c r="A93">
        <v>80</v>
      </c>
      <c r="B93" s="1">
        <v>96.647048727289175</v>
      </c>
      <c r="C93" s="1">
        <v>100</v>
      </c>
      <c r="D93" s="1">
        <v>100</v>
      </c>
      <c r="E93" s="1">
        <v>113.3289008703652</v>
      </c>
      <c r="F93" s="1">
        <v>100</v>
      </c>
      <c r="G93" s="1">
        <v>100</v>
      </c>
      <c r="H93" s="1">
        <v>100.79779325216231</v>
      </c>
      <c r="I93" s="1">
        <v>92.589990142659005</v>
      </c>
      <c r="J93" s="1">
        <v>100</v>
      </c>
      <c r="K93" s="1">
        <v>104.11411958657278</v>
      </c>
      <c r="L93" s="1">
        <v>103.71572838339243</v>
      </c>
      <c r="M93" s="1">
        <v>100</v>
      </c>
      <c r="N93" s="1">
        <v>100</v>
      </c>
      <c r="O93" s="1">
        <v>100</v>
      </c>
      <c r="P93" s="1">
        <v>95.861485755846545</v>
      </c>
      <c r="Q93" s="1">
        <v>100</v>
      </c>
      <c r="R93" s="1">
        <v>98.539127000430625</v>
      </c>
      <c r="S93" s="1">
        <v>100</v>
      </c>
      <c r="T93" s="1">
        <v>100.91781215891351</v>
      </c>
      <c r="U93" s="1">
        <v>98.778848255775031</v>
      </c>
      <c r="V93" s="1">
        <v>100</v>
      </c>
      <c r="W93" s="1">
        <v>100</v>
      </c>
      <c r="X93" s="1">
        <v>100</v>
      </c>
      <c r="Y93" s="1">
        <v>100</v>
      </c>
      <c r="Z93" s="1">
        <v>97.780579176900417</v>
      </c>
      <c r="AA93" s="1">
        <v>98.539127000430625</v>
      </c>
      <c r="AB93" s="1">
        <v>99.498174769590307</v>
      </c>
      <c r="AC93" s="1">
        <v>100.57277765612425</v>
      </c>
      <c r="AD93" s="1">
        <v>109.88587193387652</v>
      </c>
      <c r="AE93" s="1">
        <v>92.267697290004975</v>
      </c>
      <c r="AF93" s="1">
        <v>100.94957983664952</v>
      </c>
      <c r="AG93" s="1">
        <v>100</v>
      </c>
      <c r="AH93" s="1">
        <v>100</v>
      </c>
      <c r="AI93" s="1">
        <v>100</v>
      </c>
      <c r="AJ93" s="1">
        <v>100</v>
      </c>
      <c r="AK93" s="1">
        <v>92.127908063259142</v>
      </c>
      <c r="AL93" s="1">
        <v>100</v>
      </c>
      <c r="AM93" s="1">
        <v>100</v>
      </c>
      <c r="AN93" s="1">
        <v>105.28452615085557</v>
      </c>
      <c r="AO93" s="1">
        <v>95.206735222044372</v>
      </c>
      <c r="AP93" s="1">
        <v>100</v>
      </c>
      <c r="AQ93" s="1">
        <v>100</v>
      </c>
      <c r="AR93" s="1">
        <v>100</v>
      </c>
      <c r="AS93" s="1">
        <v>100</v>
      </c>
      <c r="AT93" s="1">
        <v>102.59616876685777</v>
      </c>
      <c r="AU93" s="1">
        <v>100</v>
      </c>
      <c r="AV93" s="1">
        <v>100</v>
      </c>
      <c r="AW93" s="1">
        <v>100</v>
      </c>
      <c r="AX93" s="1">
        <v>100</v>
      </c>
      <c r="AY93" s="1">
        <v>100</v>
      </c>
      <c r="AZ93" s="1">
        <v>100</v>
      </c>
      <c r="BA93" s="1">
        <v>100</v>
      </c>
      <c r="BB93" s="1">
        <v>100</v>
      </c>
      <c r="BC93" s="1">
        <v>100</v>
      </c>
      <c r="BD93" s="1">
        <v>100</v>
      </c>
      <c r="BE93" s="1">
        <v>100</v>
      </c>
      <c r="BF93" s="1">
        <v>100</v>
      </c>
      <c r="BG93" s="1">
        <v>100</v>
      </c>
      <c r="BH93" s="1">
        <v>100</v>
      </c>
    </row>
    <row r="94" spans="1:60" x14ac:dyDescent="0.25">
      <c r="A94">
        <v>81</v>
      </c>
      <c r="B94" s="1">
        <v>96.647048727289175</v>
      </c>
      <c r="C94" s="1">
        <v>100</v>
      </c>
      <c r="D94" s="1">
        <v>100</v>
      </c>
      <c r="E94" s="1">
        <v>113.3289008703652</v>
      </c>
      <c r="F94" s="1">
        <v>100</v>
      </c>
      <c r="G94" s="1">
        <v>100</v>
      </c>
      <c r="H94" s="1">
        <v>100.79779325216231</v>
      </c>
      <c r="I94" s="1">
        <v>93.061533094864288</v>
      </c>
      <c r="J94" s="1">
        <v>100</v>
      </c>
      <c r="K94" s="1">
        <v>104.11411958657278</v>
      </c>
      <c r="L94" s="1">
        <v>103.71572838339243</v>
      </c>
      <c r="M94" s="1">
        <v>100</v>
      </c>
      <c r="N94" s="1">
        <v>100</v>
      </c>
      <c r="O94" s="1">
        <v>100</v>
      </c>
      <c r="P94" s="1">
        <v>95.861485755846545</v>
      </c>
      <c r="Q94" s="1">
        <v>100</v>
      </c>
      <c r="R94" s="1">
        <v>98.539127000430625</v>
      </c>
      <c r="S94" s="1">
        <v>100</v>
      </c>
      <c r="T94" s="1">
        <v>100.91781215891351</v>
      </c>
      <c r="U94" s="1">
        <v>98.778848255775031</v>
      </c>
      <c r="V94" s="1">
        <v>100</v>
      </c>
      <c r="W94" s="1">
        <v>100</v>
      </c>
      <c r="X94" s="1">
        <v>100</v>
      </c>
      <c r="Y94" s="1">
        <v>100</v>
      </c>
      <c r="Z94" s="1">
        <v>97.780579176900417</v>
      </c>
      <c r="AA94" s="1">
        <v>98.539127000430625</v>
      </c>
      <c r="AB94" s="1">
        <v>99.039740217404258</v>
      </c>
      <c r="AC94" s="1">
        <v>100.57277765612425</v>
      </c>
      <c r="AD94" s="1">
        <v>109.88587193387652</v>
      </c>
      <c r="AE94" s="1">
        <v>92.267697290004975</v>
      </c>
      <c r="AF94" s="1">
        <v>100.94957983664952</v>
      </c>
      <c r="AG94" s="1">
        <v>100</v>
      </c>
      <c r="AH94" s="1">
        <v>100</v>
      </c>
      <c r="AI94" s="1">
        <v>100</v>
      </c>
      <c r="AJ94" s="1">
        <v>100</v>
      </c>
      <c r="AK94" s="1">
        <v>92.127908063259142</v>
      </c>
      <c r="AL94" s="1">
        <v>100</v>
      </c>
      <c r="AM94" s="1">
        <v>100</v>
      </c>
      <c r="AN94" s="1">
        <v>105.28452615085557</v>
      </c>
      <c r="AO94" s="1">
        <v>94.768073335756654</v>
      </c>
      <c r="AP94" s="1">
        <v>100</v>
      </c>
      <c r="AQ94" s="1">
        <v>100</v>
      </c>
      <c r="AR94" s="1">
        <v>100</v>
      </c>
      <c r="AS94" s="1">
        <v>100</v>
      </c>
      <c r="AT94" s="1">
        <v>103.02172225312627</v>
      </c>
      <c r="AU94" s="1">
        <v>100</v>
      </c>
      <c r="AV94" s="1">
        <v>100</v>
      </c>
      <c r="AW94" s="1">
        <v>100</v>
      </c>
      <c r="AX94" s="1">
        <v>100</v>
      </c>
      <c r="AY94" s="1">
        <v>100</v>
      </c>
      <c r="AZ94" s="1">
        <v>100</v>
      </c>
      <c r="BA94" s="1">
        <v>100</v>
      </c>
      <c r="BB94" s="1">
        <v>100</v>
      </c>
      <c r="BC94" s="1">
        <v>100</v>
      </c>
      <c r="BD94" s="1">
        <v>100</v>
      </c>
      <c r="BE94" s="1">
        <v>100</v>
      </c>
      <c r="BF94" s="1">
        <v>100</v>
      </c>
      <c r="BG94" s="1">
        <v>100</v>
      </c>
      <c r="BH94" s="1">
        <v>100</v>
      </c>
    </row>
    <row r="95" spans="1:60" x14ac:dyDescent="0.25">
      <c r="A95">
        <v>82</v>
      </c>
      <c r="B95" s="1">
        <v>96.647048727289175</v>
      </c>
      <c r="C95" s="1">
        <v>100</v>
      </c>
      <c r="D95" s="1">
        <v>100</v>
      </c>
      <c r="E95" s="1">
        <v>113.3289008703652</v>
      </c>
      <c r="F95" s="1">
        <v>100</v>
      </c>
      <c r="G95" s="1">
        <v>100</v>
      </c>
      <c r="H95" s="1">
        <v>100.79779325216231</v>
      </c>
      <c r="I95" s="1">
        <v>96.978778433590605</v>
      </c>
      <c r="J95" s="1">
        <v>100</v>
      </c>
      <c r="K95" s="1">
        <v>104.11411958657278</v>
      </c>
      <c r="L95" s="1">
        <v>103.71572838339243</v>
      </c>
      <c r="M95" s="1">
        <v>100</v>
      </c>
      <c r="N95" s="1">
        <v>100</v>
      </c>
      <c r="O95" s="1">
        <v>100</v>
      </c>
      <c r="P95" s="1">
        <v>95.861485755846545</v>
      </c>
      <c r="Q95" s="1">
        <v>100</v>
      </c>
      <c r="R95" s="1">
        <v>98.539127000430625</v>
      </c>
      <c r="S95" s="1">
        <v>100</v>
      </c>
      <c r="T95" s="1">
        <v>100.91781215891351</v>
      </c>
      <c r="U95" s="1">
        <v>98.778848255775031</v>
      </c>
      <c r="V95" s="1">
        <v>100</v>
      </c>
      <c r="W95" s="1">
        <v>100</v>
      </c>
      <c r="X95" s="1">
        <v>100</v>
      </c>
      <c r="Y95" s="1">
        <v>100</v>
      </c>
      <c r="Z95" s="1">
        <v>97.780579176900417</v>
      </c>
      <c r="AA95" s="1">
        <v>98.539127000430625</v>
      </c>
      <c r="AB95" s="1">
        <v>95.229690126370755</v>
      </c>
      <c r="AC95" s="1">
        <v>100.57277765612425</v>
      </c>
      <c r="AD95" s="1">
        <v>109.88587193387652</v>
      </c>
      <c r="AE95" s="1">
        <v>92.267697290004975</v>
      </c>
      <c r="AF95" s="1">
        <v>100.94957983664952</v>
      </c>
      <c r="AG95" s="1">
        <v>100</v>
      </c>
      <c r="AH95" s="1">
        <v>100</v>
      </c>
      <c r="AI95" s="1">
        <v>100</v>
      </c>
      <c r="AJ95" s="1">
        <v>100</v>
      </c>
      <c r="AK95" s="1">
        <v>92.127908063259142</v>
      </c>
      <c r="AL95" s="1">
        <v>100</v>
      </c>
      <c r="AM95" s="1">
        <v>100</v>
      </c>
      <c r="AN95" s="1">
        <v>105.28452615085557</v>
      </c>
      <c r="AO95" s="1">
        <v>91.122353893769272</v>
      </c>
      <c r="AP95" s="1">
        <v>100</v>
      </c>
      <c r="AQ95" s="1">
        <v>100</v>
      </c>
      <c r="AR95" s="1">
        <v>100</v>
      </c>
      <c r="AS95" s="1">
        <v>100</v>
      </c>
      <c r="AT95" s="1">
        <v>106.56024644742084</v>
      </c>
      <c r="AU95" s="1">
        <v>100</v>
      </c>
      <c r="AV95" s="1">
        <v>100</v>
      </c>
      <c r="AW95" s="1">
        <v>100</v>
      </c>
      <c r="AX95" s="1">
        <v>100</v>
      </c>
      <c r="AY95" s="1">
        <v>100</v>
      </c>
      <c r="AZ95" s="1">
        <v>100</v>
      </c>
      <c r="BA95" s="1">
        <v>100</v>
      </c>
      <c r="BB95" s="1">
        <v>100</v>
      </c>
      <c r="BC95" s="1">
        <v>100</v>
      </c>
      <c r="BD95" s="1">
        <v>100</v>
      </c>
      <c r="BE95" s="1">
        <v>100</v>
      </c>
      <c r="BF95" s="1">
        <v>100</v>
      </c>
      <c r="BG95" s="1">
        <v>100</v>
      </c>
      <c r="BH95" s="1">
        <v>100</v>
      </c>
    </row>
    <row r="96" spans="1:60" x14ac:dyDescent="0.25">
      <c r="A96">
        <v>83</v>
      </c>
      <c r="B96" s="1">
        <v>95.080771295522609</v>
      </c>
      <c r="C96" s="1">
        <v>100</v>
      </c>
      <c r="D96" s="1">
        <v>100</v>
      </c>
      <c r="E96" s="1">
        <v>113.3289008703652</v>
      </c>
      <c r="F96" s="1">
        <v>100</v>
      </c>
      <c r="G96" s="1">
        <v>100</v>
      </c>
      <c r="H96" s="1">
        <v>100.79779325216231</v>
      </c>
      <c r="I96" s="1">
        <v>95.407124937481996</v>
      </c>
      <c r="J96" s="1">
        <v>100</v>
      </c>
      <c r="K96" s="1">
        <v>105.65146101803816</v>
      </c>
      <c r="L96" s="1">
        <v>103.71572838339243</v>
      </c>
      <c r="M96" s="1">
        <v>100</v>
      </c>
      <c r="N96" s="1">
        <v>100</v>
      </c>
      <c r="O96" s="1">
        <v>100</v>
      </c>
      <c r="P96" s="1">
        <v>95.861485755846545</v>
      </c>
      <c r="Q96" s="1">
        <v>100</v>
      </c>
      <c r="R96" s="1">
        <v>98.539127000430625</v>
      </c>
      <c r="S96" s="1">
        <v>100</v>
      </c>
      <c r="T96" s="1">
        <v>100.91781215891351</v>
      </c>
      <c r="U96" s="1">
        <v>98.778848255775031</v>
      </c>
      <c r="V96" s="1">
        <v>100</v>
      </c>
      <c r="W96" s="1">
        <v>100</v>
      </c>
      <c r="X96" s="1">
        <v>100</v>
      </c>
      <c r="Y96" s="1">
        <v>100</v>
      </c>
      <c r="Z96" s="1">
        <v>97.780579176900417</v>
      </c>
      <c r="AA96" s="1">
        <v>98.539127000430625</v>
      </c>
      <c r="AB96" s="1">
        <v>95.229690126370755</v>
      </c>
      <c r="AC96" s="1">
        <v>100.57277765612425</v>
      </c>
      <c r="AD96" s="1">
        <v>109.88587193387652</v>
      </c>
      <c r="AE96" s="1">
        <v>92.267697290004975</v>
      </c>
      <c r="AF96" s="1">
        <v>100.94957983664952</v>
      </c>
      <c r="AG96" s="1">
        <v>100</v>
      </c>
      <c r="AH96" s="1">
        <v>100</v>
      </c>
      <c r="AI96" s="1">
        <v>100</v>
      </c>
      <c r="AJ96" s="1">
        <v>100</v>
      </c>
      <c r="AK96" s="1">
        <v>92.127908063259142</v>
      </c>
      <c r="AL96" s="1">
        <v>100</v>
      </c>
      <c r="AM96" s="1">
        <v>101.6005894964098</v>
      </c>
      <c r="AN96" s="1">
        <v>105.28452615085557</v>
      </c>
      <c r="AO96" s="1">
        <v>91.122353893769272</v>
      </c>
      <c r="AP96" s="1">
        <v>100</v>
      </c>
      <c r="AQ96" s="1">
        <v>100</v>
      </c>
      <c r="AR96" s="1">
        <v>100</v>
      </c>
      <c r="AS96" s="1">
        <v>100</v>
      </c>
      <c r="AT96" s="1">
        <v>106.56024644742084</v>
      </c>
      <c r="AU96" s="1">
        <v>100</v>
      </c>
      <c r="AV96" s="1">
        <v>100</v>
      </c>
      <c r="AW96" s="1">
        <v>100</v>
      </c>
      <c r="AX96" s="1">
        <v>100</v>
      </c>
      <c r="AY96" s="1">
        <v>100</v>
      </c>
      <c r="AZ96" s="1">
        <v>100</v>
      </c>
      <c r="BA96" s="1">
        <v>100</v>
      </c>
      <c r="BB96" s="1">
        <v>100</v>
      </c>
      <c r="BC96" s="1">
        <v>100</v>
      </c>
      <c r="BD96" s="1">
        <v>100</v>
      </c>
      <c r="BE96" s="1">
        <v>100</v>
      </c>
      <c r="BF96" s="1">
        <v>100</v>
      </c>
      <c r="BG96" s="1">
        <v>100</v>
      </c>
      <c r="BH96" s="1">
        <v>100</v>
      </c>
    </row>
    <row r="97" spans="1:60" x14ac:dyDescent="0.25">
      <c r="A97">
        <v>84</v>
      </c>
      <c r="B97" s="1">
        <v>94.907105490403367</v>
      </c>
      <c r="C97" s="1">
        <v>100</v>
      </c>
      <c r="D97" s="1">
        <v>100</v>
      </c>
      <c r="E97" s="1">
        <v>113.3289008703652</v>
      </c>
      <c r="F97" s="1">
        <v>100</v>
      </c>
      <c r="G97" s="1">
        <v>100</v>
      </c>
      <c r="H97" s="1">
        <v>100.79779325216231</v>
      </c>
      <c r="I97" s="1">
        <v>95.232863044770994</v>
      </c>
      <c r="J97" s="1">
        <v>100</v>
      </c>
      <c r="K97" s="1">
        <v>105.82202463424333</v>
      </c>
      <c r="L97" s="1">
        <v>103.71572838339243</v>
      </c>
      <c r="M97" s="1">
        <v>100</v>
      </c>
      <c r="N97" s="1">
        <v>100</v>
      </c>
      <c r="O97" s="1">
        <v>100</v>
      </c>
      <c r="P97" s="1">
        <v>95.861485755846545</v>
      </c>
      <c r="Q97" s="1">
        <v>100</v>
      </c>
      <c r="R97" s="1">
        <v>98.539127000430625</v>
      </c>
      <c r="S97" s="1">
        <v>100</v>
      </c>
      <c r="T97" s="1">
        <v>100.91781215891351</v>
      </c>
      <c r="U97" s="1">
        <v>98.778848255775031</v>
      </c>
      <c r="V97" s="1">
        <v>100</v>
      </c>
      <c r="W97" s="1">
        <v>100</v>
      </c>
      <c r="X97" s="1">
        <v>100</v>
      </c>
      <c r="Y97" s="1">
        <v>100</v>
      </c>
      <c r="Z97" s="1">
        <v>97.780579176900417</v>
      </c>
      <c r="AA97" s="1">
        <v>98.539127000430625</v>
      </c>
      <c r="AB97" s="1">
        <v>95.229690126370755</v>
      </c>
      <c r="AC97" s="1">
        <v>100.57277765612425</v>
      </c>
      <c r="AD97" s="1">
        <v>109.88587193387652</v>
      </c>
      <c r="AE97" s="1">
        <v>92.267697290004975</v>
      </c>
      <c r="AF97" s="1">
        <v>100.94957983664952</v>
      </c>
      <c r="AG97" s="1">
        <v>100</v>
      </c>
      <c r="AH97" s="1">
        <v>100</v>
      </c>
      <c r="AI97" s="1">
        <v>100</v>
      </c>
      <c r="AJ97" s="1">
        <v>100</v>
      </c>
      <c r="AK97" s="1">
        <v>92.127908063259142</v>
      </c>
      <c r="AL97" s="1">
        <v>100</v>
      </c>
      <c r="AM97" s="1">
        <v>101.77795357803487</v>
      </c>
      <c r="AN97" s="1">
        <v>105.28452615085557</v>
      </c>
      <c r="AO97" s="1">
        <v>91.122353893769272</v>
      </c>
      <c r="AP97" s="1">
        <v>100</v>
      </c>
      <c r="AQ97" s="1">
        <v>100</v>
      </c>
      <c r="AR97" s="1">
        <v>100</v>
      </c>
      <c r="AS97" s="1">
        <v>100</v>
      </c>
      <c r="AT97" s="1">
        <v>106.56024644742084</v>
      </c>
      <c r="AU97" s="1">
        <v>100</v>
      </c>
      <c r="AV97" s="1">
        <v>100</v>
      </c>
      <c r="AW97" s="1">
        <v>100</v>
      </c>
      <c r="AX97" s="1">
        <v>100</v>
      </c>
      <c r="AY97" s="1">
        <v>100</v>
      </c>
      <c r="AZ97" s="1">
        <v>100</v>
      </c>
      <c r="BA97" s="1">
        <v>100</v>
      </c>
      <c r="BB97" s="1">
        <v>100</v>
      </c>
      <c r="BC97" s="1">
        <v>100</v>
      </c>
      <c r="BD97" s="1">
        <v>100</v>
      </c>
      <c r="BE97" s="1">
        <v>100</v>
      </c>
      <c r="BF97" s="1">
        <v>100</v>
      </c>
      <c r="BG97" s="1">
        <v>100</v>
      </c>
      <c r="BH97" s="1">
        <v>100</v>
      </c>
    </row>
    <row r="98" spans="1:60" x14ac:dyDescent="0.25">
      <c r="A98">
        <v>85</v>
      </c>
      <c r="B98" s="1">
        <v>94.907105490403367</v>
      </c>
      <c r="C98" s="1">
        <v>100</v>
      </c>
      <c r="D98" s="1">
        <v>100</v>
      </c>
      <c r="E98" s="1">
        <v>113.3289008703652</v>
      </c>
      <c r="F98" s="1">
        <v>100</v>
      </c>
      <c r="G98" s="1">
        <v>100</v>
      </c>
      <c r="H98" s="1">
        <v>100.79779325216231</v>
      </c>
      <c r="I98" s="1">
        <v>95.232863044770994</v>
      </c>
      <c r="J98" s="1">
        <v>100</v>
      </c>
      <c r="K98" s="1">
        <v>105.82202463424333</v>
      </c>
      <c r="L98" s="1">
        <v>102.80547421960451</v>
      </c>
      <c r="M98" s="1">
        <v>100</v>
      </c>
      <c r="N98" s="1">
        <v>100</v>
      </c>
      <c r="O98" s="1">
        <v>100</v>
      </c>
      <c r="P98" s="1">
        <v>95.861485755846545</v>
      </c>
      <c r="Q98" s="1">
        <v>100</v>
      </c>
      <c r="R98" s="1">
        <v>98.539127000430625</v>
      </c>
      <c r="S98" s="1">
        <v>100</v>
      </c>
      <c r="T98" s="1">
        <v>100.91781215891351</v>
      </c>
      <c r="U98" s="1">
        <v>98.778848255775031</v>
      </c>
      <c r="V98" s="1">
        <v>100</v>
      </c>
      <c r="W98" s="1">
        <v>100</v>
      </c>
      <c r="X98" s="1">
        <v>100</v>
      </c>
      <c r="Y98" s="1">
        <v>100</v>
      </c>
      <c r="Z98" s="1">
        <v>97.780579176900417</v>
      </c>
      <c r="AA98" s="1">
        <v>98.539127000430625</v>
      </c>
      <c r="AB98" s="1">
        <v>95.229690126370755</v>
      </c>
      <c r="AC98" s="1">
        <v>100.57277765612425</v>
      </c>
      <c r="AD98" s="1">
        <v>109.88587193387652</v>
      </c>
      <c r="AE98" s="1">
        <v>92.267697290004975</v>
      </c>
      <c r="AF98" s="1">
        <v>100.94957983664952</v>
      </c>
      <c r="AG98" s="1">
        <v>100</v>
      </c>
      <c r="AH98" s="1">
        <v>100</v>
      </c>
      <c r="AI98" s="1">
        <v>100</v>
      </c>
      <c r="AJ98" s="1">
        <v>100</v>
      </c>
      <c r="AK98" s="1">
        <v>92.127908063259142</v>
      </c>
      <c r="AL98" s="1">
        <v>100</v>
      </c>
      <c r="AM98" s="1">
        <v>101.77795357803487</v>
      </c>
      <c r="AN98" s="1">
        <v>104.36050353822934</v>
      </c>
      <c r="AO98" s="1">
        <v>92.111115600718279</v>
      </c>
      <c r="AP98" s="1">
        <v>100</v>
      </c>
      <c r="AQ98" s="1">
        <v>100</v>
      </c>
      <c r="AR98" s="1">
        <v>100</v>
      </c>
      <c r="AS98" s="1">
        <v>100</v>
      </c>
      <c r="AT98" s="1">
        <v>107.40576151688599</v>
      </c>
      <c r="AU98" s="1">
        <v>100</v>
      </c>
      <c r="AV98" s="1">
        <v>100</v>
      </c>
      <c r="AW98" s="1">
        <v>100</v>
      </c>
      <c r="AX98" s="1">
        <v>100</v>
      </c>
      <c r="AY98" s="1">
        <v>100</v>
      </c>
      <c r="AZ98" s="1">
        <v>100</v>
      </c>
      <c r="BA98" s="1">
        <v>100</v>
      </c>
      <c r="BB98" s="1">
        <v>100</v>
      </c>
      <c r="BC98" s="1">
        <v>100</v>
      </c>
      <c r="BD98" s="1">
        <v>100</v>
      </c>
      <c r="BE98" s="1">
        <v>100</v>
      </c>
      <c r="BF98" s="1">
        <v>100</v>
      </c>
      <c r="BG98" s="1">
        <v>100</v>
      </c>
      <c r="BH98" s="1">
        <v>100</v>
      </c>
    </row>
    <row r="99" spans="1:60" x14ac:dyDescent="0.25">
      <c r="A99">
        <v>86</v>
      </c>
      <c r="B99" s="1">
        <v>94.907105490403367</v>
      </c>
      <c r="C99" s="1">
        <v>100</v>
      </c>
      <c r="D99" s="1">
        <v>100</v>
      </c>
      <c r="E99" s="1">
        <v>113.3289008703652</v>
      </c>
      <c r="F99" s="1">
        <v>100</v>
      </c>
      <c r="G99" s="1">
        <v>100</v>
      </c>
      <c r="H99" s="1">
        <v>100.79779325216231</v>
      </c>
      <c r="I99" s="1">
        <v>95.232863044770994</v>
      </c>
      <c r="J99" s="1">
        <v>100</v>
      </c>
      <c r="K99" s="1">
        <v>105.82202463424333</v>
      </c>
      <c r="L99" s="1">
        <v>102.84620726260782</v>
      </c>
      <c r="M99" s="1">
        <v>100</v>
      </c>
      <c r="N99" s="1">
        <v>100</v>
      </c>
      <c r="O99" s="1">
        <v>100</v>
      </c>
      <c r="P99" s="1">
        <v>95.861485755846545</v>
      </c>
      <c r="Q99" s="1">
        <v>100</v>
      </c>
      <c r="R99" s="1">
        <v>98.539127000430625</v>
      </c>
      <c r="S99" s="1">
        <v>100</v>
      </c>
      <c r="T99" s="1">
        <v>100.91781215891351</v>
      </c>
      <c r="U99" s="1">
        <v>98.778848255775031</v>
      </c>
      <c r="V99" s="1">
        <v>100</v>
      </c>
      <c r="W99" s="1">
        <v>100</v>
      </c>
      <c r="X99" s="1">
        <v>100</v>
      </c>
      <c r="Y99" s="1">
        <v>100</v>
      </c>
      <c r="Z99" s="1">
        <v>97.780579176900417</v>
      </c>
      <c r="AA99" s="1">
        <v>98.539127000430625</v>
      </c>
      <c r="AB99" s="1">
        <v>95.229690126370755</v>
      </c>
      <c r="AC99" s="1">
        <v>100.57277765612425</v>
      </c>
      <c r="AD99" s="1">
        <v>109.88587193387652</v>
      </c>
      <c r="AE99" s="1">
        <v>92.267697290004975</v>
      </c>
      <c r="AF99" s="1">
        <v>100.94957983664952</v>
      </c>
      <c r="AG99" s="1">
        <v>100</v>
      </c>
      <c r="AH99" s="1">
        <v>100</v>
      </c>
      <c r="AI99" s="1">
        <v>100</v>
      </c>
      <c r="AJ99" s="1">
        <v>100</v>
      </c>
      <c r="AK99" s="1">
        <v>92.127908063259142</v>
      </c>
      <c r="AL99" s="1">
        <v>100</v>
      </c>
      <c r="AM99" s="1">
        <v>101.77795357803487</v>
      </c>
      <c r="AN99" s="1">
        <v>104.40062963632573</v>
      </c>
      <c r="AO99" s="1">
        <v>92.073785296631669</v>
      </c>
      <c r="AP99" s="1">
        <v>100</v>
      </c>
      <c r="AQ99" s="1">
        <v>100</v>
      </c>
      <c r="AR99" s="1">
        <v>100</v>
      </c>
      <c r="AS99" s="1">
        <v>100</v>
      </c>
      <c r="AT99" s="1">
        <v>107.36223267987289</v>
      </c>
      <c r="AU99" s="1">
        <v>100</v>
      </c>
      <c r="AV99" s="1">
        <v>100</v>
      </c>
      <c r="AW99" s="1">
        <v>100</v>
      </c>
      <c r="AX99" s="1">
        <v>100</v>
      </c>
      <c r="AY99" s="1">
        <v>100</v>
      </c>
      <c r="AZ99" s="1">
        <v>100</v>
      </c>
      <c r="BA99" s="1">
        <v>100</v>
      </c>
      <c r="BB99" s="1">
        <v>100</v>
      </c>
      <c r="BC99" s="1">
        <v>100</v>
      </c>
      <c r="BD99" s="1">
        <v>100</v>
      </c>
      <c r="BE99" s="1">
        <v>100</v>
      </c>
      <c r="BF99" s="1">
        <v>100</v>
      </c>
      <c r="BG99" s="1">
        <v>100</v>
      </c>
      <c r="BH99" s="1">
        <v>100</v>
      </c>
    </row>
    <row r="100" spans="1:60" x14ac:dyDescent="0.25">
      <c r="A100">
        <v>87</v>
      </c>
      <c r="B100" s="1">
        <v>94.907105490403367</v>
      </c>
      <c r="C100" s="1">
        <v>100</v>
      </c>
      <c r="D100" s="1">
        <v>100</v>
      </c>
      <c r="E100" s="1">
        <v>113.3289008703652</v>
      </c>
      <c r="F100" s="1">
        <v>100</v>
      </c>
      <c r="G100" s="1">
        <v>100</v>
      </c>
      <c r="H100" s="1">
        <v>100.79779325216231</v>
      </c>
      <c r="I100" s="1">
        <v>95.511426944109317</v>
      </c>
      <c r="J100" s="1">
        <v>100</v>
      </c>
      <c r="K100" s="1">
        <v>105.82202463424333</v>
      </c>
      <c r="L100" s="1">
        <v>102.84620726260782</v>
      </c>
      <c r="M100" s="1">
        <v>100</v>
      </c>
      <c r="N100" s="1">
        <v>100</v>
      </c>
      <c r="O100" s="1">
        <v>100</v>
      </c>
      <c r="P100" s="1">
        <v>95.861485755846545</v>
      </c>
      <c r="Q100" s="1">
        <v>100</v>
      </c>
      <c r="R100" s="1">
        <v>98.539127000430625</v>
      </c>
      <c r="S100" s="1">
        <v>100</v>
      </c>
      <c r="T100" s="1">
        <v>100.91781215891351</v>
      </c>
      <c r="U100" s="1">
        <v>98.778848255775031</v>
      </c>
      <c r="V100" s="1">
        <v>100</v>
      </c>
      <c r="W100" s="1">
        <v>100</v>
      </c>
      <c r="X100" s="1">
        <v>100</v>
      </c>
      <c r="Y100" s="1">
        <v>100</v>
      </c>
      <c r="Z100" s="1">
        <v>97.48910441353982</v>
      </c>
      <c r="AA100" s="1">
        <v>98.539127000430625</v>
      </c>
      <c r="AB100" s="1">
        <v>95.229690126370755</v>
      </c>
      <c r="AC100" s="1">
        <v>100.57277765612425</v>
      </c>
      <c r="AD100" s="1">
        <v>109.88587193387652</v>
      </c>
      <c r="AE100" s="1">
        <v>91.992655912056335</v>
      </c>
      <c r="AF100" s="1">
        <v>100.94957983664952</v>
      </c>
      <c r="AG100" s="1">
        <v>100</v>
      </c>
      <c r="AH100" s="1">
        <v>100</v>
      </c>
      <c r="AI100" s="1">
        <v>100</v>
      </c>
      <c r="AJ100" s="1">
        <v>100</v>
      </c>
      <c r="AK100" s="1">
        <v>92.415860305230041</v>
      </c>
      <c r="AL100" s="1">
        <v>100</v>
      </c>
      <c r="AM100" s="1">
        <v>101.77795357803487</v>
      </c>
      <c r="AN100" s="1">
        <v>104.40062963632573</v>
      </c>
      <c r="AO100" s="1">
        <v>92.073785296631669</v>
      </c>
      <c r="AP100" s="1">
        <v>100</v>
      </c>
      <c r="AQ100" s="1">
        <v>100</v>
      </c>
      <c r="AR100" s="1">
        <v>100</v>
      </c>
      <c r="AS100" s="1">
        <v>100</v>
      </c>
      <c r="AT100" s="1">
        <v>107.36223267987289</v>
      </c>
      <c r="AU100" s="1">
        <v>100</v>
      </c>
      <c r="AV100" s="1">
        <v>100</v>
      </c>
      <c r="AW100" s="1">
        <v>100</v>
      </c>
      <c r="AX100" s="1">
        <v>100</v>
      </c>
      <c r="AY100" s="1">
        <v>100</v>
      </c>
      <c r="AZ100" s="1">
        <v>100</v>
      </c>
      <c r="BA100" s="1">
        <v>100</v>
      </c>
      <c r="BB100" s="1">
        <v>100</v>
      </c>
      <c r="BC100" s="1">
        <v>100</v>
      </c>
      <c r="BD100" s="1">
        <v>100</v>
      </c>
      <c r="BE100" s="1">
        <v>100</v>
      </c>
      <c r="BF100" s="1">
        <v>100</v>
      </c>
      <c r="BG100" s="1">
        <v>100</v>
      </c>
      <c r="BH100" s="1">
        <v>100</v>
      </c>
    </row>
    <row r="101" spans="1:60" x14ac:dyDescent="0.25">
      <c r="A101">
        <v>88</v>
      </c>
      <c r="B101" s="1">
        <v>94.907105490403367</v>
      </c>
      <c r="C101" s="1">
        <v>100</v>
      </c>
      <c r="D101" s="1">
        <v>100</v>
      </c>
      <c r="E101" s="1">
        <v>113.3289008703652</v>
      </c>
      <c r="F101" s="1">
        <v>100</v>
      </c>
      <c r="G101" s="1">
        <v>100</v>
      </c>
      <c r="H101" s="1">
        <v>100.79779325216231</v>
      </c>
      <c r="I101" s="1">
        <v>94.850155364740317</v>
      </c>
      <c r="J101" s="1">
        <v>100</v>
      </c>
      <c r="K101" s="1">
        <v>105.82202463424333</v>
      </c>
      <c r="L101" s="1">
        <v>102.84620726260782</v>
      </c>
      <c r="M101" s="1">
        <v>100</v>
      </c>
      <c r="N101" s="1">
        <v>100</v>
      </c>
      <c r="O101" s="1">
        <v>100</v>
      </c>
      <c r="P101" s="1">
        <v>95.861485755846545</v>
      </c>
      <c r="Q101" s="1">
        <v>100</v>
      </c>
      <c r="R101" s="1">
        <v>98.539127000430625</v>
      </c>
      <c r="S101" s="1">
        <v>100</v>
      </c>
      <c r="T101" s="1">
        <v>100.91781215891351</v>
      </c>
      <c r="U101" s="1">
        <v>98.778848255775031</v>
      </c>
      <c r="V101" s="1">
        <v>100</v>
      </c>
      <c r="W101" s="1">
        <v>100</v>
      </c>
      <c r="X101" s="1">
        <v>100</v>
      </c>
      <c r="Y101" s="1">
        <v>100</v>
      </c>
      <c r="Z101" s="1">
        <v>98.120788761043272</v>
      </c>
      <c r="AA101" s="1">
        <v>98.539127000430625</v>
      </c>
      <c r="AB101" s="1">
        <v>95.229690126370755</v>
      </c>
      <c r="AC101" s="1">
        <v>100.57277765612425</v>
      </c>
      <c r="AD101" s="1">
        <v>109.88587193387652</v>
      </c>
      <c r="AE101" s="1">
        <v>92.662082625521762</v>
      </c>
      <c r="AF101" s="1">
        <v>100.94957983664952</v>
      </c>
      <c r="AG101" s="1">
        <v>100</v>
      </c>
      <c r="AH101" s="1">
        <v>100</v>
      </c>
      <c r="AI101" s="1">
        <v>100</v>
      </c>
      <c r="AJ101" s="1">
        <v>100</v>
      </c>
      <c r="AK101" s="1">
        <v>91.776020823630162</v>
      </c>
      <c r="AL101" s="1">
        <v>100</v>
      </c>
      <c r="AM101" s="1">
        <v>101.77795357803487</v>
      </c>
      <c r="AN101" s="1">
        <v>104.40062963632573</v>
      </c>
      <c r="AO101" s="1">
        <v>92.073785296631669</v>
      </c>
      <c r="AP101" s="1">
        <v>100</v>
      </c>
      <c r="AQ101" s="1">
        <v>100</v>
      </c>
      <c r="AR101" s="1">
        <v>100</v>
      </c>
      <c r="AS101" s="1">
        <v>100</v>
      </c>
      <c r="AT101" s="1">
        <v>107.36223267987289</v>
      </c>
      <c r="AU101" s="1">
        <v>100</v>
      </c>
      <c r="AV101" s="1">
        <v>100</v>
      </c>
      <c r="AW101" s="1">
        <v>100</v>
      </c>
      <c r="AX101" s="1">
        <v>100</v>
      </c>
      <c r="AY101" s="1">
        <v>100</v>
      </c>
      <c r="AZ101" s="1">
        <v>100</v>
      </c>
      <c r="BA101" s="1">
        <v>100</v>
      </c>
      <c r="BB101" s="1">
        <v>100</v>
      </c>
      <c r="BC101" s="1">
        <v>100</v>
      </c>
      <c r="BD101" s="1">
        <v>100</v>
      </c>
      <c r="BE101" s="1">
        <v>100</v>
      </c>
      <c r="BF101" s="1">
        <v>100</v>
      </c>
      <c r="BG101" s="1">
        <v>100</v>
      </c>
      <c r="BH101" s="1">
        <v>100</v>
      </c>
    </row>
    <row r="102" spans="1:60" x14ac:dyDescent="0.25">
      <c r="A102">
        <v>89</v>
      </c>
      <c r="B102" s="1">
        <v>94.907105490403367</v>
      </c>
      <c r="C102" s="1">
        <v>100</v>
      </c>
      <c r="D102" s="1">
        <v>101.17952157002006</v>
      </c>
      <c r="E102" s="1">
        <v>113.3289008703652</v>
      </c>
      <c r="F102" s="1">
        <v>100</v>
      </c>
      <c r="G102" s="1">
        <v>100</v>
      </c>
      <c r="H102" s="1">
        <v>100.79779325216231</v>
      </c>
      <c r="I102" s="1">
        <v>94.850155364740317</v>
      </c>
      <c r="J102" s="1">
        <v>100</v>
      </c>
      <c r="K102" s="1">
        <v>105.82202463424333</v>
      </c>
      <c r="L102" s="1">
        <v>102.84620726260782</v>
      </c>
      <c r="M102" s="1">
        <v>100</v>
      </c>
      <c r="N102" s="1">
        <v>100</v>
      </c>
      <c r="O102" s="1">
        <v>100</v>
      </c>
      <c r="P102" s="1">
        <v>95.861485755846545</v>
      </c>
      <c r="Q102" s="1">
        <v>100</v>
      </c>
      <c r="R102" s="1">
        <v>98.539127000430625</v>
      </c>
      <c r="S102" s="1">
        <v>100</v>
      </c>
      <c r="T102" s="1">
        <v>99.736270764350706</v>
      </c>
      <c r="U102" s="1">
        <v>98.778848255775031</v>
      </c>
      <c r="V102" s="1">
        <v>100</v>
      </c>
      <c r="W102" s="1">
        <v>100</v>
      </c>
      <c r="X102" s="1">
        <v>100</v>
      </c>
      <c r="Y102" s="1">
        <v>100</v>
      </c>
      <c r="Z102" s="1">
        <v>98.120788761043272</v>
      </c>
      <c r="AA102" s="1">
        <v>98.539127000430625</v>
      </c>
      <c r="AB102" s="1">
        <v>95.229690126370755</v>
      </c>
      <c r="AC102" s="1">
        <v>99.39527591064693</v>
      </c>
      <c r="AD102" s="1">
        <v>109.88587193387652</v>
      </c>
      <c r="AE102" s="1">
        <v>92.662082625521762</v>
      </c>
      <c r="AF102" s="1">
        <v>100.94957983664952</v>
      </c>
      <c r="AG102" s="1">
        <v>100</v>
      </c>
      <c r="AH102" s="1">
        <v>100</v>
      </c>
      <c r="AI102" s="1">
        <v>100</v>
      </c>
      <c r="AJ102" s="1">
        <v>100</v>
      </c>
      <c r="AK102" s="1">
        <v>91.776020823630162</v>
      </c>
      <c r="AL102" s="1">
        <v>100</v>
      </c>
      <c r="AM102" s="1">
        <v>101.77795357803487</v>
      </c>
      <c r="AN102" s="1">
        <v>104.40062963632573</v>
      </c>
      <c r="AO102" s="1">
        <v>92.073785296631669</v>
      </c>
      <c r="AP102" s="1">
        <v>100</v>
      </c>
      <c r="AQ102" s="1">
        <v>100</v>
      </c>
      <c r="AR102" s="1">
        <v>100</v>
      </c>
      <c r="AS102" s="1">
        <v>100</v>
      </c>
      <c r="AT102" s="1">
        <v>107.36223267987289</v>
      </c>
      <c r="AU102" s="1">
        <v>100</v>
      </c>
      <c r="AV102" s="1">
        <v>101.17952157002006</v>
      </c>
      <c r="AW102" s="1">
        <v>100</v>
      </c>
      <c r="AX102" s="1">
        <v>100</v>
      </c>
      <c r="AY102" s="1">
        <v>100</v>
      </c>
      <c r="AZ102" s="1">
        <v>100</v>
      </c>
      <c r="BA102" s="1">
        <v>100</v>
      </c>
      <c r="BB102" s="1">
        <v>100</v>
      </c>
      <c r="BC102" s="1">
        <v>100</v>
      </c>
      <c r="BD102" s="1">
        <v>100</v>
      </c>
      <c r="BE102" s="1">
        <v>100</v>
      </c>
      <c r="BF102" s="1">
        <v>100</v>
      </c>
      <c r="BG102" s="1">
        <v>100</v>
      </c>
      <c r="BH102" s="1">
        <v>100</v>
      </c>
    </row>
    <row r="103" spans="1:60" x14ac:dyDescent="0.25">
      <c r="A103">
        <v>90</v>
      </c>
      <c r="B103" s="1">
        <v>94.907105490403367</v>
      </c>
      <c r="C103" s="1">
        <v>100</v>
      </c>
      <c r="D103" s="1">
        <v>99.900323214082661</v>
      </c>
      <c r="E103" s="1">
        <v>113.3289008703652</v>
      </c>
      <c r="F103" s="1">
        <v>100</v>
      </c>
      <c r="G103" s="1">
        <v>100</v>
      </c>
      <c r="H103" s="1">
        <v>100.79779325216231</v>
      </c>
      <c r="I103" s="1">
        <v>94.850155364740317</v>
      </c>
      <c r="J103" s="1">
        <v>100</v>
      </c>
      <c r="K103" s="1">
        <v>105.82202463424333</v>
      </c>
      <c r="L103" s="1">
        <v>102.84620726260782</v>
      </c>
      <c r="M103" s="1">
        <v>100</v>
      </c>
      <c r="N103" s="1">
        <v>100</v>
      </c>
      <c r="O103" s="1">
        <v>100</v>
      </c>
      <c r="P103" s="1">
        <v>95.861485755846545</v>
      </c>
      <c r="Q103" s="1">
        <v>100</v>
      </c>
      <c r="R103" s="1">
        <v>98.539127000430625</v>
      </c>
      <c r="S103" s="1">
        <v>100</v>
      </c>
      <c r="T103" s="1">
        <v>101.01327860821945</v>
      </c>
      <c r="U103" s="1">
        <v>98.778848255775031</v>
      </c>
      <c r="V103" s="1">
        <v>100</v>
      </c>
      <c r="W103" s="1">
        <v>100</v>
      </c>
      <c r="X103" s="1">
        <v>100</v>
      </c>
      <c r="Y103" s="1">
        <v>100</v>
      </c>
      <c r="Z103" s="1">
        <v>98.120788761043272</v>
      </c>
      <c r="AA103" s="1">
        <v>98.539127000430625</v>
      </c>
      <c r="AB103" s="1">
        <v>95.229690126370755</v>
      </c>
      <c r="AC103" s="1">
        <v>100.67666477865298</v>
      </c>
      <c r="AD103" s="1">
        <v>109.88587193387652</v>
      </c>
      <c r="AE103" s="1">
        <v>92.662082625521762</v>
      </c>
      <c r="AF103" s="1">
        <v>100.94957983664952</v>
      </c>
      <c r="AG103" s="1">
        <v>100</v>
      </c>
      <c r="AH103" s="1">
        <v>100</v>
      </c>
      <c r="AI103" s="1">
        <v>100</v>
      </c>
      <c r="AJ103" s="1">
        <v>100</v>
      </c>
      <c r="AK103" s="1">
        <v>91.776020823630162</v>
      </c>
      <c r="AL103" s="1">
        <v>100</v>
      </c>
      <c r="AM103" s="1">
        <v>101.77795357803487</v>
      </c>
      <c r="AN103" s="1">
        <v>104.40062963632573</v>
      </c>
      <c r="AO103" s="1">
        <v>92.073785296631669</v>
      </c>
      <c r="AP103" s="1">
        <v>100</v>
      </c>
      <c r="AQ103" s="1">
        <v>100</v>
      </c>
      <c r="AR103" s="1">
        <v>100</v>
      </c>
      <c r="AS103" s="1">
        <v>100</v>
      </c>
      <c r="AT103" s="1">
        <v>107.36223267987289</v>
      </c>
      <c r="AU103" s="1">
        <v>100</v>
      </c>
      <c r="AV103" s="1">
        <v>99.900323214082661</v>
      </c>
      <c r="AW103" s="1">
        <v>100</v>
      </c>
      <c r="AX103" s="1">
        <v>100</v>
      </c>
      <c r="AY103" s="1">
        <v>100</v>
      </c>
      <c r="AZ103" s="1">
        <v>100</v>
      </c>
      <c r="BA103" s="1">
        <v>100</v>
      </c>
      <c r="BB103" s="1">
        <v>100</v>
      </c>
      <c r="BC103" s="1">
        <v>100</v>
      </c>
      <c r="BD103" s="1">
        <v>100</v>
      </c>
      <c r="BE103" s="1">
        <v>100</v>
      </c>
      <c r="BF103" s="1">
        <v>100</v>
      </c>
      <c r="BG103" s="1">
        <v>100</v>
      </c>
      <c r="BH103" s="1">
        <v>100</v>
      </c>
    </row>
    <row r="104" spans="1:60" x14ac:dyDescent="0.25">
      <c r="A104">
        <v>91</v>
      </c>
      <c r="B104" s="1">
        <v>94.907105490403367</v>
      </c>
      <c r="C104" s="1">
        <v>100</v>
      </c>
      <c r="D104" s="1">
        <v>99.900323214082661</v>
      </c>
      <c r="E104" s="1">
        <v>113.3289008703652</v>
      </c>
      <c r="F104" s="1">
        <v>100</v>
      </c>
      <c r="G104" s="1">
        <v>100</v>
      </c>
      <c r="H104" s="1">
        <v>100.79779325216231</v>
      </c>
      <c r="I104" s="1">
        <v>94.850155364740317</v>
      </c>
      <c r="J104" s="1">
        <v>100</v>
      </c>
      <c r="K104" s="1">
        <v>106.93624957250796</v>
      </c>
      <c r="L104" s="1">
        <v>102.84620726260782</v>
      </c>
      <c r="M104" s="1">
        <v>100</v>
      </c>
      <c r="N104" s="1">
        <v>100</v>
      </c>
      <c r="O104" s="1">
        <v>100</v>
      </c>
      <c r="P104" s="1">
        <v>95.861485755846545</v>
      </c>
      <c r="Q104" s="1">
        <v>100</v>
      </c>
      <c r="R104" s="1">
        <v>98.539127000430625</v>
      </c>
      <c r="S104" s="1">
        <v>100</v>
      </c>
      <c r="T104" s="1">
        <v>101.01327860821945</v>
      </c>
      <c r="U104" s="1">
        <v>98.778848255775031</v>
      </c>
      <c r="V104" s="1">
        <v>100</v>
      </c>
      <c r="W104" s="1">
        <v>100</v>
      </c>
      <c r="X104" s="1">
        <v>100</v>
      </c>
      <c r="Y104" s="1">
        <v>100</v>
      </c>
      <c r="Z104" s="1">
        <v>98.120788761043272</v>
      </c>
      <c r="AA104" s="1">
        <v>98.539127000430625</v>
      </c>
      <c r="AB104" s="1">
        <v>95.229690126370755</v>
      </c>
      <c r="AC104" s="1">
        <v>100.67666477865298</v>
      </c>
      <c r="AD104" s="1">
        <v>109.88587193387652</v>
      </c>
      <c r="AE104" s="1">
        <v>92.662082625521762</v>
      </c>
      <c r="AF104" s="1">
        <v>100.94957983664952</v>
      </c>
      <c r="AG104" s="1">
        <v>100</v>
      </c>
      <c r="AH104" s="1">
        <v>100</v>
      </c>
      <c r="AI104" s="1">
        <v>100</v>
      </c>
      <c r="AJ104" s="1">
        <v>100</v>
      </c>
      <c r="AK104" s="1">
        <v>93.060774050093528</v>
      </c>
      <c r="AL104" s="1">
        <v>100</v>
      </c>
      <c r="AM104" s="1">
        <v>101.77795357803487</v>
      </c>
      <c r="AN104" s="1">
        <v>104.40062963632573</v>
      </c>
      <c r="AO104" s="1">
        <v>90.966247136215259</v>
      </c>
      <c r="AP104" s="1">
        <v>100</v>
      </c>
      <c r="AQ104" s="1">
        <v>100</v>
      </c>
      <c r="AR104" s="1">
        <v>100</v>
      </c>
      <c r="AS104" s="1">
        <v>100</v>
      </c>
      <c r="AT104" s="1">
        <v>106.07079267556131</v>
      </c>
      <c r="AU104" s="1">
        <v>100</v>
      </c>
      <c r="AV104" s="1">
        <v>99.900323214082661</v>
      </c>
      <c r="AW104" s="1">
        <v>100</v>
      </c>
      <c r="AX104" s="1">
        <v>100</v>
      </c>
      <c r="AY104" s="1">
        <v>100</v>
      </c>
      <c r="AZ104" s="1">
        <v>100</v>
      </c>
      <c r="BA104" s="1">
        <v>100</v>
      </c>
      <c r="BB104" s="1">
        <v>100</v>
      </c>
      <c r="BC104" s="1">
        <v>100</v>
      </c>
      <c r="BD104" s="1">
        <v>100</v>
      </c>
      <c r="BE104" s="1">
        <v>100</v>
      </c>
      <c r="BF104" s="1">
        <v>100</v>
      </c>
      <c r="BG104" s="1">
        <v>100</v>
      </c>
      <c r="BH104" s="1">
        <v>100</v>
      </c>
    </row>
    <row r="105" spans="1:60" x14ac:dyDescent="0.25">
      <c r="A105">
        <v>92</v>
      </c>
      <c r="B105" s="1">
        <v>94.907105490403367</v>
      </c>
      <c r="C105" s="1">
        <v>100</v>
      </c>
      <c r="D105" s="1">
        <v>99.900323214082661</v>
      </c>
      <c r="E105" s="1">
        <v>113.3289008703652</v>
      </c>
      <c r="F105" s="1">
        <v>100</v>
      </c>
      <c r="G105" s="1">
        <v>100</v>
      </c>
      <c r="H105" s="1">
        <v>100.79779325216231</v>
      </c>
      <c r="I105" s="1">
        <v>94.850155364740317</v>
      </c>
      <c r="J105" s="1">
        <v>100</v>
      </c>
      <c r="K105" s="1">
        <v>105.58468677600673</v>
      </c>
      <c r="L105" s="1">
        <v>102.84620726260782</v>
      </c>
      <c r="M105" s="1">
        <v>100</v>
      </c>
      <c r="N105" s="1">
        <v>100</v>
      </c>
      <c r="O105" s="1">
        <v>100</v>
      </c>
      <c r="P105" s="1">
        <v>95.861485755846545</v>
      </c>
      <c r="Q105" s="1">
        <v>100</v>
      </c>
      <c r="R105" s="1">
        <v>98.539127000430625</v>
      </c>
      <c r="S105" s="1">
        <v>100</v>
      </c>
      <c r="T105" s="1">
        <v>101.01327860821945</v>
      </c>
      <c r="U105" s="1">
        <v>98.778848255775031</v>
      </c>
      <c r="V105" s="1">
        <v>100</v>
      </c>
      <c r="W105" s="1">
        <v>100</v>
      </c>
      <c r="X105" s="1">
        <v>100</v>
      </c>
      <c r="Y105" s="1">
        <v>100</v>
      </c>
      <c r="Z105" s="1">
        <v>98.120788761043272</v>
      </c>
      <c r="AA105" s="1">
        <v>98.539127000430625</v>
      </c>
      <c r="AB105" s="1">
        <v>95.229690126370755</v>
      </c>
      <c r="AC105" s="1">
        <v>100.67666477865298</v>
      </c>
      <c r="AD105" s="1">
        <v>109.88587193387652</v>
      </c>
      <c r="AE105" s="1">
        <v>92.662082625521762</v>
      </c>
      <c r="AF105" s="1">
        <v>100.94957983664952</v>
      </c>
      <c r="AG105" s="1">
        <v>100</v>
      </c>
      <c r="AH105" s="1">
        <v>100</v>
      </c>
      <c r="AI105" s="1">
        <v>100</v>
      </c>
      <c r="AJ105" s="1">
        <v>100</v>
      </c>
      <c r="AK105" s="1">
        <v>91.884582809774884</v>
      </c>
      <c r="AL105" s="1">
        <v>100</v>
      </c>
      <c r="AM105" s="1">
        <v>101.77795357803487</v>
      </c>
      <c r="AN105" s="1">
        <v>104.40062963632573</v>
      </c>
      <c r="AO105" s="1">
        <v>92.327010953162883</v>
      </c>
      <c r="AP105" s="1">
        <v>100</v>
      </c>
      <c r="AQ105" s="1">
        <v>100</v>
      </c>
      <c r="AR105" s="1">
        <v>100</v>
      </c>
      <c r="AS105" s="1">
        <v>100</v>
      </c>
      <c r="AT105" s="1">
        <v>107.23778289543355</v>
      </c>
      <c r="AU105" s="1">
        <v>100</v>
      </c>
      <c r="AV105" s="1">
        <v>99.900323214082661</v>
      </c>
      <c r="AW105" s="1">
        <v>100</v>
      </c>
      <c r="AX105" s="1">
        <v>100</v>
      </c>
      <c r="AY105" s="1">
        <v>100</v>
      </c>
      <c r="AZ105" s="1">
        <v>100</v>
      </c>
      <c r="BA105" s="1">
        <v>100</v>
      </c>
      <c r="BB105" s="1">
        <v>100</v>
      </c>
      <c r="BC105" s="1">
        <v>100</v>
      </c>
      <c r="BD105" s="1">
        <v>100</v>
      </c>
      <c r="BE105" s="1">
        <v>100</v>
      </c>
      <c r="BF105" s="1">
        <v>100</v>
      </c>
      <c r="BG105" s="1">
        <v>100</v>
      </c>
      <c r="BH105" s="1">
        <v>100</v>
      </c>
    </row>
    <row r="106" spans="1:60" x14ac:dyDescent="0.25">
      <c r="A106">
        <v>93</v>
      </c>
      <c r="B106" s="1">
        <v>94.907105490403367</v>
      </c>
      <c r="C106" s="1">
        <v>100</v>
      </c>
      <c r="D106" s="1">
        <v>99.900323214082661</v>
      </c>
      <c r="E106" s="1">
        <v>113.3289008703652</v>
      </c>
      <c r="F106" s="1">
        <v>100</v>
      </c>
      <c r="G106" s="1">
        <v>100</v>
      </c>
      <c r="H106" s="1">
        <v>100.79779325216231</v>
      </c>
      <c r="I106" s="1">
        <v>94.850155364740317</v>
      </c>
      <c r="J106" s="1">
        <v>100</v>
      </c>
      <c r="K106" s="1">
        <v>105.58468677600673</v>
      </c>
      <c r="L106" s="1">
        <v>102.84620726260782</v>
      </c>
      <c r="M106" s="1">
        <v>100</v>
      </c>
      <c r="N106" s="1">
        <v>100</v>
      </c>
      <c r="O106" s="1">
        <v>100</v>
      </c>
      <c r="P106" s="1">
        <v>95.861485755846545</v>
      </c>
      <c r="Q106" s="1">
        <v>100</v>
      </c>
      <c r="R106" s="1">
        <v>98.539127000430625</v>
      </c>
      <c r="S106" s="1">
        <v>100</v>
      </c>
      <c r="T106" s="1">
        <v>101.47966210871263</v>
      </c>
      <c r="U106" s="1">
        <v>98.778848255775031</v>
      </c>
      <c r="V106" s="1">
        <v>100</v>
      </c>
      <c r="W106" s="1">
        <v>100</v>
      </c>
      <c r="X106" s="1">
        <v>100</v>
      </c>
      <c r="Y106" s="1">
        <v>100</v>
      </c>
      <c r="Z106" s="1">
        <v>98.120788761043272</v>
      </c>
      <c r="AA106" s="1">
        <v>98.539127000430625</v>
      </c>
      <c r="AB106" s="1">
        <v>94.763800934403605</v>
      </c>
      <c r="AC106" s="1">
        <v>100.67666477865298</v>
      </c>
      <c r="AD106" s="1">
        <v>109.88587193387652</v>
      </c>
      <c r="AE106" s="1">
        <v>92.662082625521762</v>
      </c>
      <c r="AF106" s="1">
        <v>100.94957983664952</v>
      </c>
      <c r="AG106" s="1">
        <v>100</v>
      </c>
      <c r="AH106" s="1">
        <v>100</v>
      </c>
      <c r="AI106" s="1">
        <v>100</v>
      </c>
      <c r="AJ106" s="1">
        <v>100</v>
      </c>
      <c r="AK106" s="1">
        <v>91.884582809774884</v>
      </c>
      <c r="AL106" s="1">
        <v>100</v>
      </c>
      <c r="AM106" s="1">
        <v>101.77795357803487</v>
      </c>
      <c r="AN106" s="1">
        <v>103.88987374793015</v>
      </c>
      <c r="AO106" s="1">
        <v>92.837272533032433</v>
      </c>
      <c r="AP106" s="1">
        <v>100</v>
      </c>
      <c r="AQ106" s="1">
        <v>100</v>
      </c>
      <c r="AR106" s="1">
        <v>100</v>
      </c>
      <c r="AS106" s="1">
        <v>100</v>
      </c>
      <c r="AT106" s="1">
        <v>107.23778289543355</v>
      </c>
      <c r="AU106" s="1">
        <v>100</v>
      </c>
      <c r="AV106" s="1">
        <v>99.900323214082661</v>
      </c>
      <c r="AW106" s="1">
        <v>100</v>
      </c>
      <c r="AX106" s="1">
        <v>100</v>
      </c>
      <c r="AY106" s="1">
        <v>100</v>
      </c>
      <c r="AZ106" s="1">
        <v>100</v>
      </c>
      <c r="BA106" s="1">
        <v>100</v>
      </c>
      <c r="BB106" s="1">
        <v>100</v>
      </c>
      <c r="BC106" s="1">
        <v>100</v>
      </c>
      <c r="BD106" s="1">
        <v>100</v>
      </c>
      <c r="BE106" s="1">
        <v>100</v>
      </c>
      <c r="BF106" s="1">
        <v>100</v>
      </c>
      <c r="BG106" s="1">
        <v>100</v>
      </c>
      <c r="BH106" s="1">
        <v>100</v>
      </c>
    </row>
    <row r="107" spans="1:60" x14ac:dyDescent="0.25">
      <c r="A107">
        <v>94</v>
      </c>
      <c r="B107" s="1">
        <v>94.907105490403367</v>
      </c>
      <c r="C107" s="1">
        <v>100</v>
      </c>
      <c r="D107" s="1">
        <v>99.900323214082661</v>
      </c>
      <c r="E107" s="1">
        <v>113.3289008703652</v>
      </c>
      <c r="F107" s="1">
        <v>100</v>
      </c>
      <c r="G107" s="1">
        <v>100</v>
      </c>
      <c r="H107" s="1">
        <v>100.79779325216231</v>
      </c>
      <c r="I107" s="1">
        <v>94.850155364740317</v>
      </c>
      <c r="J107" s="1">
        <v>100</v>
      </c>
      <c r="K107" s="1">
        <v>105.58468677600673</v>
      </c>
      <c r="L107" s="1">
        <v>102.84620726260782</v>
      </c>
      <c r="M107" s="1">
        <v>100</v>
      </c>
      <c r="N107" s="1">
        <v>100</v>
      </c>
      <c r="O107" s="1">
        <v>100</v>
      </c>
      <c r="P107" s="1">
        <v>95.861485755846545</v>
      </c>
      <c r="Q107" s="1">
        <v>100</v>
      </c>
      <c r="R107" s="1">
        <v>98.539127000430625</v>
      </c>
      <c r="S107" s="1">
        <v>100</v>
      </c>
      <c r="T107" s="1">
        <v>102.17248059950511</v>
      </c>
      <c r="U107" s="1">
        <v>98.778848255775031</v>
      </c>
      <c r="V107" s="1">
        <v>100</v>
      </c>
      <c r="W107" s="1">
        <v>100</v>
      </c>
      <c r="X107" s="1">
        <v>100</v>
      </c>
      <c r="Y107" s="1">
        <v>100</v>
      </c>
      <c r="Z107" s="1">
        <v>98.120788761043272</v>
      </c>
      <c r="AA107" s="1">
        <v>98.539127000430625</v>
      </c>
      <c r="AB107" s="1">
        <v>94.072043847801481</v>
      </c>
      <c r="AC107" s="1">
        <v>100.67666477865298</v>
      </c>
      <c r="AD107" s="1">
        <v>109.88587193387652</v>
      </c>
      <c r="AE107" s="1">
        <v>92.662082625521762</v>
      </c>
      <c r="AF107" s="1">
        <v>100.94957983664952</v>
      </c>
      <c r="AG107" s="1">
        <v>100</v>
      </c>
      <c r="AH107" s="1">
        <v>100</v>
      </c>
      <c r="AI107" s="1">
        <v>100</v>
      </c>
      <c r="AJ107" s="1">
        <v>100</v>
      </c>
      <c r="AK107" s="1">
        <v>91.884582809774884</v>
      </c>
      <c r="AL107" s="1">
        <v>100</v>
      </c>
      <c r="AM107" s="1">
        <v>101.77795357803487</v>
      </c>
      <c r="AN107" s="1">
        <v>103.13149812683115</v>
      </c>
      <c r="AO107" s="1">
        <v>93.594586749941087</v>
      </c>
      <c r="AP107" s="1">
        <v>100</v>
      </c>
      <c r="AQ107" s="1">
        <v>100</v>
      </c>
      <c r="AR107" s="1">
        <v>100</v>
      </c>
      <c r="AS107" s="1">
        <v>100</v>
      </c>
      <c r="AT107" s="1">
        <v>107.23778289543355</v>
      </c>
      <c r="AU107" s="1">
        <v>100</v>
      </c>
      <c r="AV107" s="1">
        <v>99.900323214082661</v>
      </c>
      <c r="AW107" s="1">
        <v>100</v>
      </c>
      <c r="AX107" s="1">
        <v>100</v>
      </c>
      <c r="AY107" s="1">
        <v>100</v>
      </c>
      <c r="AZ107" s="1">
        <v>100</v>
      </c>
      <c r="BA107" s="1">
        <v>100</v>
      </c>
      <c r="BB107" s="1">
        <v>100</v>
      </c>
      <c r="BC107" s="1">
        <v>100</v>
      </c>
      <c r="BD107" s="1">
        <v>100</v>
      </c>
      <c r="BE107" s="1">
        <v>100</v>
      </c>
      <c r="BF107" s="1">
        <v>100</v>
      </c>
      <c r="BG107" s="1">
        <v>100</v>
      </c>
      <c r="BH107" s="1">
        <v>100</v>
      </c>
    </row>
    <row r="108" spans="1:60" x14ac:dyDescent="0.25">
      <c r="A108">
        <v>95</v>
      </c>
      <c r="B108" s="1">
        <v>94.907105490403367</v>
      </c>
      <c r="C108" s="1">
        <v>100</v>
      </c>
      <c r="D108" s="1">
        <v>99.900323214082661</v>
      </c>
      <c r="E108" s="1">
        <v>112.78791444243583</v>
      </c>
      <c r="F108" s="1">
        <v>100</v>
      </c>
      <c r="G108" s="1">
        <v>100</v>
      </c>
      <c r="H108" s="1">
        <v>100.79779325216231</v>
      </c>
      <c r="I108" s="1">
        <v>95.334243040009738</v>
      </c>
      <c r="J108" s="1">
        <v>100</v>
      </c>
      <c r="K108" s="1">
        <v>105.58468677600673</v>
      </c>
      <c r="L108" s="1">
        <v>102.84620726260782</v>
      </c>
      <c r="M108" s="1">
        <v>100</v>
      </c>
      <c r="N108" s="1">
        <v>100</v>
      </c>
      <c r="O108" s="1">
        <v>100</v>
      </c>
      <c r="P108" s="1">
        <v>95.861485755846545</v>
      </c>
      <c r="Q108" s="1">
        <v>100</v>
      </c>
      <c r="R108" s="1">
        <v>98.539127000430625</v>
      </c>
      <c r="S108" s="1">
        <v>100</v>
      </c>
      <c r="T108" s="1">
        <v>102.17248059950511</v>
      </c>
      <c r="U108" s="1">
        <v>98.778848255775031</v>
      </c>
      <c r="V108" s="1">
        <v>100</v>
      </c>
      <c r="W108" s="1">
        <v>100</v>
      </c>
      <c r="X108" s="1">
        <v>100</v>
      </c>
      <c r="Y108" s="1">
        <v>100</v>
      </c>
      <c r="Z108" s="1">
        <v>98.120788761043272</v>
      </c>
      <c r="AA108" s="1">
        <v>98.539127000430625</v>
      </c>
      <c r="AB108" s="1">
        <v>94.072043847801481</v>
      </c>
      <c r="AC108" s="1">
        <v>100.67666477865298</v>
      </c>
      <c r="AD108" s="1">
        <v>109.88587193387652</v>
      </c>
      <c r="AE108" s="1">
        <v>93.157601287615961</v>
      </c>
      <c r="AF108" s="1">
        <v>100.94957983664952</v>
      </c>
      <c r="AG108" s="1">
        <v>100</v>
      </c>
      <c r="AH108" s="1">
        <v>100</v>
      </c>
      <c r="AI108" s="1">
        <v>100</v>
      </c>
      <c r="AJ108" s="1">
        <v>100</v>
      </c>
      <c r="AK108" s="1">
        <v>91.445962900340646</v>
      </c>
      <c r="AL108" s="1">
        <v>100</v>
      </c>
      <c r="AM108" s="1">
        <v>101.77795357803487</v>
      </c>
      <c r="AN108" s="1">
        <v>103.13149812683115</v>
      </c>
      <c r="AO108" s="1">
        <v>93.594586749941087</v>
      </c>
      <c r="AP108" s="1">
        <v>100</v>
      </c>
      <c r="AQ108" s="1">
        <v>100</v>
      </c>
      <c r="AR108" s="1">
        <v>100</v>
      </c>
      <c r="AS108" s="1">
        <v>100</v>
      </c>
      <c r="AT108" s="1">
        <v>107.23778289543355</v>
      </c>
      <c r="AU108" s="1">
        <v>100</v>
      </c>
      <c r="AV108" s="1">
        <v>99.900323214082661</v>
      </c>
      <c r="AW108" s="1">
        <v>100</v>
      </c>
      <c r="AX108" s="1">
        <v>100</v>
      </c>
      <c r="AY108" s="1">
        <v>100</v>
      </c>
      <c r="AZ108" s="1">
        <v>100</v>
      </c>
      <c r="BA108" s="1">
        <v>100</v>
      </c>
      <c r="BB108" s="1">
        <v>100</v>
      </c>
      <c r="BC108" s="1">
        <v>100</v>
      </c>
      <c r="BD108" s="1">
        <v>100</v>
      </c>
      <c r="BE108" s="1">
        <v>100</v>
      </c>
      <c r="BF108" s="1">
        <v>100</v>
      </c>
      <c r="BG108" s="1">
        <v>100</v>
      </c>
      <c r="BH108" s="1">
        <v>100</v>
      </c>
    </row>
    <row r="109" spans="1:60" x14ac:dyDescent="0.25">
      <c r="A109">
        <v>96</v>
      </c>
      <c r="B109" s="1">
        <v>94.907105490403367</v>
      </c>
      <c r="C109" s="1">
        <v>100</v>
      </c>
      <c r="D109" s="1">
        <v>99.900323214082661</v>
      </c>
      <c r="E109" s="1">
        <v>113.94559513483185</v>
      </c>
      <c r="F109" s="1">
        <v>100</v>
      </c>
      <c r="G109" s="1">
        <v>100</v>
      </c>
      <c r="H109" s="1">
        <v>100.79779325216231</v>
      </c>
      <c r="I109" s="1">
        <v>94.026542225836181</v>
      </c>
      <c r="J109" s="1">
        <v>100</v>
      </c>
      <c r="K109" s="1">
        <v>105.58468677600673</v>
      </c>
      <c r="L109" s="1">
        <v>102.84620726260782</v>
      </c>
      <c r="M109" s="1">
        <v>100</v>
      </c>
      <c r="N109" s="1">
        <v>100</v>
      </c>
      <c r="O109" s="1">
        <v>100</v>
      </c>
      <c r="P109" s="1">
        <v>95.861485755846545</v>
      </c>
      <c r="Q109" s="1">
        <v>100</v>
      </c>
      <c r="R109" s="1">
        <v>98.539127000430625</v>
      </c>
      <c r="S109" s="1">
        <v>100</v>
      </c>
      <c r="T109" s="1">
        <v>102.17248059950511</v>
      </c>
      <c r="U109" s="1">
        <v>98.778848255775031</v>
      </c>
      <c r="V109" s="1">
        <v>100</v>
      </c>
      <c r="W109" s="1">
        <v>100</v>
      </c>
      <c r="X109" s="1">
        <v>100</v>
      </c>
      <c r="Y109" s="1">
        <v>100</v>
      </c>
      <c r="Z109" s="1">
        <v>98.120788761043272</v>
      </c>
      <c r="AA109" s="1">
        <v>98.539127000430625</v>
      </c>
      <c r="AB109" s="1">
        <v>94.072043847801481</v>
      </c>
      <c r="AC109" s="1">
        <v>100.67666477865298</v>
      </c>
      <c r="AD109" s="1">
        <v>109.88587193387652</v>
      </c>
      <c r="AE109" s="1">
        <v>91.879757491246338</v>
      </c>
      <c r="AF109" s="1">
        <v>100.94957983664952</v>
      </c>
      <c r="AG109" s="1">
        <v>100</v>
      </c>
      <c r="AH109" s="1">
        <v>100</v>
      </c>
      <c r="AI109" s="1">
        <v>100</v>
      </c>
      <c r="AJ109" s="1">
        <v>100</v>
      </c>
      <c r="AK109" s="1">
        <v>92.873826818487814</v>
      </c>
      <c r="AL109" s="1">
        <v>100</v>
      </c>
      <c r="AM109" s="1">
        <v>101.77795357803487</v>
      </c>
      <c r="AN109" s="1">
        <v>103.13149812683115</v>
      </c>
      <c r="AO109" s="1">
        <v>93.594586749941087</v>
      </c>
      <c r="AP109" s="1">
        <v>100</v>
      </c>
      <c r="AQ109" s="1">
        <v>100</v>
      </c>
      <c r="AR109" s="1">
        <v>100</v>
      </c>
      <c r="AS109" s="1">
        <v>100</v>
      </c>
      <c r="AT109" s="1">
        <v>107.23778289543355</v>
      </c>
      <c r="AU109" s="1">
        <v>100</v>
      </c>
      <c r="AV109" s="1">
        <v>99.900323214082661</v>
      </c>
      <c r="AW109" s="1">
        <v>100</v>
      </c>
      <c r="AX109" s="1">
        <v>100</v>
      </c>
      <c r="AY109" s="1">
        <v>100</v>
      </c>
      <c r="AZ109" s="1">
        <v>100</v>
      </c>
      <c r="BA109" s="1">
        <v>100</v>
      </c>
      <c r="BB109" s="1">
        <v>100</v>
      </c>
      <c r="BC109" s="1">
        <v>100</v>
      </c>
      <c r="BD109" s="1">
        <v>100</v>
      </c>
      <c r="BE109" s="1">
        <v>100</v>
      </c>
      <c r="BF109" s="1">
        <v>100</v>
      </c>
      <c r="BG109" s="1">
        <v>100</v>
      </c>
      <c r="BH109" s="1">
        <v>100</v>
      </c>
    </row>
    <row r="110" spans="1:60" x14ac:dyDescent="0.25">
      <c r="A110">
        <v>97</v>
      </c>
      <c r="B110" s="1">
        <v>94.443924382194311</v>
      </c>
      <c r="C110" s="1">
        <v>100</v>
      </c>
      <c r="D110" s="1">
        <v>99.900323214082661</v>
      </c>
      <c r="E110" s="1">
        <v>113.94559513483185</v>
      </c>
      <c r="F110" s="1">
        <v>100</v>
      </c>
      <c r="G110" s="1">
        <v>100</v>
      </c>
      <c r="H110" s="1">
        <v>100.79779325216231</v>
      </c>
      <c r="I110" s="1">
        <v>94.026542225836181</v>
      </c>
      <c r="J110" s="1">
        <v>100</v>
      </c>
      <c r="K110" s="1">
        <v>105.58468677600673</v>
      </c>
      <c r="L110" s="1">
        <v>102.84620726260782</v>
      </c>
      <c r="M110" s="1">
        <v>100</v>
      </c>
      <c r="N110" s="1">
        <v>100</v>
      </c>
      <c r="O110" s="1">
        <v>100</v>
      </c>
      <c r="P110" s="1">
        <v>95.861485755846545</v>
      </c>
      <c r="Q110" s="1">
        <v>100</v>
      </c>
      <c r="R110" s="1">
        <v>98.539127000430625</v>
      </c>
      <c r="S110" s="1">
        <v>100</v>
      </c>
      <c r="T110" s="1">
        <v>102.64413725715289</v>
      </c>
      <c r="U110" s="1">
        <v>98.778848255775031</v>
      </c>
      <c r="V110" s="1">
        <v>100</v>
      </c>
      <c r="W110" s="1">
        <v>100</v>
      </c>
      <c r="X110" s="1">
        <v>100</v>
      </c>
      <c r="Y110" s="1">
        <v>100</v>
      </c>
      <c r="Z110" s="1">
        <v>98.120788761043272</v>
      </c>
      <c r="AA110" s="1">
        <v>98.539127000430625</v>
      </c>
      <c r="AB110" s="1">
        <v>94.072043847801481</v>
      </c>
      <c r="AC110" s="1">
        <v>100.67666477865298</v>
      </c>
      <c r="AD110" s="1">
        <v>109.88587193387652</v>
      </c>
      <c r="AE110" s="1">
        <v>91.879757491246338</v>
      </c>
      <c r="AF110" s="1">
        <v>100.94957983664952</v>
      </c>
      <c r="AG110" s="1">
        <v>100</v>
      </c>
      <c r="AH110" s="1">
        <v>100</v>
      </c>
      <c r="AI110" s="1">
        <v>100</v>
      </c>
      <c r="AJ110" s="1">
        <v>100</v>
      </c>
      <c r="AK110" s="1">
        <v>92.873826818487814</v>
      </c>
      <c r="AL110" s="1">
        <v>100</v>
      </c>
      <c r="AM110" s="1">
        <v>101.77795357803487</v>
      </c>
      <c r="AN110" s="1">
        <v>103.13149812683115</v>
      </c>
      <c r="AO110" s="1">
        <v>94.109470488162998</v>
      </c>
      <c r="AP110" s="1">
        <v>100</v>
      </c>
      <c r="AQ110" s="1">
        <v>100</v>
      </c>
      <c r="AR110" s="1">
        <v>100</v>
      </c>
      <c r="AS110" s="1">
        <v>100</v>
      </c>
      <c r="AT110" s="1">
        <v>106.71442360777293</v>
      </c>
      <c r="AU110" s="1">
        <v>100</v>
      </c>
      <c r="AV110" s="1">
        <v>99.900323214082661</v>
      </c>
      <c r="AW110" s="1">
        <v>100</v>
      </c>
      <c r="AX110" s="1">
        <v>100</v>
      </c>
      <c r="AY110" s="1">
        <v>100</v>
      </c>
      <c r="AZ110" s="1">
        <v>100</v>
      </c>
      <c r="BA110" s="1">
        <v>100</v>
      </c>
      <c r="BB110" s="1">
        <v>100</v>
      </c>
      <c r="BC110" s="1">
        <v>100</v>
      </c>
      <c r="BD110" s="1">
        <v>100</v>
      </c>
      <c r="BE110" s="1">
        <v>100</v>
      </c>
      <c r="BF110" s="1">
        <v>100</v>
      </c>
      <c r="BG110" s="1">
        <v>100</v>
      </c>
      <c r="BH110" s="1">
        <v>100</v>
      </c>
    </row>
    <row r="111" spans="1:60" x14ac:dyDescent="0.25">
      <c r="A111">
        <v>98</v>
      </c>
      <c r="B111" s="1">
        <v>95.336286910154001</v>
      </c>
      <c r="C111" s="1">
        <v>100</v>
      </c>
      <c r="D111" s="1">
        <v>99.900323214082661</v>
      </c>
      <c r="E111" s="1">
        <v>113.94559513483185</v>
      </c>
      <c r="F111" s="1">
        <v>100</v>
      </c>
      <c r="G111" s="1">
        <v>100</v>
      </c>
      <c r="H111" s="1">
        <v>100.79779325216231</v>
      </c>
      <c r="I111" s="1">
        <v>94.026542225836181</v>
      </c>
      <c r="J111" s="1">
        <v>100</v>
      </c>
      <c r="K111" s="1">
        <v>105.58468677600673</v>
      </c>
      <c r="L111" s="1">
        <v>102.84620726260782</v>
      </c>
      <c r="M111" s="1">
        <v>100</v>
      </c>
      <c r="N111" s="1">
        <v>100</v>
      </c>
      <c r="O111" s="1">
        <v>100</v>
      </c>
      <c r="P111" s="1">
        <v>95.861485755846545</v>
      </c>
      <c r="Q111" s="1">
        <v>100</v>
      </c>
      <c r="R111" s="1">
        <v>98.539127000430625</v>
      </c>
      <c r="S111" s="1">
        <v>100</v>
      </c>
      <c r="T111" s="1">
        <v>101.76659567069663</v>
      </c>
      <c r="U111" s="1">
        <v>98.778848255775031</v>
      </c>
      <c r="V111" s="1">
        <v>100</v>
      </c>
      <c r="W111" s="1">
        <v>100</v>
      </c>
      <c r="X111" s="1">
        <v>100</v>
      </c>
      <c r="Y111" s="1">
        <v>100</v>
      </c>
      <c r="Z111" s="1">
        <v>98.120788761043272</v>
      </c>
      <c r="AA111" s="1">
        <v>98.539127000430625</v>
      </c>
      <c r="AB111" s="1">
        <v>94.072043847801481</v>
      </c>
      <c r="AC111" s="1">
        <v>100.67666477865298</v>
      </c>
      <c r="AD111" s="1">
        <v>109.88587193387652</v>
      </c>
      <c r="AE111" s="1">
        <v>91.879757491246338</v>
      </c>
      <c r="AF111" s="1">
        <v>100.94957983664952</v>
      </c>
      <c r="AG111" s="1">
        <v>100</v>
      </c>
      <c r="AH111" s="1">
        <v>100</v>
      </c>
      <c r="AI111" s="1">
        <v>100</v>
      </c>
      <c r="AJ111" s="1">
        <v>100</v>
      </c>
      <c r="AK111" s="1">
        <v>92.873826818487814</v>
      </c>
      <c r="AL111" s="1">
        <v>100</v>
      </c>
      <c r="AM111" s="1">
        <v>101.77795357803487</v>
      </c>
      <c r="AN111" s="1">
        <v>103.13149812683115</v>
      </c>
      <c r="AO111" s="1">
        <v>93.304894832508722</v>
      </c>
      <c r="AP111" s="1">
        <v>100</v>
      </c>
      <c r="AQ111" s="1">
        <v>100</v>
      </c>
      <c r="AR111" s="1">
        <v>100</v>
      </c>
      <c r="AS111" s="1">
        <v>100</v>
      </c>
      <c r="AT111" s="1">
        <v>107.50417832192377</v>
      </c>
      <c r="AU111" s="1">
        <v>100</v>
      </c>
      <c r="AV111" s="1">
        <v>99.900323214082661</v>
      </c>
      <c r="AW111" s="1">
        <v>100</v>
      </c>
      <c r="AX111" s="1">
        <v>100</v>
      </c>
      <c r="AY111" s="1">
        <v>100</v>
      </c>
      <c r="AZ111" s="1">
        <v>100</v>
      </c>
      <c r="BA111" s="1">
        <v>100</v>
      </c>
      <c r="BB111" s="1">
        <v>100</v>
      </c>
      <c r="BC111" s="1">
        <v>100</v>
      </c>
      <c r="BD111" s="1">
        <v>100</v>
      </c>
      <c r="BE111" s="1">
        <v>100</v>
      </c>
      <c r="BF111" s="1">
        <v>100</v>
      </c>
      <c r="BG111" s="1">
        <v>100</v>
      </c>
      <c r="BH111" s="1">
        <v>100</v>
      </c>
    </row>
    <row r="112" spans="1:60" x14ac:dyDescent="0.25">
      <c r="A112">
        <v>99</v>
      </c>
      <c r="B112" s="1">
        <v>95.336286910154001</v>
      </c>
      <c r="C112" s="1">
        <v>100</v>
      </c>
      <c r="D112" s="1">
        <v>99.900323214082661</v>
      </c>
      <c r="E112" s="1">
        <v>113.94559513483185</v>
      </c>
      <c r="F112" s="1">
        <v>100</v>
      </c>
      <c r="G112" s="1">
        <v>100</v>
      </c>
      <c r="H112" s="1">
        <v>100.79779325216231</v>
      </c>
      <c r="I112" s="1">
        <v>92.822639178772889</v>
      </c>
      <c r="J112" s="1">
        <v>100</v>
      </c>
      <c r="K112" s="1">
        <v>105.58468677600673</v>
      </c>
      <c r="L112" s="1">
        <v>102.84620726260782</v>
      </c>
      <c r="M112" s="1">
        <v>100</v>
      </c>
      <c r="N112" s="1">
        <v>100</v>
      </c>
      <c r="O112" s="1">
        <v>100</v>
      </c>
      <c r="P112" s="1">
        <v>95.861485755846545</v>
      </c>
      <c r="Q112" s="1">
        <v>100</v>
      </c>
      <c r="R112" s="1">
        <v>98.539127000430625</v>
      </c>
      <c r="S112" s="1">
        <v>100</v>
      </c>
      <c r="T112" s="1">
        <v>101.76659567069663</v>
      </c>
      <c r="U112" s="1">
        <v>98.778848255775031</v>
      </c>
      <c r="V112" s="1">
        <v>100</v>
      </c>
      <c r="W112" s="1">
        <v>100</v>
      </c>
      <c r="X112" s="1">
        <v>100</v>
      </c>
      <c r="Y112" s="1">
        <v>100</v>
      </c>
      <c r="Z112" s="1">
        <v>98.120788761043272</v>
      </c>
      <c r="AA112" s="1">
        <v>98.539127000430625</v>
      </c>
      <c r="AB112" s="1">
        <v>92.867558204164567</v>
      </c>
      <c r="AC112" s="1">
        <v>100.67666477865298</v>
      </c>
      <c r="AD112" s="1">
        <v>109.88587193387652</v>
      </c>
      <c r="AE112" s="1">
        <v>91.879757491246338</v>
      </c>
      <c r="AF112" s="1">
        <v>100.94957983664952</v>
      </c>
      <c r="AG112" s="1">
        <v>100</v>
      </c>
      <c r="AH112" s="1">
        <v>100</v>
      </c>
      <c r="AI112" s="1">
        <v>100</v>
      </c>
      <c r="AJ112" s="1">
        <v>100</v>
      </c>
      <c r="AK112" s="1">
        <v>94.080809289464426</v>
      </c>
      <c r="AL112" s="1">
        <v>100</v>
      </c>
      <c r="AM112" s="1">
        <v>101.77795357803487</v>
      </c>
      <c r="AN112" s="1">
        <v>103.13149812683115</v>
      </c>
      <c r="AO112" s="1">
        <v>94.506301052232317</v>
      </c>
      <c r="AP112" s="1">
        <v>100</v>
      </c>
      <c r="AQ112" s="1">
        <v>100</v>
      </c>
      <c r="AR112" s="1">
        <v>100</v>
      </c>
      <c r="AS112" s="1">
        <v>100</v>
      </c>
      <c r="AT112" s="1">
        <v>107.50417832192377</v>
      </c>
      <c r="AU112" s="1">
        <v>100</v>
      </c>
      <c r="AV112" s="1">
        <v>99.900323214082661</v>
      </c>
      <c r="AW112" s="1">
        <v>100</v>
      </c>
      <c r="AX112" s="1">
        <v>100</v>
      </c>
      <c r="AY112" s="1">
        <v>100</v>
      </c>
      <c r="AZ112" s="1">
        <v>100</v>
      </c>
      <c r="BA112" s="1">
        <v>100</v>
      </c>
      <c r="BB112" s="1">
        <v>100</v>
      </c>
      <c r="BC112" s="1">
        <v>100</v>
      </c>
      <c r="BD112" s="1">
        <v>100</v>
      </c>
      <c r="BE112" s="1">
        <v>100</v>
      </c>
      <c r="BF112" s="1">
        <v>100</v>
      </c>
      <c r="BG112" s="1">
        <v>100</v>
      </c>
      <c r="BH112" s="1">
        <v>100</v>
      </c>
    </row>
    <row r="113" spans="1:60" x14ac:dyDescent="0.25">
      <c r="A113">
        <v>100</v>
      </c>
      <c r="B113" s="1">
        <v>95.336286910154001</v>
      </c>
      <c r="C113" s="1">
        <v>100</v>
      </c>
      <c r="D113" s="1">
        <v>99.900323214082661</v>
      </c>
      <c r="E113" s="1">
        <v>113.94559513483185</v>
      </c>
      <c r="F113" s="1">
        <v>100</v>
      </c>
      <c r="G113" s="1">
        <v>100</v>
      </c>
      <c r="H113" s="1">
        <v>100.79779325216231</v>
      </c>
      <c r="I113" s="1">
        <v>92.24929073396774</v>
      </c>
      <c r="J113" s="1">
        <v>100</v>
      </c>
      <c r="K113" s="1">
        <v>105.58468677600673</v>
      </c>
      <c r="L113" s="1">
        <v>102.84620726260782</v>
      </c>
      <c r="M113" s="1">
        <v>100</v>
      </c>
      <c r="N113" s="1">
        <v>100</v>
      </c>
      <c r="O113" s="1">
        <v>100</v>
      </c>
      <c r="P113" s="1">
        <v>95.861485755846545</v>
      </c>
      <c r="Q113" s="1">
        <v>100</v>
      </c>
      <c r="R113" s="1">
        <v>98.539127000430625</v>
      </c>
      <c r="S113" s="1">
        <v>100</v>
      </c>
      <c r="T113" s="1">
        <v>101.76659567069663</v>
      </c>
      <c r="U113" s="1">
        <v>98.778848255775031</v>
      </c>
      <c r="V113" s="1">
        <v>100</v>
      </c>
      <c r="W113" s="1">
        <v>100</v>
      </c>
      <c r="X113" s="1">
        <v>100</v>
      </c>
      <c r="Y113" s="1">
        <v>100</v>
      </c>
      <c r="Z113" s="1">
        <v>98.120788761043272</v>
      </c>
      <c r="AA113" s="1">
        <v>98.539127000430625</v>
      </c>
      <c r="AB113" s="1">
        <v>92.293932302765015</v>
      </c>
      <c r="AC113" s="1">
        <v>100.67666477865298</v>
      </c>
      <c r="AD113" s="1">
        <v>109.88587193387652</v>
      </c>
      <c r="AE113" s="1">
        <v>91.879757491246338</v>
      </c>
      <c r="AF113" s="1">
        <v>100.94957983664952</v>
      </c>
      <c r="AG113" s="1">
        <v>100</v>
      </c>
      <c r="AH113" s="1">
        <v>100</v>
      </c>
      <c r="AI113" s="1">
        <v>100</v>
      </c>
      <c r="AJ113" s="1">
        <v>100</v>
      </c>
      <c r="AK113" s="1">
        <v>94.655590368962422</v>
      </c>
      <c r="AL113" s="1">
        <v>100</v>
      </c>
      <c r="AM113" s="1">
        <v>101.77795357803487</v>
      </c>
      <c r="AN113" s="1">
        <v>103.13149812683115</v>
      </c>
      <c r="AO113" s="1">
        <v>95.078494318939022</v>
      </c>
      <c r="AP113" s="1">
        <v>100</v>
      </c>
      <c r="AQ113" s="1">
        <v>100</v>
      </c>
      <c r="AR113" s="1">
        <v>100</v>
      </c>
      <c r="AS113" s="1">
        <v>100</v>
      </c>
      <c r="AT113" s="1">
        <v>107.50417832192377</v>
      </c>
      <c r="AU113" s="1">
        <v>100</v>
      </c>
      <c r="AV113" s="1">
        <v>99.900323214082661</v>
      </c>
      <c r="AW113" s="1">
        <v>100</v>
      </c>
      <c r="AX113" s="1">
        <v>100</v>
      </c>
      <c r="AY113" s="1">
        <v>100</v>
      </c>
      <c r="AZ113" s="1">
        <v>100</v>
      </c>
      <c r="BA113" s="1">
        <v>100</v>
      </c>
      <c r="BB113" s="1">
        <v>100</v>
      </c>
      <c r="BC113" s="1">
        <v>100</v>
      </c>
      <c r="BD113" s="1">
        <v>100</v>
      </c>
      <c r="BE113" s="1">
        <v>100</v>
      </c>
      <c r="BF113" s="1">
        <v>100</v>
      </c>
      <c r="BG113" s="1">
        <v>100</v>
      </c>
      <c r="BH113" s="1">
        <v>100</v>
      </c>
    </row>
    <row r="114" spans="1:60" x14ac:dyDescent="0.25">
      <c r="A114">
        <v>101</v>
      </c>
      <c r="B114" s="1">
        <v>95.336286910154001</v>
      </c>
      <c r="C114" s="1">
        <v>100</v>
      </c>
      <c r="D114" s="1">
        <v>99.900323214082661</v>
      </c>
      <c r="E114" s="1">
        <v>114.5971382168136</v>
      </c>
      <c r="F114" s="1">
        <v>100</v>
      </c>
      <c r="G114" s="1">
        <v>100</v>
      </c>
      <c r="H114" s="1">
        <v>100.79779325216231</v>
      </c>
      <c r="I114" s="1">
        <v>93.054071601568026</v>
      </c>
      <c r="J114" s="1">
        <v>100</v>
      </c>
      <c r="K114" s="1">
        <v>105.58468677600673</v>
      </c>
      <c r="L114" s="1">
        <v>102.84620726260782</v>
      </c>
      <c r="M114" s="1">
        <v>100</v>
      </c>
      <c r="N114" s="1">
        <v>100</v>
      </c>
      <c r="O114" s="1">
        <v>100</v>
      </c>
      <c r="P114" s="1">
        <v>95.861485755846545</v>
      </c>
      <c r="Q114" s="1">
        <v>100</v>
      </c>
      <c r="R114" s="1">
        <v>98.539127000430625</v>
      </c>
      <c r="S114" s="1">
        <v>100</v>
      </c>
      <c r="T114" s="1">
        <v>101.76659567069663</v>
      </c>
      <c r="U114" s="1">
        <v>98.778848255775031</v>
      </c>
      <c r="V114" s="1">
        <v>100</v>
      </c>
      <c r="W114" s="1">
        <v>100</v>
      </c>
      <c r="X114" s="1">
        <v>100</v>
      </c>
      <c r="Y114" s="1">
        <v>100</v>
      </c>
      <c r="Z114" s="1">
        <v>98.120788761043272</v>
      </c>
      <c r="AA114" s="1">
        <v>98.539127000430625</v>
      </c>
      <c r="AB114" s="1">
        <v>91.621203899111066</v>
      </c>
      <c r="AC114" s="1">
        <v>100.67666477865298</v>
      </c>
      <c r="AD114" s="1">
        <v>109.88587193387652</v>
      </c>
      <c r="AE114" s="1">
        <v>91.879757491246338</v>
      </c>
      <c r="AF114" s="1">
        <v>100.94957983664952</v>
      </c>
      <c r="AG114" s="1">
        <v>100</v>
      </c>
      <c r="AH114" s="1">
        <v>100</v>
      </c>
      <c r="AI114" s="1">
        <v>100</v>
      </c>
      <c r="AJ114" s="1">
        <v>100</v>
      </c>
      <c r="AK114" s="1">
        <v>94.655590368962422</v>
      </c>
      <c r="AL114" s="1">
        <v>100</v>
      </c>
      <c r="AM114" s="1">
        <v>101.77795357803487</v>
      </c>
      <c r="AN114" s="1">
        <v>103.13149812683115</v>
      </c>
      <c r="AO114" s="1">
        <v>95.078494318939022</v>
      </c>
      <c r="AP114" s="1">
        <v>100</v>
      </c>
      <c r="AQ114" s="1">
        <v>100</v>
      </c>
      <c r="AR114" s="1">
        <v>100</v>
      </c>
      <c r="AS114" s="1">
        <v>100</v>
      </c>
      <c r="AT114" s="1">
        <v>106.72058277599567</v>
      </c>
      <c r="AU114" s="1">
        <v>100</v>
      </c>
      <c r="AV114" s="1">
        <v>99.900323214082661</v>
      </c>
      <c r="AW114" s="1">
        <v>100</v>
      </c>
      <c r="AX114" s="1">
        <v>100</v>
      </c>
      <c r="AY114" s="1">
        <v>100</v>
      </c>
      <c r="AZ114" s="1">
        <v>100</v>
      </c>
      <c r="BA114" s="1">
        <v>100</v>
      </c>
      <c r="BB114" s="1">
        <v>100</v>
      </c>
      <c r="BC114" s="1">
        <v>100</v>
      </c>
      <c r="BD114" s="1">
        <v>100</v>
      </c>
      <c r="BE114" s="1">
        <v>100</v>
      </c>
      <c r="BF114" s="1">
        <v>100</v>
      </c>
      <c r="BG114" s="1">
        <v>100</v>
      </c>
      <c r="BH114" s="1">
        <v>100</v>
      </c>
    </row>
    <row r="115" spans="1:60" x14ac:dyDescent="0.25">
      <c r="A115">
        <v>102</v>
      </c>
      <c r="B115" s="1">
        <v>95.336286910154001</v>
      </c>
      <c r="C115" s="1">
        <v>100</v>
      </c>
      <c r="D115" s="1">
        <v>99.900323214082661</v>
      </c>
      <c r="E115" s="1">
        <v>115.10434278945853</v>
      </c>
      <c r="F115" s="1">
        <v>100</v>
      </c>
      <c r="G115" s="1">
        <v>100</v>
      </c>
      <c r="H115" s="1">
        <v>100.79779325216231</v>
      </c>
      <c r="I115" s="1">
        <v>93.678699750720511</v>
      </c>
      <c r="J115" s="1">
        <v>100</v>
      </c>
      <c r="K115" s="1">
        <v>105.58468677600673</v>
      </c>
      <c r="L115" s="1">
        <v>102.84620726260782</v>
      </c>
      <c r="M115" s="1">
        <v>100</v>
      </c>
      <c r="N115" s="1">
        <v>100</v>
      </c>
      <c r="O115" s="1">
        <v>100</v>
      </c>
      <c r="P115" s="1">
        <v>95.861485755846545</v>
      </c>
      <c r="Q115" s="1">
        <v>100</v>
      </c>
      <c r="R115" s="1">
        <v>98.539127000430625</v>
      </c>
      <c r="S115" s="1">
        <v>100</v>
      </c>
      <c r="T115" s="1">
        <v>101.76659567069663</v>
      </c>
      <c r="U115" s="1">
        <v>98.778848255775031</v>
      </c>
      <c r="V115" s="1">
        <v>100</v>
      </c>
      <c r="W115" s="1">
        <v>100</v>
      </c>
      <c r="X115" s="1">
        <v>100</v>
      </c>
      <c r="Y115" s="1">
        <v>100</v>
      </c>
      <c r="Z115" s="1">
        <v>98.120788761043272</v>
      </c>
      <c r="AA115" s="1">
        <v>98.539127000430625</v>
      </c>
      <c r="AB115" s="1">
        <v>91.098369662706048</v>
      </c>
      <c r="AC115" s="1">
        <v>100.67666477865298</v>
      </c>
      <c r="AD115" s="1">
        <v>109.88587193387652</v>
      </c>
      <c r="AE115" s="1">
        <v>91.879757491246338</v>
      </c>
      <c r="AF115" s="1">
        <v>100.94957983664952</v>
      </c>
      <c r="AG115" s="1">
        <v>100</v>
      </c>
      <c r="AH115" s="1">
        <v>100</v>
      </c>
      <c r="AI115" s="1">
        <v>100</v>
      </c>
      <c r="AJ115" s="1">
        <v>100</v>
      </c>
      <c r="AK115" s="1">
        <v>94.655590368962422</v>
      </c>
      <c r="AL115" s="1">
        <v>100</v>
      </c>
      <c r="AM115" s="1">
        <v>101.77795357803487</v>
      </c>
      <c r="AN115" s="1">
        <v>103.13149812683115</v>
      </c>
      <c r="AO115" s="1">
        <v>95.078494318939022</v>
      </c>
      <c r="AP115" s="1">
        <v>100</v>
      </c>
      <c r="AQ115" s="1">
        <v>100</v>
      </c>
      <c r="AR115" s="1">
        <v>100</v>
      </c>
      <c r="AS115" s="1">
        <v>100</v>
      </c>
      <c r="AT115" s="1">
        <v>106.11158429060328</v>
      </c>
      <c r="AU115" s="1">
        <v>100</v>
      </c>
      <c r="AV115" s="1">
        <v>99.900323214082661</v>
      </c>
      <c r="AW115" s="1">
        <v>100</v>
      </c>
      <c r="AX115" s="1">
        <v>100</v>
      </c>
      <c r="AY115" s="1">
        <v>100</v>
      </c>
      <c r="AZ115" s="1">
        <v>100</v>
      </c>
      <c r="BA115" s="1">
        <v>100</v>
      </c>
      <c r="BB115" s="1">
        <v>100</v>
      </c>
      <c r="BC115" s="1">
        <v>100</v>
      </c>
      <c r="BD115" s="1">
        <v>100</v>
      </c>
      <c r="BE115" s="1">
        <v>100</v>
      </c>
      <c r="BF115" s="1">
        <v>100</v>
      </c>
      <c r="BG115" s="1">
        <v>100</v>
      </c>
      <c r="BH115" s="1">
        <v>100</v>
      </c>
    </row>
    <row r="116" spans="1:60" x14ac:dyDescent="0.25">
      <c r="A116">
        <v>103</v>
      </c>
      <c r="B116" s="1">
        <v>95.336286910154001</v>
      </c>
      <c r="C116" s="1">
        <v>100</v>
      </c>
      <c r="D116" s="1">
        <v>99.900323214082661</v>
      </c>
      <c r="E116" s="1">
        <v>115.10434278945853</v>
      </c>
      <c r="F116" s="1">
        <v>100</v>
      </c>
      <c r="G116" s="1">
        <v>100</v>
      </c>
      <c r="H116" s="1">
        <v>100.79779325216231</v>
      </c>
      <c r="I116" s="1">
        <v>93.678699750720511</v>
      </c>
      <c r="J116" s="1">
        <v>100</v>
      </c>
      <c r="K116" s="1">
        <v>105.5147728789763</v>
      </c>
      <c r="L116" s="1">
        <v>102.84620726260782</v>
      </c>
      <c r="M116" s="1">
        <v>100</v>
      </c>
      <c r="N116" s="1">
        <v>100</v>
      </c>
      <c r="O116" s="1">
        <v>100</v>
      </c>
      <c r="P116" s="1">
        <v>95.861485755846545</v>
      </c>
      <c r="Q116" s="1">
        <v>100</v>
      </c>
      <c r="R116" s="1">
        <v>98.539127000430625</v>
      </c>
      <c r="S116" s="1">
        <v>100</v>
      </c>
      <c r="T116" s="1">
        <v>101.83063867863945</v>
      </c>
      <c r="U116" s="1">
        <v>98.778848255775031</v>
      </c>
      <c r="V116" s="1">
        <v>100</v>
      </c>
      <c r="W116" s="1">
        <v>100</v>
      </c>
      <c r="X116" s="1">
        <v>100</v>
      </c>
      <c r="Y116" s="1">
        <v>100</v>
      </c>
      <c r="Z116" s="1">
        <v>98.120788761043272</v>
      </c>
      <c r="AA116" s="1">
        <v>98.539127000430625</v>
      </c>
      <c r="AB116" s="1">
        <v>91.098369662706048</v>
      </c>
      <c r="AC116" s="1">
        <v>100.67666477865298</v>
      </c>
      <c r="AD116" s="1">
        <v>109.88587193387652</v>
      </c>
      <c r="AE116" s="1">
        <v>91.879757491246338</v>
      </c>
      <c r="AF116" s="1">
        <v>100.94957983664952</v>
      </c>
      <c r="AG116" s="1">
        <v>100</v>
      </c>
      <c r="AH116" s="1">
        <v>100</v>
      </c>
      <c r="AI116" s="1">
        <v>100</v>
      </c>
      <c r="AJ116" s="1">
        <v>100</v>
      </c>
      <c r="AK116" s="1">
        <v>94.592913276284676</v>
      </c>
      <c r="AL116" s="1">
        <v>100</v>
      </c>
      <c r="AM116" s="1">
        <v>101.77795357803487</v>
      </c>
      <c r="AN116" s="1">
        <v>103.13149812683115</v>
      </c>
      <c r="AO116" s="1">
        <v>95.147042300704385</v>
      </c>
      <c r="AP116" s="1">
        <v>100</v>
      </c>
      <c r="AQ116" s="1">
        <v>100</v>
      </c>
      <c r="AR116" s="1">
        <v>100</v>
      </c>
      <c r="AS116" s="1">
        <v>100</v>
      </c>
      <c r="AT116" s="1">
        <v>106.11158429060328</v>
      </c>
      <c r="AU116" s="1">
        <v>100</v>
      </c>
      <c r="AV116" s="1">
        <v>99.900323214082661</v>
      </c>
      <c r="AW116" s="1">
        <v>100</v>
      </c>
      <c r="AX116" s="1">
        <v>100</v>
      </c>
      <c r="AY116" s="1">
        <v>100</v>
      </c>
      <c r="AZ116" s="1">
        <v>100</v>
      </c>
      <c r="BA116" s="1">
        <v>100</v>
      </c>
      <c r="BB116" s="1">
        <v>100</v>
      </c>
      <c r="BC116" s="1">
        <v>100</v>
      </c>
      <c r="BD116" s="1">
        <v>100</v>
      </c>
      <c r="BE116" s="1">
        <v>100</v>
      </c>
      <c r="BF116" s="1">
        <v>100</v>
      </c>
      <c r="BG116" s="1">
        <v>100</v>
      </c>
      <c r="BH116" s="1">
        <v>100</v>
      </c>
    </row>
    <row r="117" spans="1:60" x14ac:dyDescent="0.25">
      <c r="A117">
        <v>104</v>
      </c>
      <c r="B117" s="1">
        <v>95.336286910154001</v>
      </c>
      <c r="C117" s="1">
        <v>100</v>
      </c>
      <c r="D117" s="1">
        <v>99.900323214082661</v>
      </c>
      <c r="E117" s="1">
        <v>115.10434278945853</v>
      </c>
      <c r="F117" s="1">
        <v>100</v>
      </c>
      <c r="G117" s="1">
        <v>100</v>
      </c>
      <c r="H117" s="1">
        <v>100.79779325216231</v>
      </c>
      <c r="I117" s="1">
        <v>93.678699750720511</v>
      </c>
      <c r="J117" s="1">
        <v>100</v>
      </c>
      <c r="K117" s="1">
        <v>104.82284584506489</v>
      </c>
      <c r="L117" s="1">
        <v>102.84620726260782</v>
      </c>
      <c r="M117" s="1">
        <v>100</v>
      </c>
      <c r="N117" s="1">
        <v>100</v>
      </c>
      <c r="O117" s="1">
        <v>100</v>
      </c>
      <c r="P117" s="1">
        <v>95.861485755846545</v>
      </c>
      <c r="Q117" s="1">
        <v>100</v>
      </c>
      <c r="R117" s="1">
        <v>98.539127000430625</v>
      </c>
      <c r="S117" s="1">
        <v>100</v>
      </c>
      <c r="T117" s="1">
        <v>102.46449244196636</v>
      </c>
      <c r="U117" s="1">
        <v>98.778848255775031</v>
      </c>
      <c r="V117" s="1">
        <v>100</v>
      </c>
      <c r="W117" s="1">
        <v>100</v>
      </c>
      <c r="X117" s="1">
        <v>100</v>
      </c>
      <c r="Y117" s="1">
        <v>100</v>
      </c>
      <c r="Z117" s="1">
        <v>98.120788761043272</v>
      </c>
      <c r="AA117" s="1">
        <v>98.539127000430625</v>
      </c>
      <c r="AB117" s="1">
        <v>91.098369662706048</v>
      </c>
      <c r="AC117" s="1">
        <v>100.67666477865298</v>
      </c>
      <c r="AD117" s="1">
        <v>109.88587193387652</v>
      </c>
      <c r="AE117" s="1">
        <v>91.879757491246338</v>
      </c>
      <c r="AF117" s="1">
        <v>100.94957983664952</v>
      </c>
      <c r="AG117" s="1">
        <v>100</v>
      </c>
      <c r="AH117" s="1">
        <v>100</v>
      </c>
      <c r="AI117" s="1">
        <v>100</v>
      </c>
      <c r="AJ117" s="1">
        <v>100</v>
      </c>
      <c r="AK117" s="1">
        <v>93.972607776623789</v>
      </c>
      <c r="AL117" s="1">
        <v>100</v>
      </c>
      <c r="AM117" s="1">
        <v>101.77795357803487</v>
      </c>
      <c r="AN117" s="1">
        <v>103.13149812683115</v>
      </c>
      <c r="AO117" s="1">
        <v>95.825421070949773</v>
      </c>
      <c r="AP117" s="1">
        <v>100</v>
      </c>
      <c r="AQ117" s="1">
        <v>100</v>
      </c>
      <c r="AR117" s="1">
        <v>100</v>
      </c>
      <c r="AS117" s="1">
        <v>100</v>
      </c>
      <c r="AT117" s="1">
        <v>106.11158429060328</v>
      </c>
      <c r="AU117" s="1">
        <v>100</v>
      </c>
      <c r="AV117" s="1">
        <v>99.900323214082661</v>
      </c>
      <c r="AW117" s="1">
        <v>100</v>
      </c>
      <c r="AX117" s="1">
        <v>100</v>
      </c>
      <c r="AY117" s="1">
        <v>100</v>
      </c>
      <c r="AZ117" s="1">
        <v>100</v>
      </c>
      <c r="BA117" s="1">
        <v>100</v>
      </c>
      <c r="BB117" s="1">
        <v>100</v>
      </c>
      <c r="BC117" s="1">
        <v>100</v>
      </c>
      <c r="BD117" s="1">
        <v>100</v>
      </c>
      <c r="BE117" s="1">
        <v>100</v>
      </c>
      <c r="BF117" s="1">
        <v>100</v>
      </c>
      <c r="BG117" s="1">
        <v>100</v>
      </c>
      <c r="BH117" s="1">
        <v>100</v>
      </c>
    </row>
    <row r="118" spans="1:60" x14ac:dyDescent="0.25">
      <c r="A118">
        <v>105</v>
      </c>
      <c r="B118" s="1">
        <v>95.336286910154001</v>
      </c>
      <c r="C118" s="1">
        <v>100</v>
      </c>
      <c r="D118" s="1">
        <v>99.900323214082661</v>
      </c>
      <c r="E118" s="1">
        <v>115.10434278945853</v>
      </c>
      <c r="F118" s="1">
        <v>100</v>
      </c>
      <c r="G118" s="1">
        <v>100</v>
      </c>
      <c r="H118" s="1">
        <v>100.79779325216231</v>
      </c>
      <c r="I118" s="1">
        <v>93.678699750720511</v>
      </c>
      <c r="J118" s="1">
        <v>100</v>
      </c>
      <c r="K118" s="1">
        <v>104.82284584506489</v>
      </c>
      <c r="L118" s="1">
        <v>103.47891997740781</v>
      </c>
      <c r="M118" s="1">
        <v>100</v>
      </c>
      <c r="N118" s="1">
        <v>100</v>
      </c>
      <c r="O118" s="1">
        <v>100</v>
      </c>
      <c r="P118" s="1">
        <v>95.861485755846545</v>
      </c>
      <c r="Q118" s="1">
        <v>100</v>
      </c>
      <c r="R118" s="1">
        <v>98.539127000430625</v>
      </c>
      <c r="S118" s="1">
        <v>100</v>
      </c>
      <c r="T118" s="1">
        <v>102.46449244196636</v>
      </c>
      <c r="U118" s="1">
        <v>98.778848255775031</v>
      </c>
      <c r="V118" s="1">
        <v>100</v>
      </c>
      <c r="W118" s="1">
        <v>100</v>
      </c>
      <c r="X118" s="1">
        <v>100</v>
      </c>
      <c r="Y118" s="1">
        <v>100</v>
      </c>
      <c r="Z118" s="1">
        <v>98.120788761043272</v>
      </c>
      <c r="AA118" s="1">
        <v>98.539127000430625</v>
      </c>
      <c r="AB118" s="1">
        <v>90.492410369922268</v>
      </c>
      <c r="AC118" s="1">
        <v>100.67666477865298</v>
      </c>
      <c r="AD118" s="1">
        <v>109.88587193387652</v>
      </c>
      <c r="AE118" s="1">
        <v>91.879757491246338</v>
      </c>
      <c r="AF118" s="1">
        <v>100.94957983664952</v>
      </c>
      <c r="AG118" s="1">
        <v>100</v>
      </c>
      <c r="AH118" s="1">
        <v>100</v>
      </c>
      <c r="AI118" s="1">
        <v>100</v>
      </c>
      <c r="AJ118" s="1">
        <v>100</v>
      </c>
      <c r="AK118" s="1">
        <v>93.972607776623789</v>
      </c>
      <c r="AL118" s="1">
        <v>100</v>
      </c>
      <c r="AM118" s="1">
        <v>101.77795357803487</v>
      </c>
      <c r="AN118" s="1">
        <v>103.13149812683115</v>
      </c>
      <c r="AO118" s="1">
        <v>96.504490385509087</v>
      </c>
      <c r="AP118" s="1">
        <v>100</v>
      </c>
      <c r="AQ118" s="1">
        <v>100</v>
      </c>
      <c r="AR118" s="1">
        <v>100</v>
      </c>
      <c r="AS118" s="1">
        <v>100</v>
      </c>
      <c r="AT118" s="1">
        <v>105.40576155402773</v>
      </c>
      <c r="AU118" s="1">
        <v>100</v>
      </c>
      <c r="AV118" s="1">
        <v>99.900323214082661</v>
      </c>
      <c r="AW118" s="1">
        <v>100</v>
      </c>
      <c r="AX118" s="1">
        <v>100</v>
      </c>
      <c r="AY118" s="1">
        <v>100</v>
      </c>
      <c r="AZ118" s="1">
        <v>100</v>
      </c>
      <c r="BA118" s="1">
        <v>100</v>
      </c>
      <c r="BB118" s="1">
        <v>100</v>
      </c>
      <c r="BC118" s="1">
        <v>100</v>
      </c>
      <c r="BD118" s="1">
        <v>100</v>
      </c>
      <c r="BE118" s="1">
        <v>100</v>
      </c>
      <c r="BF118" s="1">
        <v>100</v>
      </c>
      <c r="BG118" s="1">
        <v>100</v>
      </c>
      <c r="BH118" s="1">
        <v>100</v>
      </c>
    </row>
    <row r="119" spans="1:60" x14ac:dyDescent="0.25">
      <c r="A119">
        <v>106</v>
      </c>
      <c r="B119" s="1">
        <v>95.336286910154001</v>
      </c>
      <c r="C119" s="1">
        <v>100</v>
      </c>
      <c r="D119" s="1">
        <v>99.900323214082661</v>
      </c>
      <c r="E119" s="1">
        <v>115.10434278945853</v>
      </c>
      <c r="F119" s="1">
        <v>100</v>
      </c>
      <c r="G119" s="1">
        <v>100</v>
      </c>
      <c r="H119" s="1">
        <v>100.79779325216231</v>
      </c>
      <c r="I119" s="1">
        <v>93.678699750720511</v>
      </c>
      <c r="J119" s="1">
        <v>100</v>
      </c>
      <c r="K119" s="1">
        <v>104.82284584506489</v>
      </c>
      <c r="L119" s="1">
        <v>103.36950878634532</v>
      </c>
      <c r="M119" s="1">
        <v>100</v>
      </c>
      <c r="N119" s="1">
        <v>100</v>
      </c>
      <c r="O119" s="1">
        <v>100</v>
      </c>
      <c r="P119" s="1">
        <v>95.861485755846545</v>
      </c>
      <c r="Q119" s="1">
        <v>100</v>
      </c>
      <c r="R119" s="1">
        <v>98.539127000430625</v>
      </c>
      <c r="S119" s="1">
        <v>100</v>
      </c>
      <c r="T119" s="1">
        <v>102.46449244196636</v>
      </c>
      <c r="U119" s="1">
        <v>98.778848255775031</v>
      </c>
      <c r="V119" s="1">
        <v>100</v>
      </c>
      <c r="W119" s="1">
        <v>100</v>
      </c>
      <c r="X119" s="1">
        <v>100</v>
      </c>
      <c r="Y119" s="1">
        <v>100</v>
      </c>
      <c r="Z119" s="1">
        <v>98.120788761043272</v>
      </c>
      <c r="AA119" s="1">
        <v>98.539127000430625</v>
      </c>
      <c r="AB119" s="1">
        <v>90.606182999504028</v>
      </c>
      <c r="AC119" s="1">
        <v>100.67666477865298</v>
      </c>
      <c r="AD119" s="1">
        <v>109.88587193387652</v>
      </c>
      <c r="AE119" s="1">
        <v>91.879757491246338</v>
      </c>
      <c r="AF119" s="1">
        <v>100.94957983664952</v>
      </c>
      <c r="AG119" s="1">
        <v>100</v>
      </c>
      <c r="AH119" s="1">
        <v>100</v>
      </c>
      <c r="AI119" s="1">
        <v>100</v>
      </c>
      <c r="AJ119" s="1">
        <v>100</v>
      </c>
      <c r="AK119" s="1">
        <v>93.972607776623789</v>
      </c>
      <c r="AL119" s="1">
        <v>100</v>
      </c>
      <c r="AM119" s="1">
        <v>101.77795357803487</v>
      </c>
      <c r="AN119" s="1">
        <v>103.13149812683115</v>
      </c>
      <c r="AO119" s="1">
        <v>96.40245345626532</v>
      </c>
      <c r="AP119" s="1">
        <v>100</v>
      </c>
      <c r="AQ119" s="1">
        <v>100</v>
      </c>
      <c r="AR119" s="1">
        <v>100</v>
      </c>
      <c r="AS119" s="1">
        <v>100</v>
      </c>
      <c r="AT119" s="1">
        <v>105.50343704475223</v>
      </c>
      <c r="AU119" s="1">
        <v>100</v>
      </c>
      <c r="AV119" s="1">
        <v>99.900323214082661</v>
      </c>
      <c r="AW119" s="1">
        <v>100</v>
      </c>
      <c r="AX119" s="1">
        <v>100</v>
      </c>
      <c r="AY119" s="1">
        <v>100</v>
      </c>
      <c r="AZ119" s="1">
        <v>100</v>
      </c>
      <c r="BA119" s="1">
        <v>100</v>
      </c>
      <c r="BB119" s="1">
        <v>100</v>
      </c>
      <c r="BC119" s="1">
        <v>100</v>
      </c>
      <c r="BD119" s="1">
        <v>100</v>
      </c>
      <c r="BE119" s="1">
        <v>100</v>
      </c>
      <c r="BF119" s="1">
        <v>100</v>
      </c>
      <c r="BG119" s="1">
        <v>100</v>
      </c>
      <c r="BH119" s="1">
        <v>100</v>
      </c>
    </row>
    <row r="120" spans="1:60" x14ac:dyDescent="0.25">
      <c r="A120">
        <v>107</v>
      </c>
      <c r="B120" s="1">
        <v>95.557604841463586</v>
      </c>
      <c r="C120" s="1">
        <v>100</v>
      </c>
      <c r="D120" s="1">
        <v>99.900323214082661</v>
      </c>
      <c r="E120" s="1">
        <v>115.10434278945853</v>
      </c>
      <c r="F120" s="1">
        <v>100</v>
      </c>
      <c r="G120" s="1">
        <v>100</v>
      </c>
      <c r="H120" s="1">
        <v>100.79779325216231</v>
      </c>
      <c r="I120" s="1">
        <v>93.678699750720511</v>
      </c>
      <c r="J120" s="1">
        <v>100</v>
      </c>
      <c r="K120" s="1">
        <v>104.82284584506489</v>
      </c>
      <c r="L120" s="1">
        <v>103.36950878634532</v>
      </c>
      <c r="M120" s="1">
        <v>100</v>
      </c>
      <c r="N120" s="1">
        <v>100</v>
      </c>
      <c r="O120" s="1">
        <v>100</v>
      </c>
      <c r="P120" s="1">
        <v>95.861485755846545</v>
      </c>
      <c r="Q120" s="1">
        <v>100</v>
      </c>
      <c r="R120" s="1">
        <v>98.539127000430625</v>
      </c>
      <c r="S120" s="1">
        <v>100</v>
      </c>
      <c r="T120" s="1">
        <v>102.46449244196636</v>
      </c>
      <c r="U120" s="1">
        <v>98.778848255775031</v>
      </c>
      <c r="V120" s="1">
        <v>100</v>
      </c>
      <c r="W120" s="1">
        <v>100</v>
      </c>
      <c r="X120" s="1">
        <v>100</v>
      </c>
      <c r="Y120" s="1">
        <v>100</v>
      </c>
      <c r="Z120" s="1">
        <v>98.335826064188865</v>
      </c>
      <c r="AA120" s="1">
        <v>98.539127000430625</v>
      </c>
      <c r="AB120" s="1">
        <v>90.606182999504028</v>
      </c>
      <c r="AC120" s="1">
        <v>100.67666477865298</v>
      </c>
      <c r="AD120" s="1">
        <v>109.88587193387652</v>
      </c>
      <c r="AE120" s="1">
        <v>91.674168265154194</v>
      </c>
      <c r="AF120" s="1">
        <v>100.94957983664952</v>
      </c>
      <c r="AG120" s="1">
        <v>100</v>
      </c>
      <c r="AH120" s="1">
        <v>100</v>
      </c>
      <c r="AI120" s="1">
        <v>100</v>
      </c>
      <c r="AJ120" s="1">
        <v>100</v>
      </c>
      <c r="AK120" s="1">
        <v>93.972607776623789</v>
      </c>
      <c r="AL120" s="1">
        <v>100</v>
      </c>
      <c r="AM120" s="1">
        <v>101.77795357803487</v>
      </c>
      <c r="AN120" s="1">
        <v>102.90073211846811</v>
      </c>
      <c r="AO120" s="1">
        <v>96.40245345626532</v>
      </c>
      <c r="AP120" s="1">
        <v>100</v>
      </c>
      <c r="AQ120" s="1">
        <v>100</v>
      </c>
      <c r="AR120" s="1">
        <v>100</v>
      </c>
      <c r="AS120" s="1">
        <v>100</v>
      </c>
      <c r="AT120" s="1">
        <v>105.50343704475223</v>
      </c>
      <c r="AU120" s="1">
        <v>100</v>
      </c>
      <c r="AV120" s="1">
        <v>99.900323214082661</v>
      </c>
      <c r="AW120" s="1">
        <v>100</v>
      </c>
      <c r="AX120" s="1">
        <v>100</v>
      </c>
      <c r="AY120" s="1">
        <v>100</v>
      </c>
      <c r="AZ120" s="1">
        <v>100</v>
      </c>
      <c r="BA120" s="1">
        <v>100</v>
      </c>
      <c r="BB120" s="1">
        <v>100</v>
      </c>
      <c r="BC120" s="1">
        <v>100</v>
      </c>
      <c r="BD120" s="1">
        <v>100</v>
      </c>
      <c r="BE120" s="1">
        <v>100</v>
      </c>
      <c r="BF120" s="1">
        <v>100</v>
      </c>
      <c r="BG120" s="1">
        <v>100</v>
      </c>
      <c r="BH120" s="1">
        <v>100</v>
      </c>
    </row>
    <row r="121" spans="1:60" x14ac:dyDescent="0.25">
      <c r="A121">
        <v>108</v>
      </c>
      <c r="B121" s="1">
        <v>93.465985799465457</v>
      </c>
      <c r="C121" s="1">
        <v>100</v>
      </c>
      <c r="D121" s="1">
        <v>99.900323214082661</v>
      </c>
      <c r="E121" s="1">
        <v>115.10434278945853</v>
      </c>
      <c r="F121" s="1">
        <v>100</v>
      </c>
      <c r="G121" s="1">
        <v>100</v>
      </c>
      <c r="H121" s="1">
        <v>100.79779325216231</v>
      </c>
      <c r="I121" s="1">
        <v>93.678699750720511</v>
      </c>
      <c r="J121" s="1">
        <v>100</v>
      </c>
      <c r="K121" s="1">
        <v>104.82284584506489</v>
      </c>
      <c r="L121" s="1">
        <v>103.36950878634532</v>
      </c>
      <c r="M121" s="1">
        <v>100</v>
      </c>
      <c r="N121" s="1">
        <v>100</v>
      </c>
      <c r="O121" s="1">
        <v>100</v>
      </c>
      <c r="P121" s="1">
        <v>95.861485755846545</v>
      </c>
      <c r="Q121" s="1">
        <v>100</v>
      </c>
      <c r="R121" s="1">
        <v>98.539127000430625</v>
      </c>
      <c r="S121" s="1">
        <v>100</v>
      </c>
      <c r="T121" s="1">
        <v>102.46449244196636</v>
      </c>
      <c r="U121" s="1">
        <v>98.778848255775031</v>
      </c>
      <c r="V121" s="1">
        <v>100</v>
      </c>
      <c r="W121" s="1">
        <v>100</v>
      </c>
      <c r="X121" s="1">
        <v>100</v>
      </c>
      <c r="Y121" s="1">
        <v>100</v>
      </c>
      <c r="Z121" s="1">
        <v>96.183395740639924</v>
      </c>
      <c r="AA121" s="1">
        <v>98.539127000430625</v>
      </c>
      <c r="AB121" s="1">
        <v>90.606182999504028</v>
      </c>
      <c r="AC121" s="1">
        <v>100.67666477865298</v>
      </c>
      <c r="AD121" s="1">
        <v>109.88587193387652</v>
      </c>
      <c r="AE121" s="1">
        <v>93.918629323598466</v>
      </c>
      <c r="AF121" s="1">
        <v>100.94957983664952</v>
      </c>
      <c r="AG121" s="1">
        <v>100</v>
      </c>
      <c r="AH121" s="1">
        <v>100</v>
      </c>
      <c r="AI121" s="1">
        <v>100</v>
      </c>
      <c r="AJ121" s="1">
        <v>100</v>
      </c>
      <c r="AK121" s="1">
        <v>93.972607776623789</v>
      </c>
      <c r="AL121" s="1">
        <v>100</v>
      </c>
      <c r="AM121" s="1">
        <v>101.77795357803487</v>
      </c>
      <c r="AN121" s="1">
        <v>104.90032042557091</v>
      </c>
      <c r="AO121" s="1">
        <v>96.40245345626532</v>
      </c>
      <c r="AP121" s="1">
        <v>100</v>
      </c>
      <c r="AQ121" s="1">
        <v>100</v>
      </c>
      <c r="AR121" s="1">
        <v>100</v>
      </c>
      <c r="AS121" s="1">
        <v>100</v>
      </c>
      <c r="AT121" s="1">
        <v>105.50343704475223</v>
      </c>
      <c r="AU121" s="1">
        <v>100</v>
      </c>
      <c r="AV121" s="1">
        <v>99.900323214082661</v>
      </c>
      <c r="AW121" s="1">
        <v>100</v>
      </c>
      <c r="AX121" s="1">
        <v>100</v>
      </c>
      <c r="AY121" s="1">
        <v>100</v>
      </c>
      <c r="AZ121" s="1">
        <v>100</v>
      </c>
      <c r="BA121" s="1">
        <v>100</v>
      </c>
      <c r="BB121" s="1">
        <v>100</v>
      </c>
      <c r="BC121" s="1">
        <v>100</v>
      </c>
      <c r="BD121" s="1">
        <v>100</v>
      </c>
      <c r="BE121" s="1">
        <v>100</v>
      </c>
      <c r="BF121" s="1">
        <v>100</v>
      </c>
      <c r="BG121" s="1">
        <v>100</v>
      </c>
      <c r="BH121" s="1">
        <v>100</v>
      </c>
    </row>
    <row r="122" spans="1:60" x14ac:dyDescent="0.25">
      <c r="A122">
        <v>109</v>
      </c>
      <c r="B122" s="1">
        <v>93.465985799465457</v>
      </c>
      <c r="C122" s="1">
        <v>100</v>
      </c>
      <c r="D122" s="1">
        <v>99.900323214082661</v>
      </c>
      <c r="E122" s="1">
        <v>115.10434278945853</v>
      </c>
      <c r="F122" s="1">
        <v>100</v>
      </c>
      <c r="G122" s="1">
        <v>100</v>
      </c>
      <c r="H122" s="1">
        <v>100.79779325216231</v>
      </c>
      <c r="I122" s="1">
        <v>93.52883282555635</v>
      </c>
      <c r="J122" s="1">
        <v>100</v>
      </c>
      <c r="K122" s="1">
        <v>104.97316164040625</v>
      </c>
      <c r="L122" s="1">
        <v>103.36950878634532</v>
      </c>
      <c r="M122" s="1">
        <v>100</v>
      </c>
      <c r="N122" s="1">
        <v>100</v>
      </c>
      <c r="O122" s="1">
        <v>100</v>
      </c>
      <c r="P122" s="1">
        <v>95.861485755846545</v>
      </c>
      <c r="Q122" s="1">
        <v>100</v>
      </c>
      <c r="R122" s="1">
        <v>98.539127000430625</v>
      </c>
      <c r="S122" s="1">
        <v>100</v>
      </c>
      <c r="T122" s="1">
        <v>102.61826795060971</v>
      </c>
      <c r="U122" s="1">
        <v>98.778848255775031</v>
      </c>
      <c r="V122" s="1">
        <v>100</v>
      </c>
      <c r="W122" s="1">
        <v>100</v>
      </c>
      <c r="X122" s="1">
        <v>100</v>
      </c>
      <c r="Y122" s="1">
        <v>100</v>
      </c>
      <c r="Z122" s="1">
        <v>96.183395740639924</v>
      </c>
      <c r="AA122" s="1">
        <v>98.539127000430625</v>
      </c>
      <c r="AB122" s="1">
        <v>90.606182999504028</v>
      </c>
      <c r="AC122" s="1">
        <v>100.67666477865298</v>
      </c>
      <c r="AD122" s="1">
        <v>109.88587193387652</v>
      </c>
      <c r="AE122" s="1">
        <v>93.918629323598466</v>
      </c>
      <c r="AF122" s="1">
        <v>100.94957983664952</v>
      </c>
      <c r="AG122" s="1">
        <v>100</v>
      </c>
      <c r="AH122" s="1">
        <v>100</v>
      </c>
      <c r="AI122" s="1">
        <v>100</v>
      </c>
      <c r="AJ122" s="1">
        <v>100</v>
      </c>
      <c r="AK122" s="1">
        <v>93.972607776623789</v>
      </c>
      <c r="AL122" s="1">
        <v>100</v>
      </c>
      <c r="AM122" s="1">
        <v>101.77795357803487</v>
      </c>
      <c r="AN122" s="1">
        <v>104.90032042557091</v>
      </c>
      <c r="AO122" s="1">
        <v>96.248229077444776</v>
      </c>
      <c r="AP122" s="1">
        <v>100</v>
      </c>
      <c r="AQ122" s="1">
        <v>100</v>
      </c>
      <c r="AR122" s="1">
        <v>100</v>
      </c>
      <c r="AS122" s="1">
        <v>100</v>
      </c>
      <c r="AT122" s="1">
        <v>105.50343704475223</v>
      </c>
      <c r="AU122" s="1">
        <v>100</v>
      </c>
      <c r="AV122" s="1">
        <v>99.900323214082661</v>
      </c>
      <c r="AW122" s="1">
        <v>100</v>
      </c>
      <c r="AX122" s="1">
        <v>100</v>
      </c>
      <c r="AY122" s="1">
        <v>100</v>
      </c>
      <c r="AZ122" s="1">
        <v>100</v>
      </c>
      <c r="BA122" s="1">
        <v>100</v>
      </c>
      <c r="BB122" s="1">
        <v>100</v>
      </c>
      <c r="BC122" s="1">
        <v>100</v>
      </c>
      <c r="BD122" s="1">
        <v>100</v>
      </c>
      <c r="BE122" s="1">
        <v>100</v>
      </c>
      <c r="BF122" s="1">
        <v>100</v>
      </c>
      <c r="BG122" s="1">
        <v>100</v>
      </c>
      <c r="BH122" s="1">
        <v>100</v>
      </c>
    </row>
    <row r="123" spans="1:60" x14ac:dyDescent="0.25">
      <c r="A123">
        <v>110</v>
      </c>
      <c r="B123" s="1">
        <v>93.465985799465457</v>
      </c>
      <c r="C123" s="1">
        <v>100</v>
      </c>
      <c r="D123" s="1">
        <v>99.900323214082661</v>
      </c>
      <c r="E123" s="1">
        <v>115.10434278945853</v>
      </c>
      <c r="F123" s="1">
        <v>100</v>
      </c>
      <c r="G123" s="1">
        <v>100</v>
      </c>
      <c r="H123" s="1">
        <v>100.79779325216231</v>
      </c>
      <c r="I123" s="1">
        <v>91.608339520426014</v>
      </c>
      <c r="J123" s="1">
        <v>100</v>
      </c>
      <c r="K123" s="1">
        <v>106.89947200748281</v>
      </c>
      <c r="L123" s="1">
        <v>103.36950878634532</v>
      </c>
      <c r="M123" s="1">
        <v>100</v>
      </c>
      <c r="N123" s="1">
        <v>100</v>
      </c>
      <c r="O123" s="1">
        <v>100</v>
      </c>
      <c r="P123" s="1">
        <v>95.861485755846545</v>
      </c>
      <c r="Q123" s="1">
        <v>100</v>
      </c>
      <c r="R123" s="1">
        <v>98.539127000430625</v>
      </c>
      <c r="S123" s="1">
        <v>100</v>
      </c>
      <c r="T123" s="1">
        <v>104.58878346964032</v>
      </c>
      <c r="U123" s="1">
        <v>98.778848255775031</v>
      </c>
      <c r="V123" s="1">
        <v>100</v>
      </c>
      <c r="W123" s="1">
        <v>100</v>
      </c>
      <c r="X123" s="1">
        <v>100</v>
      </c>
      <c r="Y123" s="1">
        <v>100</v>
      </c>
      <c r="Z123" s="1">
        <v>96.183395740639924</v>
      </c>
      <c r="AA123" s="1">
        <v>98.539127000430625</v>
      </c>
      <c r="AB123" s="1">
        <v>90.606182999504028</v>
      </c>
      <c r="AC123" s="1">
        <v>100.67666477865298</v>
      </c>
      <c r="AD123" s="1">
        <v>109.88587193387652</v>
      </c>
      <c r="AE123" s="1">
        <v>93.918629323598466</v>
      </c>
      <c r="AF123" s="1">
        <v>100.94957983664952</v>
      </c>
      <c r="AG123" s="1">
        <v>100</v>
      </c>
      <c r="AH123" s="1">
        <v>100</v>
      </c>
      <c r="AI123" s="1">
        <v>100</v>
      </c>
      <c r="AJ123" s="1">
        <v>100</v>
      </c>
      <c r="AK123" s="1">
        <v>93.972607776623789</v>
      </c>
      <c r="AL123" s="1">
        <v>100</v>
      </c>
      <c r="AM123" s="1">
        <v>101.77795357803487</v>
      </c>
      <c r="AN123" s="1">
        <v>104.90032042557091</v>
      </c>
      <c r="AO123" s="1">
        <v>94.271896496467932</v>
      </c>
      <c r="AP123" s="1">
        <v>100</v>
      </c>
      <c r="AQ123" s="1">
        <v>100</v>
      </c>
      <c r="AR123" s="1">
        <v>100</v>
      </c>
      <c r="AS123" s="1">
        <v>100</v>
      </c>
      <c r="AT123" s="1">
        <v>105.50343704475223</v>
      </c>
      <c r="AU123" s="1">
        <v>100</v>
      </c>
      <c r="AV123" s="1">
        <v>99.900323214082661</v>
      </c>
      <c r="AW123" s="1">
        <v>100</v>
      </c>
      <c r="AX123" s="1">
        <v>100</v>
      </c>
      <c r="AY123" s="1">
        <v>100</v>
      </c>
      <c r="AZ123" s="1">
        <v>100</v>
      </c>
      <c r="BA123" s="1">
        <v>100</v>
      </c>
      <c r="BB123" s="1">
        <v>100</v>
      </c>
      <c r="BC123" s="1">
        <v>100</v>
      </c>
      <c r="BD123" s="1">
        <v>100</v>
      </c>
      <c r="BE123" s="1">
        <v>100</v>
      </c>
      <c r="BF123" s="1">
        <v>100</v>
      </c>
      <c r="BG123" s="1">
        <v>100</v>
      </c>
      <c r="BH123" s="1">
        <v>100</v>
      </c>
    </row>
    <row r="124" spans="1:60" x14ac:dyDescent="0.25">
      <c r="A124">
        <v>111</v>
      </c>
      <c r="B124" s="1">
        <v>93.465985799465457</v>
      </c>
      <c r="C124" s="1">
        <v>100</v>
      </c>
      <c r="D124" s="1">
        <v>99.900323214082661</v>
      </c>
      <c r="E124" s="1">
        <v>115.10434278945853</v>
      </c>
      <c r="F124" s="1">
        <v>100</v>
      </c>
      <c r="G124" s="1">
        <v>100</v>
      </c>
      <c r="H124" s="1">
        <v>100.79779325216231</v>
      </c>
      <c r="I124" s="1">
        <v>90.965264550810943</v>
      </c>
      <c r="J124" s="1">
        <v>100</v>
      </c>
      <c r="K124" s="1">
        <v>106.89947200748281</v>
      </c>
      <c r="L124" s="1">
        <v>102.6438724079337</v>
      </c>
      <c r="M124" s="1">
        <v>100</v>
      </c>
      <c r="N124" s="1">
        <v>100</v>
      </c>
      <c r="O124" s="1">
        <v>100</v>
      </c>
      <c r="P124" s="1">
        <v>95.861485755846545</v>
      </c>
      <c r="Q124" s="1">
        <v>100</v>
      </c>
      <c r="R124" s="1">
        <v>98.539127000430625</v>
      </c>
      <c r="S124" s="1">
        <v>100</v>
      </c>
      <c r="T124" s="1">
        <v>104.58878346964032</v>
      </c>
      <c r="U124" s="1">
        <v>98.778848255775031</v>
      </c>
      <c r="V124" s="1">
        <v>100</v>
      </c>
      <c r="W124" s="1">
        <v>100</v>
      </c>
      <c r="X124" s="1">
        <v>100</v>
      </c>
      <c r="Y124" s="1">
        <v>100</v>
      </c>
      <c r="Z124" s="1">
        <v>96.183395740639924</v>
      </c>
      <c r="AA124" s="1">
        <v>98.539127000430625</v>
      </c>
      <c r="AB124" s="1">
        <v>90.606182999504028</v>
      </c>
      <c r="AC124" s="1">
        <v>100.67666477865298</v>
      </c>
      <c r="AD124" s="1">
        <v>109.88587193387652</v>
      </c>
      <c r="AE124" s="1">
        <v>94.603181603164956</v>
      </c>
      <c r="AF124" s="1">
        <v>100.94957983664952</v>
      </c>
      <c r="AG124" s="1">
        <v>100</v>
      </c>
      <c r="AH124" s="1">
        <v>100</v>
      </c>
      <c r="AI124" s="1">
        <v>100</v>
      </c>
      <c r="AJ124" s="1">
        <v>100</v>
      </c>
      <c r="AK124" s="1">
        <v>94.656766845083979</v>
      </c>
      <c r="AL124" s="1">
        <v>100</v>
      </c>
      <c r="AM124" s="1">
        <v>101.77795357803487</v>
      </c>
      <c r="AN124" s="1">
        <v>104.90032042557091</v>
      </c>
      <c r="AO124" s="1">
        <v>94.271896496467932</v>
      </c>
      <c r="AP124" s="1">
        <v>100</v>
      </c>
      <c r="AQ124" s="1">
        <v>100</v>
      </c>
      <c r="AR124" s="1">
        <v>100</v>
      </c>
      <c r="AS124" s="1">
        <v>100</v>
      </c>
      <c r="AT124" s="1">
        <v>105.50343704475223</v>
      </c>
      <c r="AU124" s="1">
        <v>100</v>
      </c>
      <c r="AV124" s="1">
        <v>99.900323214082661</v>
      </c>
      <c r="AW124" s="1">
        <v>100</v>
      </c>
      <c r="AX124" s="1">
        <v>100</v>
      </c>
      <c r="AY124" s="1">
        <v>100</v>
      </c>
      <c r="AZ124" s="1">
        <v>100</v>
      </c>
      <c r="BA124" s="1">
        <v>100</v>
      </c>
      <c r="BB124" s="1">
        <v>100</v>
      </c>
      <c r="BC124" s="1">
        <v>100</v>
      </c>
      <c r="BD124" s="1">
        <v>100</v>
      </c>
      <c r="BE124" s="1">
        <v>100</v>
      </c>
      <c r="BF124" s="1">
        <v>100</v>
      </c>
      <c r="BG124" s="1">
        <v>100</v>
      </c>
      <c r="BH124" s="1">
        <v>100</v>
      </c>
    </row>
    <row r="125" spans="1:60" x14ac:dyDescent="0.25">
      <c r="A125">
        <v>112</v>
      </c>
      <c r="B125" s="1">
        <v>93.465985799465457</v>
      </c>
      <c r="C125" s="1">
        <v>100</v>
      </c>
      <c r="D125" s="1">
        <v>99.900323214082661</v>
      </c>
      <c r="E125" s="1">
        <v>115.10434278945853</v>
      </c>
      <c r="F125" s="1">
        <v>100</v>
      </c>
      <c r="G125" s="1">
        <v>100</v>
      </c>
      <c r="H125" s="1">
        <v>100.79779325216231</v>
      </c>
      <c r="I125" s="1">
        <v>91.205664848657065</v>
      </c>
      <c r="J125" s="1">
        <v>100</v>
      </c>
      <c r="K125" s="1">
        <v>106.89947200748281</v>
      </c>
      <c r="L125" s="1">
        <v>102.85692045628437</v>
      </c>
      <c r="M125" s="1">
        <v>100</v>
      </c>
      <c r="N125" s="1">
        <v>100</v>
      </c>
      <c r="O125" s="1">
        <v>100</v>
      </c>
      <c r="P125" s="1">
        <v>95.861485755846545</v>
      </c>
      <c r="Q125" s="1">
        <v>100</v>
      </c>
      <c r="R125" s="1">
        <v>98.539127000430625</v>
      </c>
      <c r="S125" s="1">
        <v>100</v>
      </c>
      <c r="T125" s="1">
        <v>104.58878346964032</v>
      </c>
      <c r="U125" s="1">
        <v>98.778848255775031</v>
      </c>
      <c r="V125" s="1">
        <v>100</v>
      </c>
      <c r="W125" s="1">
        <v>100</v>
      </c>
      <c r="X125" s="1">
        <v>100</v>
      </c>
      <c r="Y125" s="1">
        <v>100</v>
      </c>
      <c r="Z125" s="1">
        <v>96.183395740639924</v>
      </c>
      <c r="AA125" s="1">
        <v>98.539127000430625</v>
      </c>
      <c r="AB125" s="1">
        <v>90.606182999504028</v>
      </c>
      <c r="AC125" s="1">
        <v>100.67666477865298</v>
      </c>
      <c r="AD125" s="1">
        <v>109.88587193387652</v>
      </c>
      <c r="AE125" s="1">
        <v>94.376521622568788</v>
      </c>
      <c r="AF125" s="1">
        <v>100.94957983664952</v>
      </c>
      <c r="AG125" s="1">
        <v>100</v>
      </c>
      <c r="AH125" s="1">
        <v>100</v>
      </c>
      <c r="AI125" s="1">
        <v>100</v>
      </c>
      <c r="AJ125" s="1">
        <v>100</v>
      </c>
      <c r="AK125" s="1">
        <v>94.429978479483339</v>
      </c>
      <c r="AL125" s="1">
        <v>100</v>
      </c>
      <c r="AM125" s="1">
        <v>101.77795357803487</v>
      </c>
      <c r="AN125" s="1">
        <v>104.90032042557091</v>
      </c>
      <c r="AO125" s="1">
        <v>94.271896496467932</v>
      </c>
      <c r="AP125" s="1">
        <v>100</v>
      </c>
      <c r="AQ125" s="1">
        <v>100</v>
      </c>
      <c r="AR125" s="1">
        <v>100</v>
      </c>
      <c r="AS125" s="1">
        <v>100</v>
      </c>
      <c r="AT125" s="1">
        <v>105.50343704475223</v>
      </c>
      <c r="AU125" s="1">
        <v>100</v>
      </c>
      <c r="AV125" s="1">
        <v>99.900323214082661</v>
      </c>
      <c r="AW125" s="1">
        <v>100</v>
      </c>
      <c r="AX125" s="1">
        <v>100</v>
      </c>
      <c r="AY125" s="1">
        <v>100</v>
      </c>
      <c r="AZ125" s="1">
        <v>100</v>
      </c>
      <c r="BA125" s="1">
        <v>100</v>
      </c>
      <c r="BB125" s="1">
        <v>100</v>
      </c>
      <c r="BC125" s="1">
        <v>100</v>
      </c>
      <c r="BD125" s="1">
        <v>100</v>
      </c>
      <c r="BE125" s="1">
        <v>100</v>
      </c>
      <c r="BF125" s="1">
        <v>100</v>
      </c>
      <c r="BG125" s="1">
        <v>100</v>
      </c>
      <c r="BH125" s="1">
        <v>100</v>
      </c>
    </row>
    <row r="126" spans="1:60" x14ac:dyDescent="0.25">
      <c r="A126">
        <v>113</v>
      </c>
      <c r="B126" s="1">
        <v>93.465985799465457</v>
      </c>
      <c r="C126" s="1">
        <v>100</v>
      </c>
      <c r="D126" s="1">
        <v>99.900323214082661</v>
      </c>
      <c r="E126" s="1">
        <v>115.10434278945853</v>
      </c>
      <c r="F126" s="1">
        <v>100</v>
      </c>
      <c r="G126" s="1">
        <v>100</v>
      </c>
      <c r="H126" s="1">
        <v>100.79779325216231</v>
      </c>
      <c r="I126" s="1">
        <v>94.646474010221567</v>
      </c>
      <c r="J126" s="1">
        <v>100</v>
      </c>
      <c r="K126" s="1">
        <v>103.48315470263157</v>
      </c>
      <c r="L126" s="1">
        <v>102.85692045628437</v>
      </c>
      <c r="M126" s="1">
        <v>100</v>
      </c>
      <c r="N126" s="1">
        <v>100</v>
      </c>
      <c r="O126" s="1">
        <v>100</v>
      </c>
      <c r="P126" s="1">
        <v>95.861485755846545</v>
      </c>
      <c r="Q126" s="1">
        <v>100</v>
      </c>
      <c r="R126" s="1">
        <v>98.539127000430625</v>
      </c>
      <c r="S126" s="1">
        <v>100</v>
      </c>
      <c r="T126" s="1">
        <v>104.58878346964032</v>
      </c>
      <c r="U126" s="1">
        <v>98.778848255775031</v>
      </c>
      <c r="V126" s="1">
        <v>100</v>
      </c>
      <c r="W126" s="1">
        <v>100</v>
      </c>
      <c r="X126" s="1">
        <v>100</v>
      </c>
      <c r="Y126" s="1">
        <v>100</v>
      </c>
      <c r="Z126" s="1">
        <v>96.183395740639924</v>
      </c>
      <c r="AA126" s="1">
        <v>98.539127000430625</v>
      </c>
      <c r="AB126" s="1">
        <v>90.606182999504028</v>
      </c>
      <c r="AC126" s="1">
        <v>100.67666477865298</v>
      </c>
      <c r="AD126" s="1">
        <v>109.88587193387652</v>
      </c>
      <c r="AE126" s="1">
        <v>91.360415575120015</v>
      </c>
      <c r="AF126" s="1">
        <v>100.94957983664952</v>
      </c>
      <c r="AG126" s="1">
        <v>100</v>
      </c>
      <c r="AH126" s="1">
        <v>100</v>
      </c>
      <c r="AI126" s="1">
        <v>100</v>
      </c>
      <c r="AJ126" s="1">
        <v>100</v>
      </c>
      <c r="AK126" s="1">
        <v>94.429978479483339</v>
      </c>
      <c r="AL126" s="1">
        <v>100</v>
      </c>
      <c r="AM126" s="1">
        <v>101.77795357803487</v>
      </c>
      <c r="AN126" s="1">
        <v>107.89193461630643</v>
      </c>
      <c r="AO126" s="1">
        <v>94.271896496467932</v>
      </c>
      <c r="AP126" s="1">
        <v>100</v>
      </c>
      <c r="AQ126" s="1">
        <v>100</v>
      </c>
      <c r="AR126" s="1">
        <v>100</v>
      </c>
      <c r="AS126" s="1">
        <v>100</v>
      </c>
      <c r="AT126" s="1">
        <v>105.50343704475223</v>
      </c>
      <c r="AU126" s="1">
        <v>100</v>
      </c>
      <c r="AV126" s="1">
        <v>99.900323214082661</v>
      </c>
      <c r="AW126" s="1">
        <v>100</v>
      </c>
      <c r="AX126" s="1">
        <v>100</v>
      </c>
      <c r="AY126" s="1">
        <v>100</v>
      </c>
      <c r="AZ126" s="1">
        <v>100</v>
      </c>
      <c r="BA126" s="1">
        <v>100</v>
      </c>
      <c r="BB126" s="1">
        <v>100</v>
      </c>
      <c r="BC126" s="1">
        <v>100</v>
      </c>
      <c r="BD126" s="1">
        <v>100</v>
      </c>
      <c r="BE126" s="1">
        <v>100</v>
      </c>
      <c r="BF126" s="1">
        <v>100</v>
      </c>
      <c r="BG126" s="1">
        <v>100</v>
      </c>
      <c r="BH126" s="1">
        <v>100</v>
      </c>
    </row>
    <row r="127" spans="1:60" x14ac:dyDescent="0.25">
      <c r="A127">
        <v>114</v>
      </c>
      <c r="B127" s="1">
        <v>93.465985799465457</v>
      </c>
      <c r="C127" s="1">
        <v>100</v>
      </c>
      <c r="D127" s="1">
        <v>99.900323214082661</v>
      </c>
      <c r="E127" s="1">
        <v>115.10434278945853</v>
      </c>
      <c r="F127" s="1">
        <v>100</v>
      </c>
      <c r="G127" s="1">
        <v>100</v>
      </c>
      <c r="H127" s="1">
        <v>100.79779325216231</v>
      </c>
      <c r="I127" s="1">
        <v>94.357099679669787</v>
      </c>
      <c r="J127" s="1">
        <v>100</v>
      </c>
      <c r="K127" s="1">
        <v>103.77351347077945</v>
      </c>
      <c r="L127" s="1">
        <v>102.85692045628437</v>
      </c>
      <c r="M127" s="1">
        <v>100</v>
      </c>
      <c r="N127" s="1">
        <v>100</v>
      </c>
      <c r="O127" s="1">
        <v>100</v>
      </c>
      <c r="P127" s="1">
        <v>95.861485755846545</v>
      </c>
      <c r="Q127" s="1">
        <v>100</v>
      </c>
      <c r="R127" s="1">
        <v>98.539127000430625</v>
      </c>
      <c r="S127" s="1">
        <v>100</v>
      </c>
      <c r="T127" s="1">
        <v>104.58878346964032</v>
      </c>
      <c r="U127" s="1">
        <v>98.778848255775031</v>
      </c>
      <c r="V127" s="1">
        <v>100</v>
      </c>
      <c r="W127" s="1">
        <v>100</v>
      </c>
      <c r="X127" s="1">
        <v>100</v>
      </c>
      <c r="Y127" s="1">
        <v>100</v>
      </c>
      <c r="Z127" s="1">
        <v>96.183395740639924</v>
      </c>
      <c r="AA127" s="1">
        <v>98.539127000430625</v>
      </c>
      <c r="AB127" s="1">
        <v>90.606182999504028</v>
      </c>
      <c r="AC127" s="1">
        <v>100.67666477865298</v>
      </c>
      <c r="AD127" s="1">
        <v>109.88587193387652</v>
      </c>
      <c r="AE127" s="1">
        <v>91.689302447343223</v>
      </c>
      <c r="AF127" s="1">
        <v>100.94957983664952</v>
      </c>
      <c r="AG127" s="1">
        <v>100</v>
      </c>
      <c r="AH127" s="1">
        <v>100</v>
      </c>
      <c r="AI127" s="1">
        <v>100</v>
      </c>
      <c r="AJ127" s="1">
        <v>100</v>
      </c>
      <c r="AK127" s="1">
        <v>94.429978479483339</v>
      </c>
      <c r="AL127" s="1">
        <v>100</v>
      </c>
      <c r="AM127" s="1">
        <v>101.77795357803487</v>
      </c>
      <c r="AN127" s="1">
        <v>107.56206330648712</v>
      </c>
      <c r="AO127" s="1">
        <v>94.271896496467932</v>
      </c>
      <c r="AP127" s="1">
        <v>100</v>
      </c>
      <c r="AQ127" s="1">
        <v>100</v>
      </c>
      <c r="AR127" s="1">
        <v>100</v>
      </c>
      <c r="AS127" s="1">
        <v>100</v>
      </c>
      <c r="AT127" s="1">
        <v>105.50343704475223</v>
      </c>
      <c r="AU127" s="1">
        <v>100</v>
      </c>
      <c r="AV127" s="1">
        <v>99.900323214082661</v>
      </c>
      <c r="AW127" s="1">
        <v>100</v>
      </c>
      <c r="AX127" s="1">
        <v>100</v>
      </c>
      <c r="AY127" s="1">
        <v>100</v>
      </c>
      <c r="AZ127" s="1">
        <v>100</v>
      </c>
      <c r="BA127" s="1">
        <v>100</v>
      </c>
      <c r="BB127" s="1">
        <v>100</v>
      </c>
      <c r="BC127" s="1">
        <v>100</v>
      </c>
      <c r="BD127" s="1">
        <v>100</v>
      </c>
      <c r="BE127" s="1">
        <v>100</v>
      </c>
      <c r="BF127" s="1">
        <v>100</v>
      </c>
      <c r="BG127" s="1">
        <v>100</v>
      </c>
      <c r="BH127" s="1">
        <v>100</v>
      </c>
    </row>
    <row r="128" spans="1:60" x14ac:dyDescent="0.25">
      <c r="A128">
        <v>115</v>
      </c>
      <c r="B128" s="1">
        <v>93.465985799465457</v>
      </c>
      <c r="C128" s="1">
        <v>100</v>
      </c>
      <c r="D128" s="1">
        <v>99.900323214082661</v>
      </c>
      <c r="E128" s="1">
        <v>115.2287568627172</v>
      </c>
      <c r="F128" s="1">
        <v>100</v>
      </c>
      <c r="G128" s="1">
        <v>100</v>
      </c>
      <c r="H128" s="1">
        <v>100.79779325216231</v>
      </c>
      <c r="I128" s="1">
        <v>94.357099679669787</v>
      </c>
      <c r="J128" s="1">
        <v>100</v>
      </c>
      <c r="K128" s="1">
        <v>103.77351347077945</v>
      </c>
      <c r="L128" s="1">
        <v>102.71884490476859</v>
      </c>
      <c r="M128" s="1">
        <v>100</v>
      </c>
      <c r="N128" s="1">
        <v>100</v>
      </c>
      <c r="O128" s="1">
        <v>100</v>
      </c>
      <c r="P128" s="1">
        <v>95.861485755846545</v>
      </c>
      <c r="Q128" s="1">
        <v>100</v>
      </c>
      <c r="R128" s="1">
        <v>98.539127000430625</v>
      </c>
      <c r="S128" s="1">
        <v>100</v>
      </c>
      <c r="T128" s="1">
        <v>104.58878346964032</v>
      </c>
      <c r="U128" s="1">
        <v>98.778848255775031</v>
      </c>
      <c r="V128" s="1">
        <v>100</v>
      </c>
      <c r="W128" s="1">
        <v>100</v>
      </c>
      <c r="X128" s="1">
        <v>100</v>
      </c>
      <c r="Y128" s="1">
        <v>100</v>
      </c>
      <c r="Z128" s="1">
        <v>96.183395740639924</v>
      </c>
      <c r="AA128" s="1">
        <v>98.539127000430625</v>
      </c>
      <c r="AB128" s="1">
        <v>90.764236232320144</v>
      </c>
      <c r="AC128" s="1">
        <v>100.67666477865298</v>
      </c>
      <c r="AD128" s="1">
        <v>109.88587193387652</v>
      </c>
      <c r="AE128" s="1">
        <v>91.689302447343223</v>
      </c>
      <c r="AF128" s="1">
        <v>100.94957983664952</v>
      </c>
      <c r="AG128" s="1">
        <v>100</v>
      </c>
      <c r="AH128" s="1">
        <v>100</v>
      </c>
      <c r="AI128" s="1">
        <v>100</v>
      </c>
      <c r="AJ128" s="1">
        <v>100</v>
      </c>
      <c r="AK128" s="1">
        <v>94.429978479483339</v>
      </c>
      <c r="AL128" s="1">
        <v>100</v>
      </c>
      <c r="AM128" s="1">
        <v>101.77795357803487</v>
      </c>
      <c r="AN128" s="1">
        <v>107.41767155192811</v>
      </c>
      <c r="AO128" s="1">
        <v>94.271896496467932</v>
      </c>
      <c r="AP128" s="1">
        <v>100</v>
      </c>
      <c r="AQ128" s="1">
        <v>100</v>
      </c>
      <c r="AR128" s="1">
        <v>100</v>
      </c>
      <c r="AS128" s="1">
        <v>100</v>
      </c>
      <c r="AT128" s="1">
        <v>105.50343704475223</v>
      </c>
      <c r="AU128" s="1">
        <v>100</v>
      </c>
      <c r="AV128" s="1">
        <v>99.900323214082661</v>
      </c>
      <c r="AW128" s="1">
        <v>100</v>
      </c>
      <c r="AX128" s="1">
        <v>100</v>
      </c>
      <c r="AY128" s="1">
        <v>100</v>
      </c>
      <c r="AZ128" s="1">
        <v>100</v>
      </c>
      <c r="BA128" s="1">
        <v>100</v>
      </c>
      <c r="BB128" s="1">
        <v>100</v>
      </c>
      <c r="BC128" s="1">
        <v>100</v>
      </c>
      <c r="BD128" s="1">
        <v>100</v>
      </c>
      <c r="BE128" s="1">
        <v>100</v>
      </c>
      <c r="BF128" s="1">
        <v>100</v>
      </c>
      <c r="BG128" s="1">
        <v>100</v>
      </c>
      <c r="BH128" s="1">
        <v>100</v>
      </c>
    </row>
    <row r="129" spans="1:60" x14ac:dyDescent="0.25">
      <c r="A129">
        <v>116</v>
      </c>
      <c r="B129" s="1">
        <v>93.465985799465457</v>
      </c>
      <c r="C129" s="1">
        <v>100</v>
      </c>
      <c r="D129" s="1">
        <v>99.900323214082661</v>
      </c>
      <c r="E129" s="1">
        <v>114.96198681294571</v>
      </c>
      <c r="F129" s="1">
        <v>100</v>
      </c>
      <c r="G129" s="1">
        <v>100</v>
      </c>
      <c r="H129" s="1">
        <v>100.79779325216231</v>
      </c>
      <c r="I129" s="1">
        <v>94.357099679669787</v>
      </c>
      <c r="J129" s="1">
        <v>100</v>
      </c>
      <c r="K129" s="1">
        <v>103.77351347077945</v>
      </c>
      <c r="L129" s="1">
        <v>102.96262758465552</v>
      </c>
      <c r="M129" s="1">
        <v>100</v>
      </c>
      <c r="N129" s="1">
        <v>100</v>
      </c>
      <c r="O129" s="1">
        <v>100</v>
      </c>
      <c r="P129" s="1">
        <v>95.861485755846545</v>
      </c>
      <c r="Q129" s="1">
        <v>100</v>
      </c>
      <c r="R129" s="1">
        <v>98.539127000430625</v>
      </c>
      <c r="S129" s="1">
        <v>100</v>
      </c>
      <c r="T129" s="1">
        <v>104.58878346964032</v>
      </c>
      <c r="U129" s="1">
        <v>98.778848255775031</v>
      </c>
      <c r="V129" s="1">
        <v>100</v>
      </c>
      <c r="W129" s="1">
        <v>100</v>
      </c>
      <c r="X129" s="1">
        <v>100</v>
      </c>
      <c r="Y129" s="1">
        <v>100</v>
      </c>
      <c r="Z129" s="1">
        <v>96.183395740639924</v>
      </c>
      <c r="AA129" s="1">
        <v>98.539127000430625</v>
      </c>
      <c r="AB129" s="1">
        <v>90.554104833905299</v>
      </c>
      <c r="AC129" s="1">
        <v>100.67666477865298</v>
      </c>
      <c r="AD129" s="1">
        <v>109.88587193387652</v>
      </c>
      <c r="AE129" s="1">
        <v>91.689302447343223</v>
      </c>
      <c r="AF129" s="1">
        <v>100.94957983664952</v>
      </c>
      <c r="AG129" s="1">
        <v>100</v>
      </c>
      <c r="AH129" s="1">
        <v>100</v>
      </c>
      <c r="AI129" s="1">
        <v>100</v>
      </c>
      <c r="AJ129" s="1">
        <v>100</v>
      </c>
      <c r="AK129" s="1">
        <v>94.429978479483339</v>
      </c>
      <c r="AL129" s="1">
        <v>100</v>
      </c>
      <c r="AM129" s="1">
        <v>101.77795357803487</v>
      </c>
      <c r="AN129" s="1">
        <v>107.65079032022751</v>
      </c>
      <c r="AO129" s="1">
        <v>94.271896496467932</v>
      </c>
      <c r="AP129" s="1">
        <v>100</v>
      </c>
      <c r="AQ129" s="1">
        <v>100</v>
      </c>
      <c r="AR129" s="1">
        <v>100</v>
      </c>
      <c r="AS129" s="1">
        <v>100</v>
      </c>
      <c r="AT129" s="1">
        <v>105.50343704475223</v>
      </c>
      <c r="AU129" s="1">
        <v>100</v>
      </c>
      <c r="AV129" s="1">
        <v>99.900323214082661</v>
      </c>
      <c r="AW129" s="1">
        <v>100</v>
      </c>
      <c r="AX129" s="1">
        <v>100</v>
      </c>
      <c r="AY129" s="1">
        <v>100</v>
      </c>
      <c r="AZ129" s="1">
        <v>100</v>
      </c>
      <c r="BA129" s="1">
        <v>100</v>
      </c>
      <c r="BB129" s="1">
        <v>100</v>
      </c>
      <c r="BC129" s="1">
        <v>100</v>
      </c>
      <c r="BD129" s="1">
        <v>100</v>
      </c>
      <c r="BE129" s="1">
        <v>100</v>
      </c>
      <c r="BF129" s="1">
        <v>100</v>
      </c>
      <c r="BG129" s="1">
        <v>100</v>
      </c>
      <c r="BH129" s="1">
        <v>100</v>
      </c>
    </row>
    <row r="130" spans="1:60" x14ac:dyDescent="0.25">
      <c r="A130">
        <v>117</v>
      </c>
      <c r="B130" s="1">
        <v>93.465985799465457</v>
      </c>
      <c r="C130" s="1">
        <v>100</v>
      </c>
      <c r="D130" s="1">
        <v>99.900323214082661</v>
      </c>
      <c r="E130" s="1">
        <v>114.96198681294571</v>
      </c>
      <c r="F130" s="1">
        <v>100</v>
      </c>
      <c r="G130" s="1">
        <v>100</v>
      </c>
      <c r="H130" s="1">
        <v>100.79779325216231</v>
      </c>
      <c r="I130" s="1">
        <v>94.357099679669787</v>
      </c>
      <c r="J130" s="1">
        <v>99.156392864744078</v>
      </c>
      <c r="K130" s="1">
        <v>103.77351347077945</v>
      </c>
      <c r="L130" s="1">
        <v>102.96262758465552</v>
      </c>
      <c r="M130" s="1">
        <v>100</v>
      </c>
      <c r="N130" s="1">
        <v>100</v>
      </c>
      <c r="O130" s="1">
        <v>100</v>
      </c>
      <c r="P130" s="1">
        <v>95.861485755846545</v>
      </c>
      <c r="Q130" s="1">
        <v>100</v>
      </c>
      <c r="R130" s="1">
        <v>98.539127000430625</v>
      </c>
      <c r="S130" s="1">
        <v>100</v>
      </c>
      <c r="T130" s="1">
        <v>103.70646502961307</v>
      </c>
      <c r="U130" s="1">
        <v>98.778848255775031</v>
      </c>
      <c r="V130" s="1">
        <v>100</v>
      </c>
      <c r="W130" s="1">
        <v>100</v>
      </c>
      <c r="X130" s="1">
        <v>100</v>
      </c>
      <c r="Y130" s="1">
        <v>100</v>
      </c>
      <c r="Z130" s="1">
        <v>96.183395740639924</v>
      </c>
      <c r="AA130" s="1">
        <v>98.539127000430625</v>
      </c>
      <c r="AB130" s="1">
        <v>90.554104833905299</v>
      </c>
      <c r="AC130" s="1">
        <v>100.67666477865298</v>
      </c>
      <c r="AD130" s="1">
        <v>109.88587193387652</v>
      </c>
      <c r="AE130" s="1">
        <v>91.689302447343223</v>
      </c>
      <c r="AF130" s="1">
        <v>100.94957983664952</v>
      </c>
      <c r="AG130" s="1">
        <v>100</v>
      </c>
      <c r="AH130" s="1">
        <v>100</v>
      </c>
      <c r="AI130" s="1">
        <v>100</v>
      </c>
      <c r="AJ130" s="1">
        <v>100</v>
      </c>
      <c r="AK130" s="1">
        <v>94.429978479483339</v>
      </c>
      <c r="AL130" s="1">
        <v>100</v>
      </c>
      <c r="AM130" s="1">
        <v>101.77795357803487</v>
      </c>
      <c r="AN130" s="1">
        <v>107.65079032022751</v>
      </c>
      <c r="AO130" s="1">
        <v>95.160303726957167</v>
      </c>
      <c r="AP130" s="1">
        <v>100</v>
      </c>
      <c r="AQ130" s="1">
        <v>100</v>
      </c>
      <c r="AR130" s="1">
        <v>100.83751834479395</v>
      </c>
      <c r="AS130" s="1">
        <v>100</v>
      </c>
      <c r="AT130" s="1">
        <v>105.50343704475223</v>
      </c>
      <c r="AU130" s="1">
        <v>100</v>
      </c>
      <c r="AV130" s="1">
        <v>99.900323214082661</v>
      </c>
      <c r="AW130" s="1">
        <v>100</v>
      </c>
      <c r="AX130" s="1">
        <v>100</v>
      </c>
      <c r="AY130" s="1">
        <v>100</v>
      </c>
      <c r="AZ130" s="1">
        <v>100</v>
      </c>
      <c r="BA130" s="1">
        <v>100</v>
      </c>
      <c r="BB130" s="1">
        <v>100</v>
      </c>
      <c r="BC130" s="1">
        <v>100</v>
      </c>
      <c r="BD130" s="1">
        <v>100</v>
      </c>
      <c r="BE130" s="1">
        <v>100</v>
      </c>
      <c r="BF130" s="1">
        <v>100</v>
      </c>
      <c r="BG130" s="1">
        <v>100</v>
      </c>
      <c r="BH130" s="1">
        <v>100</v>
      </c>
    </row>
    <row r="131" spans="1:60" x14ac:dyDescent="0.25">
      <c r="A131">
        <v>118</v>
      </c>
      <c r="B131" s="1">
        <v>93.465985799465457</v>
      </c>
      <c r="C131" s="1">
        <v>100</v>
      </c>
      <c r="D131" s="1">
        <v>99.900323214082661</v>
      </c>
      <c r="E131" s="1">
        <v>114.96198681294571</v>
      </c>
      <c r="F131" s="1">
        <v>100</v>
      </c>
      <c r="G131" s="1">
        <v>100</v>
      </c>
      <c r="H131" s="1">
        <v>100.79779325216231</v>
      </c>
      <c r="I131" s="1">
        <v>94.357099679669787</v>
      </c>
      <c r="J131" s="1">
        <v>99.873960030431505</v>
      </c>
      <c r="K131" s="1">
        <v>103.77351347077945</v>
      </c>
      <c r="L131" s="1">
        <v>102.96262758465552</v>
      </c>
      <c r="M131" s="1">
        <v>100</v>
      </c>
      <c r="N131" s="1">
        <v>100</v>
      </c>
      <c r="O131" s="1">
        <v>100</v>
      </c>
      <c r="P131" s="1">
        <v>95.861485755846545</v>
      </c>
      <c r="Q131" s="1">
        <v>100</v>
      </c>
      <c r="R131" s="1">
        <v>98.539127000430625</v>
      </c>
      <c r="S131" s="1">
        <v>100</v>
      </c>
      <c r="T131" s="1">
        <v>104.39254927486651</v>
      </c>
      <c r="U131" s="1">
        <v>98.778848255775031</v>
      </c>
      <c r="V131" s="1">
        <v>100</v>
      </c>
      <c r="W131" s="1">
        <v>100</v>
      </c>
      <c r="X131" s="1">
        <v>100</v>
      </c>
      <c r="Y131" s="1">
        <v>100</v>
      </c>
      <c r="Z131" s="1">
        <v>96.183395740639924</v>
      </c>
      <c r="AA131" s="1">
        <v>98.539127000430625</v>
      </c>
      <c r="AB131" s="1">
        <v>90.554104833905299</v>
      </c>
      <c r="AC131" s="1">
        <v>100.67666477865298</v>
      </c>
      <c r="AD131" s="1">
        <v>109.88587193387652</v>
      </c>
      <c r="AE131" s="1">
        <v>91.689302447343223</v>
      </c>
      <c r="AF131" s="1">
        <v>100.94957983664952</v>
      </c>
      <c r="AG131" s="1">
        <v>100</v>
      </c>
      <c r="AH131" s="1">
        <v>100</v>
      </c>
      <c r="AI131" s="1">
        <v>100</v>
      </c>
      <c r="AJ131" s="1">
        <v>100</v>
      </c>
      <c r="AK131" s="1">
        <v>94.429978479483339</v>
      </c>
      <c r="AL131" s="1">
        <v>100</v>
      </c>
      <c r="AM131" s="1">
        <v>101.77795357803487</v>
      </c>
      <c r="AN131" s="1">
        <v>107.65079032022751</v>
      </c>
      <c r="AO131" s="1">
        <v>94.478806896125008</v>
      </c>
      <c r="AP131" s="1">
        <v>100</v>
      </c>
      <c r="AQ131" s="1">
        <v>100</v>
      </c>
      <c r="AR131" s="1">
        <v>100.11536376468524</v>
      </c>
      <c r="AS131" s="1">
        <v>100</v>
      </c>
      <c r="AT131" s="1">
        <v>105.50343704475223</v>
      </c>
      <c r="AU131" s="1">
        <v>100</v>
      </c>
      <c r="AV131" s="1">
        <v>99.900323214082661</v>
      </c>
      <c r="AW131" s="1">
        <v>100</v>
      </c>
      <c r="AX131" s="1">
        <v>100</v>
      </c>
      <c r="AY131" s="1">
        <v>100</v>
      </c>
      <c r="AZ131" s="1">
        <v>100</v>
      </c>
      <c r="BA131" s="1">
        <v>100</v>
      </c>
      <c r="BB131" s="1">
        <v>100</v>
      </c>
      <c r="BC131" s="1">
        <v>100</v>
      </c>
      <c r="BD131" s="1">
        <v>100</v>
      </c>
      <c r="BE131" s="1">
        <v>100</v>
      </c>
      <c r="BF131" s="1">
        <v>100</v>
      </c>
      <c r="BG131" s="1">
        <v>100</v>
      </c>
      <c r="BH131" s="1">
        <v>100</v>
      </c>
    </row>
    <row r="132" spans="1:60" x14ac:dyDescent="0.25">
      <c r="A132">
        <v>119</v>
      </c>
      <c r="B132" s="1">
        <v>93.465985799465457</v>
      </c>
      <c r="C132" s="1">
        <v>100</v>
      </c>
      <c r="D132" s="1">
        <v>99.900323214082661</v>
      </c>
      <c r="E132" s="1">
        <v>115.12017793952391</v>
      </c>
      <c r="F132" s="1">
        <v>100</v>
      </c>
      <c r="G132" s="1">
        <v>100</v>
      </c>
      <c r="H132" s="1">
        <v>100.79779325216231</v>
      </c>
      <c r="I132" s="1">
        <v>94.549835215939424</v>
      </c>
      <c r="J132" s="1">
        <v>99.873960030431505</v>
      </c>
      <c r="K132" s="1">
        <v>103.77351347077945</v>
      </c>
      <c r="L132" s="1">
        <v>102.96262758465552</v>
      </c>
      <c r="M132" s="1">
        <v>100</v>
      </c>
      <c r="N132" s="1">
        <v>100</v>
      </c>
      <c r="O132" s="1">
        <v>100</v>
      </c>
      <c r="P132" s="1">
        <v>95.861485755846545</v>
      </c>
      <c r="Q132" s="1">
        <v>100</v>
      </c>
      <c r="R132" s="1">
        <v>98.539127000430625</v>
      </c>
      <c r="S132" s="1">
        <v>100</v>
      </c>
      <c r="T132" s="1">
        <v>104.39254927486651</v>
      </c>
      <c r="U132" s="1">
        <v>98.778848255775031</v>
      </c>
      <c r="V132" s="1">
        <v>100</v>
      </c>
      <c r="W132" s="1">
        <v>100</v>
      </c>
      <c r="X132" s="1">
        <v>100</v>
      </c>
      <c r="Y132" s="1">
        <v>100</v>
      </c>
      <c r="Z132" s="1">
        <v>96.183395740639924</v>
      </c>
      <c r="AA132" s="1">
        <v>98.539127000430625</v>
      </c>
      <c r="AB132" s="1">
        <v>90.554104833905299</v>
      </c>
      <c r="AC132" s="1">
        <v>100.67666477865298</v>
      </c>
      <c r="AD132" s="1">
        <v>109.88587193387652</v>
      </c>
      <c r="AE132" s="1">
        <v>91.527888752386175</v>
      </c>
      <c r="AF132" s="1">
        <v>100.94957983664952</v>
      </c>
      <c r="AG132" s="1">
        <v>100</v>
      </c>
      <c r="AH132" s="1">
        <v>100</v>
      </c>
      <c r="AI132" s="1">
        <v>100</v>
      </c>
      <c r="AJ132" s="1">
        <v>100</v>
      </c>
      <c r="AK132" s="1">
        <v>94.429978479483339</v>
      </c>
      <c r="AL132" s="1">
        <v>100</v>
      </c>
      <c r="AM132" s="1">
        <v>101.77795357803487</v>
      </c>
      <c r="AN132" s="1">
        <v>107.46127735233671</v>
      </c>
      <c r="AO132" s="1">
        <v>94.478806896125008</v>
      </c>
      <c r="AP132" s="1">
        <v>100</v>
      </c>
      <c r="AQ132" s="1">
        <v>100</v>
      </c>
      <c r="AR132" s="1">
        <v>100.11536376468524</v>
      </c>
      <c r="AS132" s="1">
        <v>100</v>
      </c>
      <c r="AT132" s="1">
        <v>105.50343704475223</v>
      </c>
      <c r="AU132" s="1">
        <v>100</v>
      </c>
      <c r="AV132" s="1">
        <v>99.900323214082661</v>
      </c>
      <c r="AW132" s="1">
        <v>100</v>
      </c>
      <c r="AX132" s="1">
        <v>100</v>
      </c>
      <c r="AY132" s="1">
        <v>100</v>
      </c>
      <c r="AZ132" s="1">
        <v>100</v>
      </c>
      <c r="BA132" s="1">
        <v>100</v>
      </c>
      <c r="BB132" s="1">
        <v>100</v>
      </c>
      <c r="BC132" s="1">
        <v>100</v>
      </c>
      <c r="BD132" s="1">
        <v>100</v>
      </c>
      <c r="BE132" s="1">
        <v>100</v>
      </c>
      <c r="BF132" s="1">
        <v>100</v>
      </c>
      <c r="BG132" s="1">
        <v>100</v>
      </c>
      <c r="BH132" s="1">
        <v>100</v>
      </c>
    </row>
    <row r="133" spans="1:60" x14ac:dyDescent="0.25">
      <c r="A133">
        <v>120</v>
      </c>
      <c r="B133" s="1">
        <v>93.465985799465457</v>
      </c>
      <c r="C133" s="1">
        <v>100</v>
      </c>
      <c r="D133" s="1">
        <v>99.900323214082661</v>
      </c>
      <c r="E133" s="1">
        <v>114.98128297841693</v>
      </c>
      <c r="F133" s="1">
        <v>100</v>
      </c>
      <c r="G133" s="1">
        <v>100</v>
      </c>
      <c r="H133" s="1">
        <v>100.79779325216231</v>
      </c>
      <c r="I133" s="1">
        <v>94.43575881404324</v>
      </c>
      <c r="J133" s="1">
        <v>99.873960030431505</v>
      </c>
      <c r="K133" s="1">
        <v>103.77351347077945</v>
      </c>
      <c r="L133" s="1">
        <v>102.96262758465552</v>
      </c>
      <c r="M133" s="1">
        <v>100</v>
      </c>
      <c r="N133" s="1">
        <v>100</v>
      </c>
      <c r="O133" s="1">
        <v>100</v>
      </c>
      <c r="P133" s="1">
        <v>95.861485755846545</v>
      </c>
      <c r="Q133" s="1">
        <v>100</v>
      </c>
      <c r="R133" s="1">
        <v>98.539127000430625</v>
      </c>
      <c r="S133" s="1">
        <v>100</v>
      </c>
      <c r="T133" s="1">
        <v>104.39254927486651</v>
      </c>
      <c r="U133" s="1">
        <v>98.778848255775031</v>
      </c>
      <c r="V133" s="1">
        <v>100</v>
      </c>
      <c r="W133" s="1">
        <v>100</v>
      </c>
      <c r="X133" s="1">
        <v>100</v>
      </c>
      <c r="Y133" s="1">
        <v>100</v>
      </c>
      <c r="Z133" s="1">
        <v>96.183395740639924</v>
      </c>
      <c r="AA133" s="1">
        <v>98.539127000430625</v>
      </c>
      <c r="AB133" s="1">
        <v>90.554104833905299</v>
      </c>
      <c r="AC133" s="1">
        <v>100.67666477865298</v>
      </c>
      <c r="AD133" s="1">
        <v>109.88587193387652</v>
      </c>
      <c r="AE133" s="1">
        <v>91.664502349669036</v>
      </c>
      <c r="AF133" s="1">
        <v>100.94957983664952</v>
      </c>
      <c r="AG133" s="1">
        <v>100</v>
      </c>
      <c r="AH133" s="1">
        <v>100</v>
      </c>
      <c r="AI133" s="1">
        <v>100</v>
      </c>
      <c r="AJ133" s="1">
        <v>100</v>
      </c>
      <c r="AK133" s="1">
        <v>94.429978479483339</v>
      </c>
      <c r="AL133" s="1">
        <v>100</v>
      </c>
      <c r="AM133" s="1">
        <v>101.77795357803487</v>
      </c>
      <c r="AN133" s="1">
        <v>107.57763511805702</v>
      </c>
      <c r="AO133" s="1">
        <v>94.478806896125008</v>
      </c>
      <c r="AP133" s="1">
        <v>100</v>
      </c>
      <c r="AQ133" s="1">
        <v>100</v>
      </c>
      <c r="AR133" s="1">
        <v>100.11536376468524</v>
      </c>
      <c r="AS133" s="1">
        <v>100</v>
      </c>
      <c r="AT133" s="1">
        <v>105.50343704475223</v>
      </c>
      <c r="AU133" s="1">
        <v>100</v>
      </c>
      <c r="AV133" s="1">
        <v>99.900323214082661</v>
      </c>
      <c r="AW133" s="1">
        <v>100</v>
      </c>
      <c r="AX133" s="1">
        <v>100</v>
      </c>
      <c r="AY133" s="1">
        <v>100</v>
      </c>
      <c r="AZ133" s="1">
        <v>100</v>
      </c>
      <c r="BA133" s="1">
        <v>100</v>
      </c>
      <c r="BB133" s="1">
        <v>100</v>
      </c>
      <c r="BC133" s="1">
        <v>100</v>
      </c>
      <c r="BD133" s="1">
        <v>100</v>
      </c>
      <c r="BE133" s="1">
        <v>100</v>
      </c>
      <c r="BF133" s="1">
        <v>100</v>
      </c>
      <c r="BG133" s="1">
        <v>100</v>
      </c>
      <c r="BH133" s="1">
        <v>100</v>
      </c>
    </row>
    <row r="134" spans="1:60" x14ac:dyDescent="0.25">
      <c r="A134">
        <v>121</v>
      </c>
      <c r="B134" s="1">
        <v>93.465985799465457</v>
      </c>
      <c r="C134" s="1">
        <v>100</v>
      </c>
      <c r="D134" s="1">
        <v>99.900323214082661</v>
      </c>
      <c r="E134" s="1">
        <v>114.98128297841693</v>
      </c>
      <c r="F134" s="1">
        <v>100</v>
      </c>
      <c r="G134" s="1">
        <v>100</v>
      </c>
      <c r="H134" s="1">
        <v>100.79779325216231</v>
      </c>
      <c r="I134" s="1">
        <v>94.43575881404324</v>
      </c>
      <c r="J134" s="1">
        <v>99.873960030431505</v>
      </c>
      <c r="K134" s="1">
        <v>102.73536308050143</v>
      </c>
      <c r="L134" s="1">
        <v>102.96262758465552</v>
      </c>
      <c r="M134" s="1">
        <v>100</v>
      </c>
      <c r="N134" s="1">
        <v>100</v>
      </c>
      <c r="O134" s="1">
        <v>100</v>
      </c>
      <c r="P134" s="1">
        <v>95.861485755846545</v>
      </c>
      <c r="Q134" s="1">
        <v>100</v>
      </c>
      <c r="R134" s="1">
        <v>98.539127000430625</v>
      </c>
      <c r="S134" s="1">
        <v>100</v>
      </c>
      <c r="T134" s="1">
        <v>104.39254927486651</v>
      </c>
      <c r="U134" s="1">
        <v>98.778848255775031</v>
      </c>
      <c r="V134" s="1">
        <v>100</v>
      </c>
      <c r="W134" s="1">
        <v>100</v>
      </c>
      <c r="X134" s="1">
        <v>100</v>
      </c>
      <c r="Y134" s="1">
        <v>100</v>
      </c>
      <c r="Z134" s="1">
        <v>96.183395740639924</v>
      </c>
      <c r="AA134" s="1">
        <v>98.539127000430625</v>
      </c>
      <c r="AB134" s="1">
        <v>90.554104833905299</v>
      </c>
      <c r="AC134" s="1">
        <v>100.67666477865298</v>
      </c>
      <c r="AD134" s="1">
        <v>109.88587193387652</v>
      </c>
      <c r="AE134" s="1">
        <v>91.664502349669036</v>
      </c>
      <c r="AF134" s="1">
        <v>100.94957983664952</v>
      </c>
      <c r="AG134" s="1">
        <v>100</v>
      </c>
      <c r="AH134" s="1">
        <v>100</v>
      </c>
      <c r="AI134" s="1">
        <v>100</v>
      </c>
      <c r="AJ134" s="1">
        <v>100</v>
      </c>
      <c r="AK134" s="1">
        <v>93.485300827800813</v>
      </c>
      <c r="AL134" s="1">
        <v>100</v>
      </c>
      <c r="AM134" s="1">
        <v>101.77795357803487</v>
      </c>
      <c r="AN134" s="1">
        <v>107.57763511805702</v>
      </c>
      <c r="AO134" s="1">
        <v>95.524875633894553</v>
      </c>
      <c r="AP134" s="1">
        <v>100</v>
      </c>
      <c r="AQ134" s="1">
        <v>100</v>
      </c>
      <c r="AR134" s="1">
        <v>100.11536376468524</v>
      </c>
      <c r="AS134" s="1">
        <v>100</v>
      </c>
      <c r="AT134" s="1">
        <v>106.44019634894325</v>
      </c>
      <c r="AU134" s="1">
        <v>100</v>
      </c>
      <c r="AV134" s="1">
        <v>99.900323214082661</v>
      </c>
      <c r="AW134" s="1">
        <v>100</v>
      </c>
      <c r="AX134" s="1">
        <v>100</v>
      </c>
      <c r="AY134" s="1">
        <v>100</v>
      </c>
      <c r="AZ134" s="1">
        <v>100</v>
      </c>
      <c r="BA134" s="1">
        <v>100</v>
      </c>
      <c r="BB134" s="1">
        <v>100</v>
      </c>
      <c r="BC134" s="1">
        <v>100</v>
      </c>
      <c r="BD134" s="1">
        <v>100</v>
      </c>
      <c r="BE134" s="1">
        <v>100</v>
      </c>
      <c r="BF134" s="1">
        <v>100</v>
      </c>
      <c r="BG134" s="1">
        <v>100</v>
      </c>
      <c r="BH134" s="1">
        <v>100</v>
      </c>
    </row>
    <row r="135" spans="1:60" x14ac:dyDescent="0.25">
      <c r="A135">
        <v>122</v>
      </c>
      <c r="B135" s="1">
        <v>93.465985799465457</v>
      </c>
      <c r="C135" s="1">
        <v>100</v>
      </c>
      <c r="D135" s="1">
        <v>99.900323214082661</v>
      </c>
      <c r="E135" s="1">
        <v>114.98128297841693</v>
      </c>
      <c r="F135" s="1">
        <v>100</v>
      </c>
      <c r="G135" s="1">
        <v>100</v>
      </c>
      <c r="H135" s="1">
        <v>100.79779325216231</v>
      </c>
      <c r="I135" s="1">
        <v>94.43575881404324</v>
      </c>
      <c r="J135" s="1">
        <v>99.873960030431505</v>
      </c>
      <c r="K135" s="1">
        <v>103.3154251559375</v>
      </c>
      <c r="L135" s="1">
        <v>102.96262758465552</v>
      </c>
      <c r="M135" s="1">
        <v>100</v>
      </c>
      <c r="N135" s="1">
        <v>100</v>
      </c>
      <c r="O135" s="1">
        <v>100</v>
      </c>
      <c r="P135" s="1">
        <v>95.861485755846545</v>
      </c>
      <c r="Q135" s="1">
        <v>100</v>
      </c>
      <c r="R135" s="1">
        <v>98.539127000430625</v>
      </c>
      <c r="S135" s="1">
        <v>100</v>
      </c>
      <c r="T135" s="1">
        <v>104.39254927486651</v>
      </c>
      <c r="U135" s="1">
        <v>98.778848255775031</v>
      </c>
      <c r="V135" s="1">
        <v>100</v>
      </c>
      <c r="W135" s="1">
        <v>100</v>
      </c>
      <c r="X135" s="1">
        <v>100</v>
      </c>
      <c r="Y135" s="1">
        <v>100</v>
      </c>
      <c r="Z135" s="1">
        <v>96.183395740639924</v>
      </c>
      <c r="AA135" s="1">
        <v>98.539127000430625</v>
      </c>
      <c r="AB135" s="1">
        <v>90.554104833905299</v>
      </c>
      <c r="AC135" s="1">
        <v>100.67666477865298</v>
      </c>
      <c r="AD135" s="1">
        <v>109.88587193387652</v>
      </c>
      <c r="AE135" s="1">
        <v>91.664502349669036</v>
      </c>
      <c r="AF135" s="1">
        <v>100.94957983664952</v>
      </c>
      <c r="AG135" s="1">
        <v>100</v>
      </c>
      <c r="AH135" s="1">
        <v>100</v>
      </c>
      <c r="AI135" s="1">
        <v>100</v>
      </c>
      <c r="AJ135" s="1">
        <v>100</v>
      </c>
      <c r="AK135" s="1">
        <v>94.122758132868739</v>
      </c>
      <c r="AL135" s="1">
        <v>100</v>
      </c>
      <c r="AM135" s="1">
        <v>101.77795357803487</v>
      </c>
      <c r="AN135" s="1">
        <v>107.57763511805702</v>
      </c>
      <c r="AO135" s="1">
        <v>94.949016717980697</v>
      </c>
      <c r="AP135" s="1">
        <v>100</v>
      </c>
      <c r="AQ135" s="1">
        <v>100</v>
      </c>
      <c r="AR135" s="1">
        <v>100.11536376468524</v>
      </c>
      <c r="AS135" s="1">
        <v>100</v>
      </c>
      <c r="AT135" s="1">
        <v>105.7985358843531</v>
      </c>
      <c r="AU135" s="1">
        <v>100</v>
      </c>
      <c r="AV135" s="1">
        <v>99.900323214082661</v>
      </c>
      <c r="AW135" s="1">
        <v>100</v>
      </c>
      <c r="AX135" s="1">
        <v>100</v>
      </c>
      <c r="AY135" s="1">
        <v>100</v>
      </c>
      <c r="AZ135" s="1">
        <v>100</v>
      </c>
      <c r="BA135" s="1">
        <v>100</v>
      </c>
      <c r="BB135" s="1">
        <v>100</v>
      </c>
      <c r="BC135" s="1">
        <v>100</v>
      </c>
      <c r="BD135" s="1">
        <v>100</v>
      </c>
      <c r="BE135" s="1">
        <v>100</v>
      </c>
      <c r="BF135" s="1">
        <v>100</v>
      </c>
      <c r="BG135" s="1">
        <v>100</v>
      </c>
      <c r="BH135" s="1">
        <v>100</v>
      </c>
    </row>
    <row r="136" spans="1:60" x14ac:dyDescent="0.25">
      <c r="A136">
        <v>123</v>
      </c>
      <c r="B136" s="1">
        <v>93.465985799465457</v>
      </c>
      <c r="C136" s="1">
        <v>97.379267073965892</v>
      </c>
      <c r="D136" s="1">
        <v>99.900323214082661</v>
      </c>
      <c r="E136" s="1">
        <v>114.98128297841693</v>
      </c>
      <c r="F136" s="1">
        <v>100</v>
      </c>
      <c r="G136" s="1">
        <v>100</v>
      </c>
      <c r="H136" s="1">
        <v>100.79779325216231</v>
      </c>
      <c r="I136" s="1">
        <v>91.960849788853452</v>
      </c>
      <c r="J136" s="1">
        <v>99.873960030431505</v>
      </c>
      <c r="K136" s="1">
        <v>103.3154251559375</v>
      </c>
      <c r="L136" s="1">
        <v>102.96262758465552</v>
      </c>
      <c r="M136" s="1">
        <v>100</v>
      </c>
      <c r="N136" s="1">
        <v>100</v>
      </c>
      <c r="O136" s="1">
        <v>100</v>
      </c>
      <c r="P136" s="1">
        <v>95.861485755846545</v>
      </c>
      <c r="Q136" s="1">
        <v>100</v>
      </c>
      <c r="R136" s="1">
        <v>98.539127000430625</v>
      </c>
      <c r="S136" s="1">
        <v>100</v>
      </c>
      <c r="T136" s="1">
        <v>104.39254927486651</v>
      </c>
      <c r="U136" s="1">
        <v>98.778848255775031</v>
      </c>
      <c r="V136" s="1">
        <v>100</v>
      </c>
      <c r="W136" s="1">
        <v>100</v>
      </c>
      <c r="X136" s="1">
        <v>100</v>
      </c>
      <c r="Y136" s="1">
        <v>100</v>
      </c>
      <c r="Z136" s="1">
        <v>96.183395740639924</v>
      </c>
      <c r="AA136" s="1">
        <v>98.539127000430625</v>
      </c>
      <c r="AB136" s="1">
        <v>90.554104833905299</v>
      </c>
      <c r="AC136" s="1">
        <v>100.67666477865298</v>
      </c>
      <c r="AD136" s="1">
        <v>109.88587193387652</v>
      </c>
      <c r="AE136" s="1">
        <v>91.664502349669036</v>
      </c>
      <c r="AF136" s="1">
        <v>103.4853611781015</v>
      </c>
      <c r="AG136" s="1">
        <v>100</v>
      </c>
      <c r="AH136" s="1">
        <v>100</v>
      </c>
      <c r="AI136" s="1">
        <v>100</v>
      </c>
      <c r="AJ136" s="1">
        <v>100</v>
      </c>
      <c r="AK136" s="1">
        <v>94.122758132868739</v>
      </c>
      <c r="AL136" s="1">
        <v>102.55986060977192</v>
      </c>
      <c r="AM136" s="1">
        <v>101.77795357803487</v>
      </c>
      <c r="AN136" s="1">
        <v>107.57763511805702</v>
      </c>
      <c r="AO136" s="1">
        <v>94.949016717980697</v>
      </c>
      <c r="AP136" s="1">
        <v>100</v>
      </c>
      <c r="AQ136" s="1">
        <v>100</v>
      </c>
      <c r="AR136" s="1">
        <v>100.11536376468524</v>
      </c>
      <c r="AS136" s="1">
        <v>100</v>
      </c>
      <c r="AT136" s="1">
        <v>105.7985358843531</v>
      </c>
      <c r="AU136" s="1">
        <v>100</v>
      </c>
      <c r="AV136" s="1">
        <v>99.900323214082661</v>
      </c>
      <c r="AW136" s="1">
        <v>100</v>
      </c>
      <c r="AX136" s="1">
        <v>100</v>
      </c>
      <c r="AY136" s="1">
        <v>100</v>
      </c>
      <c r="AZ136" s="1">
        <v>100</v>
      </c>
      <c r="BA136" s="1">
        <v>100</v>
      </c>
      <c r="BB136" s="1">
        <v>100</v>
      </c>
      <c r="BC136" s="1">
        <v>100</v>
      </c>
      <c r="BD136" s="1">
        <v>100</v>
      </c>
      <c r="BE136" s="1">
        <v>100</v>
      </c>
      <c r="BF136" s="1">
        <v>100</v>
      </c>
      <c r="BG136" s="1">
        <v>100</v>
      </c>
      <c r="BH136" s="1">
        <v>100</v>
      </c>
    </row>
    <row r="137" spans="1:60" x14ac:dyDescent="0.25">
      <c r="A137">
        <v>124</v>
      </c>
      <c r="B137" s="1">
        <v>93.465985799465457</v>
      </c>
      <c r="C137" s="1">
        <v>94.353173132071191</v>
      </c>
      <c r="D137" s="1">
        <v>99.900323214082661</v>
      </c>
      <c r="E137" s="1">
        <v>114.98128297841693</v>
      </c>
      <c r="F137" s="1">
        <v>100</v>
      </c>
      <c r="G137" s="1">
        <v>100</v>
      </c>
      <c r="H137" s="1">
        <v>100.79779325216231</v>
      </c>
      <c r="I137" s="1">
        <v>89.103135012399392</v>
      </c>
      <c r="J137" s="1">
        <v>99.873960030431505</v>
      </c>
      <c r="K137" s="1">
        <v>103.3154251559375</v>
      </c>
      <c r="L137" s="1">
        <v>102.96262758465552</v>
      </c>
      <c r="M137" s="1">
        <v>100</v>
      </c>
      <c r="N137" s="1">
        <v>100</v>
      </c>
      <c r="O137" s="1">
        <v>100</v>
      </c>
      <c r="P137" s="1">
        <v>95.861485755846545</v>
      </c>
      <c r="Q137" s="1">
        <v>100</v>
      </c>
      <c r="R137" s="1">
        <v>98.539127000430625</v>
      </c>
      <c r="S137" s="1">
        <v>100</v>
      </c>
      <c r="T137" s="1">
        <v>104.39254927486651</v>
      </c>
      <c r="U137" s="1">
        <v>98.778848255775031</v>
      </c>
      <c r="V137" s="1">
        <v>100</v>
      </c>
      <c r="W137" s="1">
        <v>100</v>
      </c>
      <c r="X137" s="1">
        <v>100</v>
      </c>
      <c r="Y137" s="1">
        <v>100</v>
      </c>
      <c r="Z137" s="1">
        <v>96.183395740639924</v>
      </c>
      <c r="AA137" s="1">
        <v>98.539127000430625</v>
      </c>
      <c r="AB137" s="1">
        <v>90.554104833905299</v>
      </c>
      <c r="AC137" s="1">
        <v>100.67666477865298</v>
      </c>
      <c r="AD137" s="1">
        <v>109.88587193387652</v>
      </c>
      <c r="AE137" s="1">
        <v>91.664502349669036</v>
      </c>
      <c r="AF137" s="1">
        <v>106.41405128201306</v>
      </c>
      <c r="AG137" s="1">
        <v>100</v>
      </c>
      <c r="AH137" s="1">
        <v>100</v>
      </c>
      <c r="AI137" s="1">
        <v>100</v>
      </c>
      <c r="AJ137" s="1">
        <v>100</v>
      </c>
      <c r="AK137" s="1">
        <v>94.122758132868739</v>
      </c>
      <c r="AL137" s="1">
        <v>105.5149792242091</v>
      </c>
      <c r="AM137" s="1">
        <v>101.77795357803487</v>
      </c>
      <c r="AN137" s="1">
        <v>107.57763511805702</v>
      </c>
      <c r="AO137" s="1">
        <v>94.949016717980697</v>
      </c>
      <c r="AP137" s="1">
        <v>100</v>
      </c>
      <c r="AQ137" s="1">
        <v>100</v>
      </c>
      <c r="AR137" s="1">
        <v>100.11536376468524</v>
      </c>
      <c r="AS137" s="1">
        <v>100</v>
      </c>
      <c r="AT137" s="1">
        <v>105.7985358843531</v>
      </c>
      <c r="AU137" s="1">
        <v>100</v>
      </c>
      <c r="AV137" s="1">
        <v>99.900323214082661</v>
      </c>
      <c r="AW137" s="1">
        <v>100</v>
      </c>
      <c r="AX137" s="1">
        <v>100</v>
      </c>
      <c r="AY137" s="1">
        <v>100</v>
      </c>
      <c r="AZ137" s="1">
        <v>100</v>
      </c>
      <c r="BA137" s="1">
        <v>100</v>
      </c>
      <c r="BB137" s="1">
        <v>100</v>
      </c>
      <c r="BC137" s="1">
        <v>100</v>
      </c>
      <c r="BD137" s="1">
        <v>100</v>
      </c>
      <c r="BE137" s="1">
        <v>100</v>
      </c>
      <c r="BF137" s="1">
        <v>100</v>
      </c>
      <c r="BG137" s="1">
        <v>100</v>
      </c>
      <c r="BH137" s="1">
        <v>100</v>
      </c>
    </row>
    <row r="138" spans="1:60" x14ac:dyDescent="0.25">
      <c r="A138">
        <v>125</v>
      </c>
      <c r="B138" s="1">
        <v>93.524060107701374</v>
      </c>
      <c r="C138" s="1">
        <v>94.353173132071191</v>
      </c>
      <c r="D138" s="1">
        <v>99.900323214082661</v>
      </c>
      <c r="E138" s="1">
        <v>114.98128297841693</v>
      </c>
      <c r="F138" s="1">
        <v>100</v>
      </c>
      <c r="G138" s="1">
        <v>100</v>
      </c>
      <c r="H138" s="1">
        <v>100.79779325216231</v>
      </c>
      <c r="I138" s="1">
        <v>89.103135012399392</v>
      </c>
      <c r="J138" s="1">
        <v>99.873960030431505</v>
      </c>
      <c r="K138" s="1">
        <v>103.3154251559375</v>
      </c>
      <c r="L138" s="1">
        <v>102.96262758465552</v>
      </c>
      <c r="M138" s="1">
        <v>100</v>
      </c>
      <c r="N138" s="1">
        <v>100</v>
      </c>
      <c r="O138" s="1">
        <v>100</v>
      </c>
      <c r="P138" s="1">
        <v>95.861485755846545</v>
      </c>
      <c r="Q138" s="1">
        <v>100</v>
      </c>
      <c r="R138" s="1">
        <v>98.539127000430625</v>
      </c>
      <c r="S138" s="1">
        <v>100</v>
      </c>
      <c r="T138" s="1">
        <v>104.33371094950311</v>
      </c>
      <c r="U138" s="1">
        <v>98.778848255775031</v>
      </c>
      <c r="V138" s="1">
        <v>100.05427972468891</v>
      </c>
      <c r="W138" s="1">
        <v>100</v>
      </c>
      <c r="X138" s="1">
        <v>100</v>
      </c>
      <c r="Y138" s="1">
        <v>100</v>
      </c>
      <c r="Z138" s="1">
        <v>96.183395740639924</v>
      </c>
      <c r="AA138" s="1">
        <v>98.539127000430625</v>
      </c>
      <c r="AB138" s="1">
        <v>90.554104833905299</v>
      </c>
      <c r="AC138" s="1">
        <v>100.67666477865298</v>
      </c>
      <c r="AD138" s="1">
        <v>109.88587193387652</v>
      </c>
      <c r="AE138" s="1">
        <v>91.664502349669036</v>
      </c>
      <c r="AF138" s="1">
        <v>106.41405128201306</v>
      </c>
      <c r="AG138" s="1">
        <v>100</v>
      </c>
      <c r="AH138" s="1">
        <v>100</v>
      </c>
      <c r="AI138" s="1">
        <v>100</v>
      </c>
      <c r="AJ138" s="1">
        <v>100</v>
      </c>
      <c r="AK138" s="1">
        <v>94.122758132868739</v>
      </c>
      <c r="AL138" s="1">
        <v>105.5149792242091</v>
      </c>
      <c r="AM138" s="1">
        <v>101.77795357803487</v>
      </c>
      <c r="AN138" s="1">
        <v>107.57763511805702</v>
      </c>
      <c r="AO138" s="1">
        <v>94.895501010419267</v>
      </c>
      <c r="AP138" s="1">
        <v>100</v>
      </c>
      <c r="AQ138" s="1">
        <v>100</v>
      </c>
      <c r="AR138" s="1">
        <v>100.11536376468524</v>
      </c>
      <c r="AS138" s="1">
        <v>100</v>
      </c>
      <c r="AT138" s="1">
        <v>105.7985358843531</v>
      </c>
      <c r="AU138" s="1">
        <v>100</v>
      </c>
      <c r="AV138" s="1">
        <v>99.900323214082661</v>
      </c>
      <c r="AW138" s="1">
        <v>100</v>
      </c>
      <c r="AX138" s="1">
        <v>100</v>
      </c>
      <c r="AY138" s="1">
        <v>100</v>
      </c>
      <c r="AZ138" s="1">
        <v>100</v>
      </c>
      <c r="BA138" s="1">
        <v>100</v>
      </c>
      <c r="BB138" s="1">
        <v>100</v>
      </c>
      <c r="BC138" s="1">
        <v>100</v>
      </c>
      <c r="BD138" s="1">
        <v>100</v>
      </c>
      <c r="BE138" s="1">
        <v>100</v>
      </c>
      <c r="BF138" s="1">
        <v>100</v>
      </c>
      <c r="BG138" s="1">
        <v>100</v>
      </c>
      <c r="BH138" s="1">
        <v>100</v>
      </c>
    </row>
    <row r="139" spans="1:60" x14ac:dyDescent="0.25">
      <c r="A139">
        <v>126</v>
      </c>
      <c r="B139" s="1">
        <v>93.725345688184845</v>
      </c>
      <c r="C139" s="1">
        <v>94.353173132071191</v>
      </c>
      <c r="D139" s="1">
        <v>99.900323214082661</v>
      </c>
      <c r="E139" s="1">
        <v>114.98128297841693</v>
      </c>
      <c r="F139" s="1">
        <v>100</v>
      </c>
      <c r="G139" s="1">
        <v>100</v>
      </c>
      <c r="H139" s="1">
        <v>100.79779325216231</v>
      </c>
      <c r="I139" s="1">
        <v>89.103135012399392</v>
      </c>
      <c r="J139" s="1">
        <v>99.873960030431505</v>
      </c>
      <c r="K139" s="1">
        <v>103.3154251559375</v>
      </c>
      <c r="L139" s="1">
        <v>102.96262758465552</v>
      </c>
      <c r="M139" s="1">
        <v>100</v>
      </c>
      <c r="N139" s="1">
        <v>100</v>
      </c>
      <c r="O139" s="1">
        <v>100</v>
      </c>
      <c r="P139" s="1">
        <v>95.861485755846545</v>
      </c>
      <c r="Q139" s="1">
        <v>100</v>
      </c>
      <c r="R139" s="1">
        <v>98.539127000430625</v>
      </c>
      <c r="S139" s="1">
        <v>100</v>
      </c>
      <c r="T139" s="1">
        <v>104.12976955105049</v>
      </c>
      <c r="U139" s="1">
        <v>98.778848255775031</v>
      </c>
      <c r="V139" s="1">
        <v>100.24242804557782</v>
      </c>
      <c r="W139" s="1">
        <v>100</v>
      </c>
      <c r="X139" s="1">
        <v>100</v>
      </c>
      <c r="Y139" s="1">
        <v>100</v>
      </c>
      <c r="Z139" s="1">
        <v>96.183395740639924</v>
      </c>
      <c r="AA139" s="1">
        <v>98.539127000430625</v>
      </c>
      <c r="AB139" s="1">
        <v>90.554104833905299</v>
      </c>
      <c r="AC139" s="1">
        <v>100.67666477865298</v>
      </c>
      <c r="AD139" s="1">
        <v>109.88587193387652</v>
      </c>
      <c r="AE139" s="1">
        <v>91.664502349669036</v>
      </c>
      <c r="AF139" s="1">
        <v>106.41405128201306</v>
      </c>
      <c r="AG139" s="1">
        <v>100</v>
      </c>
      <c r="AH139" s="1">
        <v>100</v>
      </c>
      <c r="AI139" s="1">
        <v>100</v>
      </c>
      <c r="AJ139" s="1">
        <v>100</v>
      </c>
      <c r="AK139" s="1">
        <v>94.122758132868739</v>
      </c>
      <c r="AL139" s="1">
        <v>105.5149792242091</v>
      </c>
      <c r="AM139" s="1">
        <v>101.77795357803487</v>
      </c>
      <c r="AN139" s="1">
        <v>107.57763511805702</v>
      </c>
      <c r="AO139" s="1">
        <v>94.710008507499523</v>
      </c>
      <c r="AP139" s="1">
        <v>100</v>
      </c>
      <c r="AQ139" s="1">
        <v>100</v>
      </c>
      <c r="AR139" s="1">
        <v>100.11536376468524</v>
      </c>
      <c r="AS139" s="1">
        <v>100</v>
      </c>
      <c r="AT139" s="1">
        <v>105.7985358843531</v>
      </c>
      <c r="AU139" s="1">
        <v>100</v>
      </c>
      <c r="AV139" s="1">
        <v>99.900323214082661</v>
      </c>
      <c r="AW139" s="1">
        <v>100</v>
      </c>
      <c r="AX139" s="1">
        <v>100</v>
      </c>
      <c r="AY139" s="1">
        <v>100</v>
      </c>
      <c r="AZ139" s="1">
        <v>100</v>
      </c>
      <c r="BA139" s="1">
        <v>100</v>
      </c>
      <c r="BB139" s="1">
        <v>100</v>
      </c>
      <c r="BC139" s="1">
        <v>100</v>
      </c>
      <c r="BD139" s="1">
        <v>100</v>
      </c>
      <c r="BE139" s="1">
        <v>100</v>
      </c>
      <c r="BF139" s="1">
        <v>100</v>
      </c>
      <c r="BG139" s="1">
        <v>100</v>
      </c>
      <c r="BH139" s="1">
        <v>100</v>
      </c>
    </row>
    <row r="140" spans="1:60" x14ac:dyDescent="0.25">
      <c r="A140">
        <v>127</v>
      </c>
      <c r="B140" s="1">
        <v>93.725345688184845</v>
      </c>
      <c r="C140" s="1">
        <v>94.353173132071191</v>
      </c>
      <c r="D140" s="1">
        <v>99.900323214082661</v>
      </c>
      <c r="E140" s="1">
        <v>114.98128297841693</v>
      </c>
      <c r="F140" s="1">
        <v>100</v>
      </c>
      <c r="G140" s="1">
        <v>100</v>
      </c>
      <c r="H140" s="1">
        <v>100.79779325216231</v>
      </c>
      <c r="I140" s="1">
        <v>88.280852455739307</v>
      </c>
      <c r="J140" s="1">
        <v>99.873960030431505</v>
      </c>
      <c r="K140" s="1">
        <v>104.1744114922567</v>
      </c>
      <c r="L140" s="1">
        <v>102.96262758465552</v>
      </c>
      <c r="M140" s="1">
        <v>100</v>
      </c>
      <c r="N140" s="1">
        <v>100</v>
      </c>
      <c r="O140" s="1">
        <v>100</v>
      </c>
      <c r="P140" s="1">
        <v>95.861485755846545</v>
      </c>
      <c r="Q140" s="1">
        <v>100</v>
      </c>
      <c r="R140" s="1">
        <v>98.539127000430625</v>
      </c>
      <c r="S140" s="1">
        <v>100</v>
      </c>
      <c r="T140" s="1">
        <v>104.12976955105049</v>
      </c>
      <c r="U140" s="1">
        <v>98.778848255775031</v>
      </c>
      <c r="V140" s="1">
        <v>100.24242804557782</v>
      </c>
      <c r="W140" s="1">
        <v>100</v>
      </c>
      <c r="X140" s="1">
        <v>100</v>
      </c>
      <c r="Y140" s="1">
        <v>100</v>
      </c>
      <c r="Z140" s="1">
        <v>96.183395740639924</v>
      </c>
      <c r="AA140" s="1">
        <v>98.539127000430625</v>
      </c>
      <c r="AB140" s="1">
        <v>90.554104833905299</v>
      </c>
      <c r="AC140" s="1">
        <v>100.67666477865298</v>
      </c>
      <c r="AD140" s="1">
        <v>109.88587193387652</v>
      </c>
      <c r="AE140" s="1">
        <v>91.664502349669036</v>
      </c>
      <c r="AF140" s="1">
        <v>106.41405128201306</v>
      </c>
      <c r="AG140" s="1">
        <v>100</v>
      </c>
      <c r="AH140" s="1">
        <v>100</v>
      </c>
      <c r="AI140" s="1">
        <v>100</v>
      </c>
      <c r="AJ140" s="1">
        <v>100</v>
      </c>
      <c r="AK140" s="1">
        <v>94.122758132868739</v>
      </c>
      <c r="AL140" s="1">
        <v>104.54124101768758</v>
      </c>
      <c r="AM140" s="1">
        <v>101.77795357803487</v>
      </c>
      <c r="AN140" s="1">
        <v>107.57763511805702</v>
      </c>
      <c r="AO140" s="1">
        <v>95.647042934361934</v>
      </c>
      <c r="AP140" s="1">
        <v>100</v>
      </c>
      <c r="AQ140" s="1">
        <v>100</v>
      </c>
      <c r="AR140" s="1">
        <v>100.11536376468524</v>
      </c>
      <c r="AS140" s="1">
        <v>100</v>
      </c>
      <c r="AT140" s="1">
        <v>105.7985358843531</v>
      </c>
      <c r="AU140" s="1">
        <v>100</v>
      </c>
      <c r="AV140" s="1">
        <v>99.900323214082661</v>
      </c>
      <c r="AW140" s="1">
        <v>100</v>
      </c>
      <c r="AX140" s="1">
        <v>100</v>
      </c>
      <c r="AY140" s="1">
        <v>100</v>
      </c>
      <c r="AZ140" s="1">
        <v>100</v>
      </c>
      <c r="BA140" s="1">
        <v>100</v>
      </c>
      <c r="BB140" s="1">
        <v>100</v>
      </c>
      <c r="BC140" s="1">
        <v>100</v>
      </c>
      <c r="BD140" s="1">
        <v>100</v>
      </c>
      <c r="BE140" s="1">
        <v>100</v>
      </c>
      <c r="BF140" s="1">
        <v>100</v>
      </c>
      <c r="BG140" s="1">
        <v>100</v>
      </c>
      <c r="BH140" s="1">
        <v>100</v>
      </c>
    </row>
    <row r="141" spans="1:60" x14ac:dyDescent="0.25">
      <c r="A141">
        <v>128</v>
      </c>
      <c r="B141" s="1">
        <v>93.725345688184845</v>
      </c>
      <c r="C141" s="1">
        <v>94.353173132071191</v>
      </c>
      <c r="D141" s="1">
        <v>99.900323214082661</v>
      </c>
      <c r="E141" s="1">
        <v>114.98128297841693</v>
      </c>
      <c r="F141" s="1">
        <v>100</v>
      </c>
      <c r="G141" s="1">
        <v>100</v>
      </c>
      <c r="H141" s="1">
        <v>100.79779325216231</v>
      </c>
      <c r="I141" s="1">
        <v>87.218181702302758</v>
      </c>
      <c r="J141" s="1">
        <v>99.873960030431505</v>
      </c>
      <c r="K141" s="1">
        <v>105.2854226890055</v>
      </c>
      <c r="L141" s="1">
        <v>102.96262758465552</v>
      </c>
      <c r="M141" s="1">
        <v>100</v>
      </c>
      <c r="N141" s="1">
        <v>100</v>
      </c>
      <c r="O141" s="1">
        <v>100</v>
      </c>
      <c r="P141" s="1">
        <v>95.861485755846545</v>
      </c>
      <c r="Q141" s="1">
        <v>100</v>
      </c>
      <c r="R141" s="1">
        <v>98.539127000430625</v>
      </c>
      <c r="S141" s="1">
        <v>100</v>
      </c>
      <c r="T141" s="1">
        <v>104.12976955105049</v>
      </c>
      <c r="U141" s="1">
        <v>98.778848255775031</v>
      </c>
      <c r="V141" s="1">
        <v>100.24242804557782</v>
      </c>
      <c r="W141" s="1">
        <v>100</v>
      </c>
      <c r="X141" s="1">
        <v>100</v>
      </c>
      <c r="Y141" s="1">
        <v>100</v>
      </c>
      <c r="Z141" s="1">
        <v>96.183395740639924</v>
      </c>
      <c r="AA141" s="1">
        <v>98.539127000430625</v>
      </c>
      <c r="AB141" s="1">
        <v>90.554104833905299</v>
      </c>
      <c r="AC141" s="1">
        <v>100.67666477865298</v>
      </c>
      <c r="AD141" s="1">
        <v>109.88587193387652</v>
      </c>
      <c r="AE141" s="1">
        <v>91.664502349669036</v>
      </c>
      <c r="AF141" s="1">
        <v>106.41405128201306</v>
      </c>
      <c r="AG141" s="1">
        <v>100</v>
      </c>
      <c r="AH141" s="1">
        <v>100</v>
      </c>
      <c r="AI141" s="1">
        <v>100</v>
      </c>
      <c r="AJ141" s="1">
        <v>100</v>
      </c>
      <c r="AK141" s="1">
        <v>94.122758132868739</v>
      </c>
      <c r="AL141" s="1">
        <v>103.282837680303</v>
      </c>
      <c r="AM141" s="1">
        <v>101.77795357803487</v>
      </c>
      <c r="AN141" s="1">
        <v>107.57763511805702</v>
      </c>
      <c r="AO141" s="1">
        <v>96.857105828434257</v>
      </c>
      <c r="AP141" s="1">
        <v>100</v>
      </c>
      <c r="AQ141" s="1">
        <v>100</v>
      </c>
      <c r="AR141" s="1">
        <v>100.11536376468524</v>
      </c>
      <c r="AS141" s="1">
        <v>100</v>
      </c>
      <c r="AT141" s="1">
        <v>105.7985358843531</v>
      </c>
      <c r="AU141" s="1">
        <v>100</v>
      </c>
      <c r="AV141" s="1">
        <v>99.900323214082661</v>
      </c>
      <c r="AW141" s="1">
        <v>100</v>
      </c>
      <c r="AX141" s="1">
        <v>100</v>
      </c>
      <c r="AY141" s="1">
        <v>100</v>
      </c>
      <c r="AZ141" s="1">
        <v>100</v>
      </c>
      <c r="BA141" s="1">
        <v>100</v>
      </c>
      <c r="BB141" s="1">
        <v>100</v>
      </c>
      <c r="BC141" s="1">
        <v>100</v>
      </c>
      <c r="BD141" s="1">
        <v>100</v>
      </c>
      <c r="BE141" s="1">
        <v>100</v>
      </c>
      <c r="BF141" s="1">
        <v>100</v>
      </c>
      <c r="BG141" s="1">
        <v>100</v>
      </c>
      <c r="BH141" s="1">
        <v>100</v>
      </c>
    </row>
    <row r="142" spans="1:60" x14ac:dyDescent="0.25">
      <c r="A142">
        <v>129</v>
      </c>
      <c r="B142" s="1">
        <v>93.725345688184845</v>
      </c>
      <c r="C142" s="1">
        <v>94.353173132071191</v>
      </c>
      <c r="D142" s="1">
        <v>99.900323214082661</v>
      </c>
      <c r="E142" s="1">
        <v>114.98128297841693</v>
      </c>
      <c r="F142" s="1">
        <v>100</v>
      </c>
      <c r="G142" s="1">
        <v>100</v>
      </c>
      <c r="H142" s="1">
        <v>100.79779325216231</v>
      </c>
      <c r="I142" s="1">
        <v>87.218181702302758</v>
      </c>
      <c r="J142" s="1">
        <v>99.873960030431505</v>
      </c>
      <c r="K142" s="1">
        <v>105.2854226890055</v>
      </c>
      <c r="L142" s="1">
        <v>102.96262758465552</v>
      </c>
      <c r="M142" s="1">
        <v>100</v>
      </c>
      <c r="N142" s="1">
        <v>100</v>
      </c>
      <c r="O142" s="1">
        <v>100</v>
      </c>
      <c r="P142" s="1">
        <v>95.861485755846545</v>
      </c>
      <c r="Q142" s="1">
        <v>100</v>
      </c>
      <c r="R142" s="1">
        <v>98.539127000430625</v>
      </c>
      <c r="S142" s="1">
        <v>100</v>
      </c>
      <c r="T142" s="1">
        <v>104.56826311406498</v>
      </c>
      <c r="U142" s="1">
        <v>98.778848255775031</v>
      </c>
      <c r="V142" s="1">
        <v>100.24242804557782</v>
      </c>
      <c r="W142" s="1">
        <v>100</v>
      </c>
      <c r="X142" s="1">
        <v>100</v>
      </c>
      <c r="Y142" s="1">
        <v>100</v>
      </c>
      <c r="Z142" s="1">
        <v>96.183395740639924</v>
      </c>
      <c r="AA142" s="1">
        <v>98.539127000430625</v>
      </c>
      <c r="AB142" s="1">
        <v>90.554104833905299</v>
      </c>
      <c r="AC142" s="1">
        <v>100.67666477865298</v>
      </c>
      <c r="AD142" s="1">
        <v>109.88587193387652</v>
      </c>
      <c r="AE142" s="1">
        <v>91.664502349669036</v>
      </c>
      <c r="AF142" s="1">
        <v>106.41405128201306</v>
      </c>
      <c r="AG142" s="1">
        <v>100</v>
      </c>
      <c r="AH142" s="1">
        <v>100</v>
      </c>
      <c r="AI142" s="1">
        <v>100</v>
      </c>
      <c r="AJ142" s="1">
        <v>100</v>
      </c>
      <c r="AK142" s="1">
        <v>93.716489896778157</v>
      </c>
      <c r="AL142" s="1">
        <v>103.282837680303</v>
      </c>
      <c r="AM142" s="1">
        <v>101.77795357803487</v>
      </c>
      <c r="AN142" s="1">
        <v>108.00207495275137</v>
      </c>
      <c r="AO142" s="1">
        <v>96.857105828434257</v>
      </c>
      <c r="AP142" s="1">
        <v>100</v>
      </c>
      <c r="AQ142" s="1">
        <v>100</v>
      </c>
      <c r="AR142" s="1">
        <v>100.11536376468524</v>
      </c>
      <c r="AS142" s="1">
        <v>100</v>
      </c>
      <c r="AT142" s="1">
        <v>105.34187072273484</v>
      </c>
      <c r="AU142" s="1">
        <v>100</v>
      </c>
      <c r="AV142" s="1">
        <v>99.900323214082661</v>
      </c>
      <c r="AW142" s="1">
        <v>100</v>
      </c>
      <c r="AX142" s="1">
        <v>100</v>
      </c>
      <c r="AY142" s="1">
        <v>100</v>
      </c>
      <c r="AZ142" s="1">
        <v>100</v>
      </c>
      <c r="BA142" s="1">
        <v>100</v>
      </c>
      <c r="BB142" s="1">
        <v>100</v>
      </c>
      <c r="BC142" s="1">
        <v>100</v>
      </c>
      <c r="BD142" s="1">
        <v>100</v>
      </c>
      <c r="BE142" s="1">
        <v>100</v>
      </c>
      <c r="BF142" s="1">
        <v>100</v>
      </c>
      <c r="BG142" s="1">
        <v>100</v>
      </c>
      <c r="BH142" s="1">
        <v>100</v>
      </c>
    </row>
    <row r="143" spans="1:60" x14ac:dyDescent="0.25">
      <c r="A143">
        <v>130</v>
      </c>
      <c r="B143" s="1">
        <v>93.725345688184845</v>
      </c>
      <c r="C143" s="1">
        <v>94.353173132071191</v>
      </c>
      <c r="D143" s="1">
        <v>99.900323214082661</v>
      </c>
      <c r="E143" s="1">
        <v>114.98128297841693</v>
      </c>
      <c r="F143" s="1">
        <v>100</v>
      </c>
      <c r="G143" s="1">
        <v>100</v>
      </c>
      <c r="H143" s="1">
        <v>100.79779325216231</v>
      </c>
      <c r="I143" s="1">
        <v>87.218181702302758</v>
      </c>
      <c r="J143" s="1">
        <v>99.873960030431505</v>
      </c>
      <c r="K143" s="1">
        <v>105.2854226890055</v>
      </c>
      <c r="L143" s="1">
        <v>102.96262758465552</v>
      </c>
      <c r="M143" s="1">
        <v>100</v>
      </c>
      <c r="N143" s="1">
        <v>100</v>
      </c>
      <c r="O143" s="1">
        <v>100</v>
      </c>
      <c r="P143" s="1">
        <v>95.861485755846545</v>
      </c>
      <c r="Q143" s="1">
        <v>100</v>
      </c>
      <c r="R143" s="1">
        <v>98.539127000430625</v>
      </c>
      <c r="S143" s="1">
        <v>100</v>
      </c>
      <c r="T143" s="1">
        <v>106.76960781766986</v>
      </c>
      <c r="U143" s="1">
        <v>98.778848255775031</v>
      </c>
      <c r="V143" s="1">
        <v>100.24242804557782</v>
      </c>
      <c r="W143" s="1">
        <v>100</v>
      </c>
      <c r="X143" s="1">
        <v>100</v>
      </c>
      <c r="Y143" s="1">
        <v>100</v>
      </c>
      <c r="Z143" s="1">
        <v>96.183395740639924</v>
      </c>
      <c r="AA143" s="1">
        <v>98.539127000430625</v>
      </c>
      <c r="AB143" s="1">
        <v>90.554104833905299</v>
      </c>
      <c r="AC143" s="1">
        <v>100.67666477865298</v>
      </c>
      <c r="AD143" s="1">
        <v>109.88587193387652</v>
      </c>
      <c r="AE143" s="1">
        <v>91.664502349669036</v>
      </c>
      <c r="AF143" s="1">
        <v>106.41405128201306</v>
      </c>
      <c r="AG143" s="1">
        <v>100</v>
      </c>
      <c r="AH143" s="1">
        <v>100</v>
      </c>
      <c r="AI143" s="1">
        <v>100</v>
      </c>
      <c r="AJ143" s="1">
        <v>100</v>
      </c>
      <c r="AK143" s="1">
        <v>91.676658801437512</v>
      </c>
      <c r="AL143" s="1">
        <v>103.282837680303</v>
      </c>
      <c r="AM143" s="1">
        <v>101.77795357803487</v>
      </c>
      <c r="AN143" s="1">
        <v>110.13343022784227</v>
      </c>
      <c r="AO143" s="1">
        <v>96.857105828434257</v>
      </c>
      <c r="AP143" s="1">
        <v>100</v>
      </c>
      <c r="AQ143" s="1">
        <v>100</v>
      </c>
      <c r="AR143" s="1">
        <v>100.11536376468524</v>
      </c>
      <c r="AS143" s="1">
        <v>100</v>
      </c>
      <c r="AT143" s="1">
        <v>103.0490018393797</v>
      </c>
      <c r="AU143" s="1">
        <v>100</v>
      </c>
      <c r="AV143" s="1">
        <v>99.900323214082661</v>
      </c>
      <c r="AW143" s="1">
        <v>100</v>
      </c>
      <c r="AX143" s="1">
        <v>100</v>
      </c>
      <c r="AY143" s="1">
        <v>100</v>
      </c>
      <c r="AZ143" s="1">
        <v>100</v>
      </c>
      <c r="BA143" s="1">
        <v>100</v>
      </c>
      <c r="BB143" s="1">
        <v>100</v>
      </c>
      <c r="BC143" s="1">
        <v>100</v>
      </c>
      <c r="BD143" s="1">
        <v>100</v>
      </c>
      <c r="BE143" s="1">
        <v>100</v>
      </c>
      <c r="BF143" s="1">
        <v>100</v>
      </c>
      <c r="BG143" s="1">
        <v>100</v>
      </c>
      <c r="BH143" s="1">
        <v>100</v>
      </c>
    </row>
    <row r="144" spans="1:60" x14ac:dyDescent="0.25">
      <c r="A144">
        <v>131</v>
      </c>
      <c r="B144" s="1">
        <v>93.524523923142937</v>
      </c>
      <c r="C144" s="1">
        <v>94.353173132071191</v>
      </c>
      <c r="D144" s="1">
        <v>99.900323214082661</v>
      </c>
      <c r="E144" s="1">
        <v>114.98128297841693</v>
      </c>
      <c r="F144" s="1">
        <v>100</v>
      </c>
      <c r="G144" s="1">
        <v>100</v>
      </c>
      <c r="H144" s="1">
        <v>100.79779325216231</v>
      </c>
      <c r="I144" s="1">
        <v>87.218181702302758</v>
      </c>
      <c r="J144" s="1">
        <v>99.873960030431505</v>
      </c>
      <c r="K144" s="1">
        <v>105.2854226890055</v>
      </c>
      <c r="L144" s="1">
        <v>102.96262758465552</v>
      </c>
      <c r="M144" s="1">
        <v>99.785733769699803</v>
      </c>
      <c r="N144" s="1">
        <v>100</v>
      </c>
      <c r="O144" s="1">
        <v>100</v>
      </c>
      <c r="P144" s="1">
        <v>95.861485755846545</v>
      </c>
      <c r="Q144" s="1">
        <v>100</v>
      </c>
      <c r="R144" s="1">
        <v>98.539127000430625</v>
      </c>
      <c r="S144" s="1">
        <v>100</v>
      </c>
      <c r="T144" s="1">
        <v>106.97347154389239</v>
      </c>
      <c r="U144" s="1">
        <v>98.778848255775031</v>
      </c>
      <c r="V144" s="1">
        <v>100.24242804557782</v>
      </c>
      <c r="W144" s="1">
        <v>100</v>
      </c>
      <c r="X144" s="1">
        <v>100</v>
      </c>
      <c r="Y144" s="1">
        <v>100</v>
      </c>
      <c r="Z144" s="1">
        <v>96.183395740639924</v>
      </c>
      <c r="AA144" s="1">
        <v>98.539127000430625</v>
      </c>
      <c r="AB144" s="1">
        <v>90.554104833905299</v>
      </c>
      <c r="AC144" s="1">
        <v>100.67666477865298</v>
      </c>
      <c r="AD144" s="1">
        <v>109.88587193387652</v>
      </c>
      <c r="AE144" s="1">
        <v>91.664502349669036</v>
      </c>
      <c r="AF144" s="1">
        <v>106.41405128201306</v>
      </c>
      <c r="AG144" s="1">
        <v>100</v>
      </c>
      <c r="AH144" s="1">
        <v>100</v>
      </c>
      <c r="AI144" s="1">
        <v>100</v>
      </c>
      <c r="AJ144" s="1">
        <v>100</v>
      </c>
      <c r="AK144" s="1">
        <v>91.676658801437512</v>
      </c>
      <c r="AL144" s="1">
        <v>103.282837680303</v>
      </c>
      <c r="AM144" s="1">
        <v>101.77795357803487</v>
      </c>
      <c r="AN144" s="1">
        <v>110.13343022784227</v>
      </c>
      <c r="AO144" s="1">
        <v>96.857105828434257</v>
      </c>
      <c r="AP144" s="1">
        <v>100</v>
      </c>
      <c r="AQ144" s="1">
        <v>100</v>
      </c>
      <c r="AR144" s="1">
        <v>100.11536376468524</v>
      </c>
      <c r="AS144" s="1">
        <v>100</v>
      </c>
      <c r="AT144" s="1">
        <v>103.2602261084993</v>
      </c>
      <c r="AU144" s="1">
        <v>100</v>
      </c>
      <c r="AV144" s="1">
        <v>99.900323214082661</v>
      </c>
      <c r="AW144" s="1">
        <v>100</v>
      </c>
      <c r="AX144" s="1">
        <v>100</v>
      </c>
      <c r="AY144" s="1">
        <v>100</v>
      </c>
      <c r="AZ144" s="1">
        <v>100</v>
      </c>
      <c r="BA144" s="1">
        <v>100</v>
      </c>
      <c r="BB144" s="1">
        <v>100</v>
      </c>
      <c r="BC144" s="1">
        <v>100</v>
      </c>
      <c r="BD144" s="1">
        <v>100</v>
      </c>
      <c r="BE144" s="1">
        <v>100</v>
      </c>
      <c r="BF144" s="1">
        <v>100</v>
      </c>
      <c r="BG144" s="1">
        <v>100</v>
      </c>
      <c r="BH144" s="1">
        <v>100</v>
      </c>
    </row>
    <row r="145" spans="1:60" x14ac:dyDescent="0.25">
      <c r="A145">
        <v>132</v>
      </c>
      <c r="B145" s="1">
        <v>92.912707146336501</v>
      </c>
      <c r="C145" s="1">
        <v>94.353173132071191</v>
      </c>
      <c r="D145" s="1">
        <v>99.900323214082661</v>
      </c>
      <c r="E145" s="1">
        <v>114.98128297841693</v>
      </c>
      <c r="F145" s="1">
        <v>100</v>
      </c>
      <c r="G145" s="1">
        <v>100</v>
      </c>
      <c r="H145" s="1">
        <v>100.79779325216231</v>
      </c>
      <c r="I145" s="1">
        <v>87.218181702302758</v>
      </c>
      <c r="J145" s="1">
        <v>99.873960030431505</v>
      </c>
      <c r="K145" s="1">
        <v>105.2854226890055</v>
      </c>
      <c r="L145" s="1">
        <v>102.96262758465552</v>
      </c>
      <c r="M145" s="1">
        <v>99.132957541120291</v>
      </c>
      <c r="N145" s="1">
        <v>100</v>
      </c>
      <c r="O145" s="1">
        <v>100</v>
      </c>
      <c r="P145" s="1">
        <v>95.861485755846545</v>
      </c>
      <c r="Q145" s="1">
        <v>100</v>
      </c>
      <c r="R145" s="1">
        <v>98.539127000430625</v>
      </c>
      <c r="S145" s="1">
        <v>100</v>
      </c>
      <c r="T145" s="1">
        <v>107.59460013140973</v>
      </c>
      <c r="U145" s="1">
        <v>98.778848255775031</v>
      </c>
      <c r="V145" s="1">
        <v>100.24242804557782</v>
      </c>
      <c r="W145" s="1">
        <v>100</v>
      </c>
      <c r="X145" s="1">
        <v>100</v>
      </c>
      <c r="Y145" s="1">
        <v>100</v>
      </c>
      <c r="Z145" s="1">
        <v>96.183395740639924</v>
      </c>
      <c r="AA145" s="1">
        <v>98.539127000430625</v>
      </c>
      <c r="AB145" s="1">
        <v>90.554104833905299</v>
      </c>
      <c r="AC145" s="1">
        <v>100.67666477865298</v>
      </c>
      <c r="AD145" s="1">
        <v>109.88587193387652</v>
      </c>
      <c r="AE145" s="1">
        <v>91.664502349669036</v>
      </c>
      <c r="AF145" s="1">
        <v>106.41405128201306</v>
      </c>
      <c r="AG145" s="1">
        <v>100</v>
      </c>
      <c r="AH145" s="1">
        <v>100</v>
      </c>
      <c r="AI145" s="1">
        <v>100</v>
      </c>
      <c r="AJ145" s="1">
        <v>100</v>
      </c>
      <c r="AK145" s="1">
        <v>91.676658801437512</v>
      </c>
      <c r="AL145" s="1">
        <v>103.282837680303</v>
      </c>
      <c r="AM145" s="1">
        <v>101.77795357803487</v>
      </c>
      <c r="AN145" s="1">
        <v>110.13343022784227</v>
      </c>
      <c r="AO145" s="1">
        <v>96.857105828434257</v>
      </c>
      <c r="AP145" s="1">
        <v>100</v>
      </c>
      <c r="AQ145" s="1">
        <v>100</v>
      </c>
      <c r="AR145" s="1">
        <v>100.11536376468524</v>
      </c>
      <c r="AS145" s="1">
        <v>100</v>
      </c>
      <c r="AT145" s="1">
        <v>103.9036905263679</v>
      </c>
      <c r="AU145" s="1">
        <v>100</v>
      </c>
      <c r="AV145" s="1">
        <v>99.900323214082661</v>
      </c>
      <c r="AW145" s="1">
        <v>100</v>
      </c>
      <c r="AX145" s="1">
        <v>100</v>
      </c>
      <c r="AY145" s="1">
        <v>100</v>
      </c>
      <c r="AZ145" s="1">
        <v>100</v>
      </c>
      <c r="BA145" s="1">
        <v>100</v>
      </c>
      <c r="BB145" s="1">
        <v>100</v>
      </c>
      <c r="BC145" s="1">
        <v>100</v>
      </c>
      <c r="BD145" s="1">
        <v>100</v>
      </c>
      <c r="BE145" s="1">
        <v>100</v>
      </c>
      <c r="BF145" s="1">
        <v>100</v>
      </c>
      <c r="BG145" s="1">
        <v>100</v>
      </c>
      <c r="BH145" s="1">
        <v>100</v>
      </c>
    </row>
    <row r="146" spans="1:60" x14ac:dyDescent="0.25">
      <c r="A146">
        <v>133</v>
      </c>
      <c r="B146" s="1">
        <v>92.912707146336501</v>
      </c>
      <c r="C146" s="1">
        <v>94.353173132071191</v>
      </c>
      <c r="D146" s="1">
        <v>99.900323214082661</v>
      </c>
      <c r="E146" s="1">
        <v>115.56004639822629</v>
      </c>
      <c r="F146" s="1">
        <v>100</v>
      </c>
      <c r="G146" s="1">
        <v>100</v>
      </c>
      <c r="H146" s="1">
        <v>100.79779325216231</v>
      </c>
      <c r="I146" s="1">
        <v>87.218181702302758</v>
      </c>
      <c r="J146" s="1">
        <v>99.873960030431505</v>
      </c>
      <c r="K146" s="1">
        <v>105.2854226890055</v>
      </c>
      <c r="L146" s="1">
        <v>102.96262758465552</v>
      </c>
      <c r="M146" s="1">
        <v>99.132957541120291</v>
      </c>
      <c r="N146" s="1">
        <v>100</v>
      </c>
      <c r="O146" s="1">
        <v>100</v>
      </c>
      <c r="P146" s="1">
        <v>95.861485755846545</v>
      </c>
      <c r="Q146" s="1">
        <v>100</v>
      </c>
      <c r="R146" s="1">
        <v>98.539127000430625</v>
      </c>
      <c r="S146" s="1">
        <v>100</v>
      </c>
      <c r="T146" s="1">
        <v>107.59460013140973</v>
      </c>
      <c r="U146" s="1">
        <v>98.778848255775031</v>
      </c>
      <c r="V146" s="1">
        <v>100.90628826772247</v>
      </c>
      <c r="W146" s="1">
        <v>100</v>
      </c>
      <c r="X146" s="1">
        <v>100</v>
      </c>
      <c r="Y146" s="1">
        <v>100</v>
      </c>
      <c r="Z146" s="1">
        <v>96.183395740639924</v>
      </c>
      <c r="AA146" s="1">
        <v>98.539127000430625</v>
      </c>
      <c r="AB146" s="1">
        <v>90.554104833905299</v>
      </c>
      <c r="AC146" s="1">
        <v>100.67666477865298</v>
      </c>
      <c r="AD146" s="1">
        <v>109.88587193387652</v>
      </c>
      <c r="AE146" s="1">
        <v>91.089455351095694</v>
      </c>
      <c r="AF146" s="1">
        <v>105.74647463863239</v>
      </c>
      <c r="AG146" s="1">
        <v>100</v>
      </c>
      <c r="AH146" s="1">
        <v>100</v>
      </c>
      <c r="AI146" s="1">
        <v>100</v>
      </c>
      <c r="AJ146" s="1">
        <v>100</v>
      </c>
      <c r="AK146" s="1">
        <v>91.676658801437512</v>
      </c>
      <c r="AL146" s="1">
        <v>103.282837680303</v>
      </c>
      <c r="AM146" s="1">
        <v>101.77795357803487</v>
      </c>
      <c r="AN146" s="1">
        <v>110.13343022784227</v>
      </c>
      <c r="AO146" s="1">
        <v>96.857105828434257</v>
      </c>
      <c r="AP146" s="1">
        <v>100</v>
      </c>
      <c r="AQ146" s="1">
        <v>100</v>
      </c>
      <c r="AR146" s="1">
        <v>100.11536376468524</v>
      </c>
      <c r="AS146" s="1">
        <v>100</v>
      </c>
      <c r="AT146" s="1">
        <v>103.9036905263679</v>
      </c>
      <c r="AU146" s="1">
        <v>100</v>
      </c>
      <c r="AV146" s="1">
        <v>99.900323214082661</v>
      </c>
      <c r="AW146" s="1">
        <v>100</v>
      </c>
      <c r="AX146" s="1">
        <v>100</v>
      </c>
      <c r="AY146" s="1">
        <v>100</v>
      </c>
      <c r="AZ146" s="1">
        <v>100</v>
      </c>
      <c r="BA146" s="1">
        <v>100</v>
      </c>
      <c r="BB146" s="1">
        <v>100</v>
      </c>
      <c r="BC146" s="1">
        <v>100</v>
      </c>
      <c r="BD146" s="1">
        <v>100</v>
      </c>
      <c r="BE146" s="1">
        <v>100</v>
      </c>
      <c r="BF146" s="1">
        <v>100</v>
      </c>
      <c r="BG146" s="1">
        <v>100</v>
      </c>
      <c r="BH146" s="1">
        <v>100</v>
      </c>
    </row>
    <row r="147" spans="1:60" x14ac:dyDescent="0.25">
      <c r="A147">
        <v>134</v>
      </c>
      <c r="B147" s="1">
        <v>92.912707146336501</v>
      </c>
      <c r="C147" s="1">
        <v>94.353173132071191</v>
      </c>
      <c r="D147" s="1">
        <v>99.900323214082661</v>
      </c>
      <c r="E147" s="1">
        <v>114.56696382395144</v>
      </c>
      <c r="F147" s="1">
        <v>100</v>
      </c>
      <c r="G147" s="1">
        <v>100</v>
      </c>
      <c r="H147" s="1">
        <v>100.79779325216231</v>
      </c>
      <c r="I147" s="1">
        <v>87.218181702302758</v>
      </c>
      <c r="J147" s="1">
        <v>99.873960030431505</v>
      </c>
      <c r="K147" s="1">
        <v>105.2854226890055</v>
      </c>
      <c r="L147" s="1">
        <v>102.96262758465552</v>
      </c>
      <c r="M147" s="1">
        <v>99.132957541120291</v>
      </c>
      <c r="N147" s="1">
        <v>100</v>
      </c>
      <c r="O147" s="1">
        <v>100</v>
      </c>
      <c r="P147" s="1">
        <v>95.861485755846545</v>
      </c>
      <c r="Q147" s="1">
        <v>100</v>
      </c>
      <c r="R147" s="1">
        <v>98.539127000430625</v>
      </c>
      <c r="S147" s="1">
        <v>100</v>
      </c>
      <c r="T147" s="1">
        <v>107.59460013140973</v>
      </c>
      <c r="U147" s="1">
        <v>98.778848255775031</v>
      </c>
      <c r="V147" s="1">
        <v>100.03913495966557</v>
      </c>
      <c r="W147" s="1">
        <v>100</v>
      </c>
      <c r="X147" s="1">
        <v>100</v>
      </c>
      <c r="Y147" s="1">
        <v>100</v>
      </c>
      <c r="Z147" s="1">
        <v>96.183395740639924</v>
      </c>
      <c r="AA147" s="1">
        <v>98.539127000430625</v>
      </c>
      <c r="AB147" s="1">
        <v>90.554104833905299</v>
      </c>
      <c r="AC147" s="1">
        <v>100.67666477865298</v>
      </c>
      <c r="AD147" s="1">
        <v>109.88587193387652</v>
      </c>
      <c r="AE147" s="1">
        <v>92.088832784692983</v>
      </c>
      <c r="AF147" s="1">
        <v>106.60733308736687</v>
      </c>
      <c r="AG147" s="1">
        <v>100</v>
      </c>
      <c r="AH147" s="1">
        <v>100</v>
      </c>
      <c r="AI147" s="1">
        <v>100</v>
      </c>
      <c r="AJ147" s="1">
        <v>100</v>
      </c>
      <c r="AK147" s="1">
        <v>91.676658801437512</v>
      </c>
      <c r="AL147" s="1">
        <v>103.282837680303</v>
      </c>
      <c r="AM147" s="1">
        <v>101.77795357803487</v>
      </c>
      <c r="AN147" s="1">
        <v>110.13343022784227</v>
      </c>
      <c r="AO147" s="1">
        <v>96.857105828434257</v>
      </c>
      <c r="AP147" s="1">
        <v>100</v>
      </c>
      <c r="AQ147" s="1">
        <v>100</v>
      </c>
      <c r="AR147" s="1">
        <v>100.11536376468524</v>
      </c>
      <c r="AS147" s="1">
        <v>100</v>
      </c>
      <c r="AT147" s="1">
        <v>103.9036905263679</v>
      </c>
      <c r="AU147" s="1">
        <v>100</v>
      </c>
      <c r="AV147" s="1">
        <v>99.900323214082661</v>
      </c>
      <c r="AW147" s="1">
        <v>100</v>
      </c>
      <c r="AX147" s="1">
        <v>100</v>
      </c>
      <c r="AY147" s="1">
        <v>100</v>
      </c>
      <c r="AZ147" s="1">
        <v>100</v>
      </c>
      <c r="BA147" s="1">
        <v>100</v>
      </c>
      <c r="BB147" s="1">
        <v>100</v>
      </c>
      <c r="BC147" s="1">
        <v>100</v>
      </c>
      <c r="BD147" s="1">
        <v>100</v>
      </c>
      <c r="BE147" s="1">
        <v>100</v>
      </c>
      <c r="BF147" s="1">
        <v>100</v>
      </c>
      <c r="BG147" s="1">
        <v>100</v>
      </c>
      <c r="BH147" s="1">
        <v>100</v>
      </c>
    </row>
    <row r="148" spans="1:60" x14ac:dyDescent="0.25">
      <c r="A148">
        <v>135</v>
      </c>
      <c r="B148" s="1">
        <v>92.912707146336501</v>
      </c>
      <c r="C148" s="1">
        <v>94.353173132071191</v>
      </c>
      <c r="D148" s="1">
        <v>99.900323214082661</v>
      </c>
      <c r="E148" s="1">
        <v>114.56696382395144</v>
      </c>
      <c r="F148" s="1">
        <v>100</v>
      </c>
      <c r="G148" s="1">
        <v>100</v>
      </c>
      <c r="H148" s="1">
        <v>100.79779325216231</v>
      </c>
      <c r="I148" s="1">
        <v>87.122357539750482</v>
      </c>
      <c r="J148" s="1">
        <v>99.873960030431505</v>
      </c>
      <c r="K148" s="1">
        <v>105.2854226890055</v>
      </c>
      <c r="L148" s="1">
        <v>102.96262758465552</v>
      </c>
      <c r="M148" s="1">
        <v>99.132957541120291</v>
      </c>
      <c r="N148" s="1">
        <v>100</v>
      </c>
      <c r="O148" s="1">
        <v>100</v>
      </c>
      <c r="P148" s="1">
        <v>95.861485755846545</v>
      </c>
      <c r="Q148" s="1">
        <v>100</v>
      </c>
      <c r="R148" s="1">
        <v>98.539127000430625</v>
      </c>
      <c r="S148" s="1">
        <v>100</v>
      </c>
      <c r="T148" s="1">
        <v>107.59460013140973</v>
      </c>
      <c r="U148" s="1">
        <v>98.778848255775031</v>
      </c>
      <c r="V148" s="1">
        <v>100.03913495966557</v>
      </c>
      <c r="W148" s="1">
        <v>100</v>
      </c>
      <c r="X148" s="1">
        <v>100</v>
      </c>
      <c r="Y148" s="1">
        <v>100</v>
      </c>
      <c r="Z148" s="1">
        <v>96.183395740639924</v>
      </c>
      <c r="AA148" s="1">
        <v>98.539127000430625</v>
      </c>
      <c r="AB148" s="1">
        <v>90.554104833905299</v>
      </c>
      <c r="AC148" s="1">
        <v>100.67666477865298</v>
      </c>
      <c r="AD148" s="1">
        <v>109.88587193387652</v>
      </c>
      <c r="AE148" s="1">
        <v>92.193247119046291</v>
      </c>
      <c r="AF148" s="1">
        <v>106.60733308736687</v>
      </c>
      <c r="AG148" s="1">
        <v>100</v>
      </c>
      <c r="AH148" s="1">
        <v>100</v>
      </c>
      <c r="AI148" s="1">
        <v>100</v>
      </c>
      <c r="AJ148" s="1">
        <v>100</v>
      </c>
      <c r="AK148" s="1">
        <v>91.781542577769429</v>
      </c>
      <c r="AL148" s="1">
        <v>103.16936373217005</v>
      </c>
      <c r="AM148" s="1">
        <v>101.77795357803487</v>
      </c>
      <c r="AN148" s="1">
        <v>110.13343022784227</v>
      </c>
      <c r="AO148" s="1">
        <v>96.857105828434257</v>
      </c>
      <c r="AP148" s="1">
        <v>100</v>
      </c>
      <c r="AQ148" s="1">
        <v>100</v>
      </c>
      <c r="AR148" s="1">
        <v>100.11536376468524</v>
      </c>
      <c r="AS148" s="1">
        <v>100</v>
      </c>
      <c r="AT148" s="1">
        <v>103.9036905263679</v>
      </c>
      <c r="AU148" s="1">
        <v>100</v>
      </c>
      <c r="AV148" s="1">
        <v>99.900323214082661</v>
      </c>
      <c r="AW148" s="1">
        <v>100</v>
      </c>
      <c r="AX148" s="1">
        <v>100</v>
      </c>
      <c r="AY148" s="1">
        <v>100</v>
      </c>
      <c r="AZ148" s="1">
        <v>100</v>
      </c>
      <c r="BA148" s="1">
        <v>100</v>
      </c>
      <c r="BB148" s="1">
        <v>100</v>
      </c>
      <c r="BC148" s="1">
        <v>100</v>
      </c>
      <c r="BD148" s="1">
        <v>100</v>
      </c>
      <c r="BE148" s="1">
        <v>100</v>
      </c>
      <c r="BF148" s="1">
        <v>100</v>
      </c>
      <c r="BG148" s="1">
        <v>100</v>
      </c>
      <c r="BH148" s="1">
        <v>100</v>
      </c>
    </row>
    <row r="149" spans="1:60" x14ac:dyDescent="0.25">
      <c r="A149">
        <v>136</v>
      </c>
      <c r="B149" s="1">
        <v>92.912707146336501</v>
      </c>
      <c r="C149" s="1">
        <v>94.353173132071191</v>
      </c>
      <c r="D149" s="1">
        <v>99.900323214082661</v>
      </c>
      <c r="E149" s="1">
        <v>114.56696382395144</v>
      </c>
      <c r="F149" s="1">
        <v>100</v>
      </c>
      <c r="G149" s="1">
        <v>100</v>
      </c>
      <c r="H149" s="1">
        <v>100.79779325216231</v>
      </c>
      <c r="I149" s="1">
        <v>86.673825961289879</v>
      </c>
      <c r="J149" s="1">
        <v>99.873960030431505</v>
      </c>
      <c r="K149" s="1">
        <v>105.2854226890055</v>
      </c>
      <c r="L149" s="1">
        <v>102.96262758465552</v>
      </c>
      <c r="M149" s="1">
        <v>99.132957541120291</v>
      </c>
      <c r="N149" s="1">
        <v>100</v>
      </c>
      <c r="O149" s="1">
        <v>100</v>
      </c>
      <c r="P149" s="1">
        <v>95.861485755846545</v>
      </c>
      <c r="Q149" s="1">
        <v>100</v>
      </c>
      <c r="R149" s="1">
        <v>98.539127000430625</v>
      </c>
      <c r="S149" s="1">
        <v>100</v>
      </c>
      <c r="T149" s="1">
        <v>107.59460013140973</v>
      </c>
      <c r="U149" s="1">
        <v>98.778848255775031</v>
      </c>
      <c r="V149" s="1">
        <v>100.03913495966557</v>
      </c>
      <c r="W149" s="1">
        <v>100</v>
      </c>
      <c r="X149" s="1">
        <v>100</v>
      </c>
      <c r="Y149" s="1">
        <v>100</v>
      </c>
      <c r="Z149" s="1">
        <v>96.183395740639924</v>
      </c>
      <c r="AA149" s="1">
        <v>98.539127000430625</v>
      </c>
      <c r="AB149" s="1">
        <v>90.554104833905299</v>
      </c>
      <c r="AC149" s="1">
        <v>100.67666477865298</v>
      </c>
      <c r="AD149" s="1">
        <v>109.88587193387652</v>
      </c>
      <c r="AE149" s="1">
        <v>92.681989879704432</v>
      </c>
      <c r="AF149" s="1">
        <v>106.60733308736687</v>
      </c>
      <c r="AG149" s="1">
        <v>100</v>
      </c>
      <c r="AH149" s="1">
        <v>100</v>
      </c>
      <c r="AI149" s="1">
        <v>100</v>
      </c>
      <c r="AJ149" s="1">
        <v>100</v>
      </c>
      <c r="AK149" s="1">
        <v>92.272477692232357</v>
      </c>
      <c r="AL149" s="1">
        <v>102.6382174355096</v>
      </c>
      <c r="AM149" s="1">
        <v>101.77795357803487</v>
      </c>
      <c r="AN149" s="1">
        <v>110.13343022784227</v>
      </c>
      <c r="AO149" s="1">
        <v>96.857105828434257</v>
      </c>
      <c r="AP149" s="1">
        <v>100</v>
      </c>
      <c r="AQ149" s="1">
        <v>100</v>
      </c>
      <c r="AR149" s="1">
        <v>100.11536376468524</v>
      </c>
      <c r="AS149" s="1">
        <v>100</v>
      </c>
      <c r="AT149" s="1">
        <v>103.9036905263679</v>
      </c>
      <c r="AU149" s="1">
        <v>100</v>
      </c>
      <c r="AV149" s="1">
        <v>99.900323214082661</v>
      </c>
      <c r="AW149" s="1">
        <v>100</v>
      </c>
      <c r="AX149" s="1">
        <v>100</v>
      </c>
      <c r="AY149" s="1">
        <v>100</v>
      </c>
      <c r="AZ149" s="1">
        <v>100</v>
      </c>
      <c r="BA149" s="1">
        <v>100</v>
      </c>
      <c r="BB149" s="1">
        <v>100</v>
      </c>
      <c r="BC149" s="1">
        <v>100</v>
      </c>
      <c r="BD149" s="1">
        <v>100</v>
      </c>
      <c r="BE149" s="1">
        <v>100</v>
      </c>
      <c r="BF149" s="1">
        <v>100</v>
      </c>
      <c r="BG149" s="1">
        <v>100</v>
      </c>
      <c r="BH149" s="1">
        <v>100</v>
      </c>
    </row>
    <row r="150" spans="1:60" x14ac:dyDescent="0.25">
      <c r="A150">
        <v>137</v>
      </c>
      <c r="B150" s="1">
        <v>92.912707146336501</v>
      </c>
      <c r="C150" s="1">
        <v>94.353173132071191</v>
      </c>
      <c r="D150" s="1">
        <v>99.900323214082661</v>
      </c>
      <c r="E150" s="1">
        <v>114.56696382395144</v>
      </c>
      <c r="F150" s="1">
        <v>100</v>
      </c>
      <c r="G150" s="1">
        <v>100</v>
      </c>
      <c r="H150" s="1">
        <v>100.79779325216231</v>
      </c>
      <c r="I150" s="1">
        <v>86.673825961289879</v>
      </c>
      <c r="J150" s="1">
        <v>99.873960030431505</v>
      </c>
      <c r="K150" s="1">
        <v>105.2854226890055</v>
      </c>
      <c r="L150" s="1">
        <v>103.83301380271975</v>
      </c>
      <c r="M150" s="1">
        <v>99.132957541120291</v>
      </c>
      <c r="N150" s="1">
        <v>100</v>
      </c>
      <c r="O150" s="1">
        <v>100</v>
      </c>
      <c r="P150" s="1">
        <v>95.861485755846545</v>
      </c>
      <c r="Q150" s="1">
        <v>100</v>
      </c>
      <c r="R150" s="1">
        <v>98.539127000430625</v>
      </c>
      <c r="S150" s="1">
        <v>100</v>
      </c>
      <c r="T150" s="1">
        <v>107.59460013140973</v>
      </c>
      <c r="U150" s="1">
        <v>98.778848255775031</v>
      </c>
      <c r="V150" s="1">
        <v>100.03913495966557</v>
      </c>
      <c r="W150" s="1">
        <v>100</v>
      </c>
      <c r="X150" s="1">
        <v>100</v>
      </c>
      <c r="Y150" s="1">
        <v>100</v>
      </c>
      <c r="Z150" s="1">
        <v>96.183395740639924</v>
      </c>
      <c r="AA150" s="1">
        <v>98.539127000430625</v>
      </c>
      <c r="AB150" s="1">
        <v>90.554104833905299</v>
      </c>
      <c r="AC150" s="1">
        <v>100.67666477865298</v>
      </c>
      <c r="AD150" s="1">
        <v>109.88587193387652</v>
      </c>
      <c r="AE150" s="1">
        <v>93.648922636992893</v>
      </c>
      <c r="AF150" s="1">
        <v>106.60733308736687</v>
      </c>
      <c r="AG150" s="1">
        <v>100</v>
      </c>
      <c r="AH150" s="1">
        <v>100</v>
      </c>
      <c r="AI150" s="1">
        <v>100</v>
      </c>
      <c r="AJ150" s="1">
        <v>100</v>
      </c>
      <c r="AK150" s="1">
        <v>92.272477692232357</v>
      </c>
      <c r="AL150" s="1">
        <v>102.6382174355096</v>
      </c>
      <c r="AM150" s="1">
        <v>101.77795357803487</v>
      </c>
      <c r="AN150" s="1">
        <v>109.15584813624713</v>
      </c>
      <c r="AO150" s="1">
        <v>95.997368944676722</v>
      </c>
      <c r="AP150" s="1">
        <v>100</v>
      </c>
      <c r="AQ150" s="1">
        <v>100</v>
      </c>
      <c r="AR150" s="1">
        <v>100.11536376468524</v>
      </c>
      <c r="AS150" s="1">
        <v>100</v>
      </c>
      <c r="AT150" s="1">
        <v>103.9036905263679</v>
      </c>
      <c r="AU150" s="1">
        <v>100</v>
      </c>
      <c r="AV150" s="1">
        <v>99.900323214082661</v>
      </c>
      <c r="AW150" s="1">
        <v>100</v>
      </c>
      <c r="AX150" s="1">
        <v>100</v>
      </c>
      <c r="AY150" s="1">
        <v>100</v>
      </c>
      <c r="AZ150" s="1">
        <v>100</v>
      </c>
      <c r="BA150" s="1">
        <v>100</v>
      </c>
      <c r="BB150" s="1">
        <v>100</v>
      </c>
      <c r="BC150" s="1">
        <v>100</v>
      </c>
      <c r="BD150" s="1">
        <v>100</v>
      </c>
      <c r="BE150" s="1">
        <v>100</v>
      </c>
      <c r="BF150" s="1">
        <v>100</v>
      </c>
      <c r="BG150" s="1">
        <v>100</v>
      </c>
      <c r="BH150" s="1">
        <v>100</v>
      </c>
    </row>
    <row r="151" spans="1:60" x14ac:dyDescent="0.25">
      <c r="A151">
        <v>138</v>
      </c>
      <c r="B151" s="1">
        <v>92.912707146336501</v>
      </c>
      <c r="C151" s="1">
        <v>94.353173132071191</v>
      </c>
      <c r="D151" s="1">
        <v>99.900323214082661</v>
      </c>
      <c r="E151" s="1">
        <v>114.56696382395144</v>
      </c>
      <c r="F151" s="1">
        <v>100</v>
      </c>
      <c r="G151" s="1">
        <v>100</v>
      </c>
      <c r="H151" s="1">
        <v>100.79779325216231</v>
      </c>
      <c r="I151" s="1">
        <v>86.673825961289879</v>
      </c>
      <c r="J151" s="1">
        <v>99.873960030431505</v>
      </c>
      <c r="K151" s="1">
        <v>105.2854226890055</v>
      </c>
      <c r="L151" s="1">
        <v>103.1424566864688</v>
      </c>
      <c r="M151" s="1">
        <v>99.132957541120291</v>
      </c>
      <c r="N151" s="1">
        <v>100</v>
      </c>
      <c r="O151" s="1">
        <v>100</v>
      </c>
      <c r="P151" s="1">
        <v>95.861485755846545</v>
      </c>
      <c r="Q151" s="1">
        <v>100</v>
      </c>
      <c r="R151" s="1">
        <v>98.539127000430625</v>
      </c>
      <c r="S151" s="1">
        <v>100</v>
      </c>
      <c r="T151" s="1">
        <v>107.59460013140973</v>
      </c>
      <c r="U151" s="1">
        <v>98.778848255775031</v>
      </c>
      <c r="V151" s="1">
        <v>100.03913495966557</v>
      </c>
      <c r="W151" s="1">
        <v>100</v>
      </c>
      <c r="X151" s="1">
        <v>100</v>
      </c>
      <c r="Y151" s="1">
        <v>100</v>
      </c>
      <c r="Z151" s="1">
        <v>96.183395740639924</v>
      </c>
      <c r="AA151" s="1">
        <v>98.539127000430625</v>
      </c>
      <c r="AB151" s="1">
        <v>90.554104833905299</v>
      </c>
      <c r="AC151" s="1">
        <v>100.67666477865298</v>
      </c>
      <c r="AD151" s="1">
        <v>109.88587193387652</v>
      </c>
      <c r="AE151" s="1">
        <v>93.026096354794433</v>
      </c>
      <c r="AF151" s="1">
        <v>106.60733308736687</v>
      </c>
      <c r="AG151" s="1">
        <v>100</v>
      </c>
      <c r="AH151" s="1">
        <v>100</v>
      </c>
      <c r="AI151" s="1">
        <v>100</v>
      </c>
      <c r="AJ151" s="1">
        <v>100</v>
      </c>
      <c r="AK151" s="1">
        <v>92.272477692232357</v>
      </c>
      <c r="AL151" s="1">
        <v>102.6382174355096</v>
      </c>
      <c r="AM151" s="1">
        <v>101.77795357803487</v>
      </c>
      <c r="AN151" s="1">
        <v>109.77041978401722</v>
      </c>
      <c r="AO151" s="1">
        <v>96.69618069535602</v>
      </c>
      <c r="AP151" s="1">
        <v>100</v>
      </c>
      <c r="AQ151" s="1">
        <v>100</v>
      </c>
      <c r="AR151" s="1">
        <v>100.11536376468524</v>
      </c>
      <c r="AS151" s="1">
        <v>100</v>
      </c>
      <c r="AT151" s="1">
        <v>103.9036905263679</v>
      </c>
      <c r="AU151" s="1">
        <v>100</v>
      </c>
      <c r="AV151" s="1">
        <v>99.900323214082661</v>
      </c>
      <c r="AW151" s="1">
        <v>100</v>
      </c>
      <c r="AX151" s="1">
        <v>100</v>
      </c>
      <c r="AY151" s="1">
        <v>100</v>
      </c>
      <c r="AZ151" s="1">
        <v>100</v>
      </c>
      <c r="BA151" s="1">
        <v>100</v>
      </c>
      <c r="BB151" s="1">
        <v>100</v>
      </c>
      <c r="BC151" s="1">
        <v>100</v>
      </c>
      <c r="BD151" s="1">
        <v>100</v>
      </c>
      <c r="BE151" s="1">
        <v>100</v>
      </c>
      <c r="BF151" s="1">
        <v>100</v>
      </c>
      <c r="BG151" s="1">
        <v>100</v>
      </c>
      <c r="BH151" s="1">
        <v>100</v>
      </c>
    </row>
    <row r="152" spans="1:60" x14ac:dyDescent="0.25">
      <c r="A152">
        <v>139</v>
      </c>
      <c r="B152" s="1">
        <v>94.931835384148101</v>
      </c>
      <c r="C152" s="1">
        <v>94.353173132071191</v>
      </c>
      <c r="D152" s="1">
        <v>99.900323214082661</v>
      </c>
      <c r="E152" s="1">
        <v>112.52971286836684</v>
      </c>
      <c r="F152" s="1">
        <v>100</v>
      </c>
      <c r="G152" s="1">
        <v>100</v>
      </c>
      <c r="H152" s="1">
        <v>100.79779325216231</v>
      </c>
      <c r="I152" s="1">
        <v>86.673825961289879</v>
      </c>
      <c r="J152" s="1">
        <v>99.873960030431505</v>
      </c>
      <c r="K152" s="1">
        <v>105.2854226890055</v>
      </c>
      <c r="L152" s="1">
        <v>103.1424566864688</v>
      </c>
      <c r="M152" s="1">
        <v>99.132957541120291</v>
      </c>
      <c r="N152" s="1">
        <v>100</v>
      </c>
      <c r="O152" s="1">
        <v>100</v>
      </c>
      <c r="P152" s="1">
        <v>95.861485755846545</v>
      </c>
      <c r="Q152" s="1">
        <v>100</v>
      </c>
      <c r="R152" s="1">
        <v>98.539127000430625</v>
      </c>
      <c r="S152" s="1">
        <v>100</v>
      </c>
      <c r="T152" s="1">
        <v>107.59460013140973</v>
      </c>
      <c r="U152" s="1">
        <v>98.778848255775031</v>
      </c>
      <c r="V152" s="1">
        <v>100.03913495966557</v>
      </c>
      <c r="W152" s="1">
        <v>100</v>
      </c>
      <c r="X152" s="1">
        <v>100</v>
      </c>
      <c r="Y152" s="1">
        <v>100</v>
      </c>
      <c r="Z152" s="1">
        <v>96.183395740639924</v>
      </c>
      <c r="AA152" s="1">
        <v>98.539127000430625</v>
      </c>
      <c r="AB152" s="1">
        <v>90.554104833905299</v>
      </c>
      <c r="AC152" s="1">
        <v>100.67666477865298</v>
      </c>
      <c r="AD152" s="1">
        <v>109.88587193387652</v>
      </c>
      <c r="AE152" s="1">
        <v>93.026096354794433</v>
      </c>
      <c r="AF152" s="1">
        <v>106.60733308736687</v>
      </c>
      <c r="AG152" s="1">
        <v>100</v>
      </c>
      <c r="AH152" s="1">
        <v>100</v>
      </c>
      <c r="AI152" s="1">
        <v>100</v>
      </c>
      <c r="AJ152" s="1">
        <v>100</v>
      </c>
      <c r="AK152" s="1">
        <v>92.272477692232357</v>
      </c>
      <c r="AL152" s="1">
        <v>100.81308565606136</v>
      </c>
      <c r="AM152" s="1">
        <v>103.62120807525611</v>
      </c>
      <c r="AN152" s="1">
        <v>109.77041978401722</v>
      </c>
      <c r="AO152" s="1">
        <v>96.69618069535602</v>
      </c>
      <c r="AP152" s="1">
        <v>100</v>
      </c>
      <c r="AQ152" s="1">
        <v>100</v>
      </c>
      <c r="AR152" s="1">
        <v>100.11536376468524</v>
      </c>
      <c r="AS152" s="1">
        <v>100</v>
      </c>
      <c r="AT152" s="1">
        <v>103.9036905263679</v>
      </c>
      <c r="AU152" s="1">
        <v>100</v>
      </c>
      <c r="AV152" s="1">
        <v>99.900323214082661</v>
      </c>
      <c r="AW152" s="1">
        <v>100</v>
      </c>
      <c r="AX152" s="1">
        <v>100</v>
      </c>
      <c r="AY152" s="1">
        <v>100</v>
      </c>
      <c r="AZ152" s="1">
        <v>100</v>
      </c>
      <c r="BA152" s="1">
        <v>100</v>
      </c>
      <c r="BB152" s="1">
        <v>100</v>
      </c>
      <c r="BC152" s="1">
        <v>100</v>
      </c>
      <c r="BD152" s="1">
        <v>100</v>
      </c>
      <c r="BE152" s="1">
        <v>100</v>
      </c>
      <c r="BF152" s="1">
        <v>100</v>
      </c>
      <c r="BG152" s="1">
        <v>100</v>
      </c>
      <c r="BH152" s="1">
        <v>100</v>
      </c>
    </row>
    <row r="153" spans="1:60" x14ac:dyDescent="0.25">
      <c r="A153">
        <v>140</v>
      </c>
      <c r="B153" s="1">
        <v>93.64920037974008</v>
      </c>
      <c r="C153" s="1">
        <v>94.353173132071191</v>
      </c>
      <c r="D153" s="1">
        <v>99.900323214082661</v>
      </c>
      <c r="E153" s="1">
        <v>113.79738422969976</v>
      </c>
      <c r="F153" s="1">
        <v>100</v>
      </c>
      <c r="G153" s="1">
        <v>100</v>
      </c>
      <c r="H153" s="1">
        <v>100.79779325216231</v>
      </c>
      <c r="I153" s="1">
        <v>86.673825961289879</v>
      </c>
      <c r="J153" s="1">
        <v>99.873960030431505</v>
      </c>
      <c r="K153" s="1">
        <v>105.2854226890055</v>
      </c>
      <c r="L153" s="1">
        <v>103.1424566864688</v>
      </c>
      <c r="M153" s="1">
        <v>99.132957541120291</v>
      </c>
      <c r="N153" s="1">
        <v>100</v>
      </c>
      <c r="O153" s="1">
        <v>100</v>
      </c>
      <c r="P153" s="1">
        <v>95.861485755846545</v>
      </c>
      <c r="Q153" s="1">
        <v>100</v>
      </c>
      <c r="R153" s="1">
        <v>98.539127000430625</v>
      </c>
      <c r="S153" s="1">
        <v>100</v>
      </c>
      <c r="T153" s="1">
        <v>107.59460013140973</v>
      </c>
      <c r="U153" s="1">
        <v>98.778848255775031</v>
      </c>
      <c r="V153" s="1">
        <v>100.03913495966557</v>
      </c>
      <c r="W153" s="1">
        <v>100</v>
      </c>
      <c r="X153" s="1">
        <v>100</v>
      </c>
      <c r="Y153" s="1">
        <v>100</v>
      </c>
      <c r="Z153" s="1">
        <v>96.183395740639924</v>
      </c>
      <c r="AA153" s="1">
        <v>98.539127000430625</v>
      </c>
      <c r="AB153" s="1">
        <v>90.554104833905299</v>
      </c>
      <c r="AC153" s="1">
        <v>100.67666477865298</v>
      </c>
      <c r="AD153" s="1">
        <v>109.88587193387652</v>
      </c>
      <c r="AE153" s="1">
        <v>93.026096354794433</v>
      </c>
      <c r="AF153" s="1">
        <v>106.60733308736687</v>
      </c>
      <c r="AG153" s="1">
        <v>100</v>
      </c>
      <c r="AH153" s="1">
        <v>100</v>
      </c>
      <c r="AI153" s="1">
        <v>100</v>
      </c>
      <c r="AJ153" s="1">
        <v>100</v>
      </c>
      <c r="AK153" s="1">
        <v>92.272477692232357</v>
      </c>
      <c r="AL153" s="1">
        <v>102.22808742268636</v>
      </c>
      <c r="AM153" s="1">
        <v>102.22116995170622</v>
      </c>
      <c r="AN153" s="1">
        <v>109.77041978401722</v>
      </c>
      <c r="AO153" s="1">
        <v>96.69618069535602</v>
      </c>
      <c r="AP153" s="1">
        <v>100</v>
      </c>
      <c r="AQ153" s="1">
        <v>100</v>
      </c>
      <c r="AR153" s="1">
        <v>100.11536376468524</v>
      </c>
      <c r="AS153" s="1">
        <v>100</v>
      </c>
      <c r="AT153" s="1">
        <v>103.9036905263679</v>
      </c>
      <c r="AU153" s="1">
        <v>100</v>
      </c>
      <c r="AV153" s="1">
        <v>99.900323214082661</v>
      </c>
      <c r="AW153" s="1">
        <v>100</v>
      </c>
      <c r="AX153" s="1">
        <v>100</v>
      </c>
      <c r="AY153" s="1">
        <v>100</v>
      </c>
      <c r="AZ153" s="1">
        <v>100</v>
      </c>
      <c r="BA153" s="1">
        <v>100</v>
      </c>
      <c r="BB153" s="1">
        <v>100</v>
      </c>
      <c r="BC153" s="1">
        <v>100</v>
      </c>
      <c r="BD153" s="1">
        <v>100</v>
      </c>
      <c r="BE153" s="1">
        <v>100</v>
      </c>
      <c r="BF153" s="1">
        <v>100</v>
      </c>
      <c r="BG153" s="1">
        <v>100</v>
      </c>
      <c r="BH153" s="1">
        <v>100</v>
      </c>
    </row>
    <row r="154" spans="1:60" x14ac:dyDescent="0.25">
      <c r="A154">
        <v>141</v>
      </c>
      <c r="B154" s="1">
        <v>93.64920037974008</v>
      </c>
      <c r="C154" s="1">
        <v>94.353173132071191</v>
      </c>
      <c r="D154" s="1">
        <v>99.900323214082661</v>
      </c>
      <c r="E154" s="1">
        <v>113.79738422969976</v>
      </c>
      <c r="F154" s="1">
        <v>100</v>
      </c>
      <c r="G154" s="1">
        <v>100</v>
      </c>
      <c r="H154" s="1">
        <v>100.79779325216231</v>
      </c>
      <c r="I154" s="1">
        <v>86.900093476486944</v>
      </c>
      <c r="J154" s="1">
        <v>99.873960030431505</v>
      </c>
      <c r="K154" s="1">
        <v>105.2854226890055</v>
      </c>
      <c r="L154" s="1">
        <v>103.1424566864688</v>
      </c>
      <c r="M154" s="1">
        <v>99.132957541120291</v>
      </c>
      <c r="N154" s="1">
        <v>100</v>
      </c>
      <c r="O154" s="1">
        <v>100</v>
      </c>
      <c r="P154" s="1">
        <v>95.861485755846545</v>
      </c>
      <c r="Q154" s="1">
        <v>100</v>
      </c>
      <c r="R154" s="1">
        <v>98.539127000430625</v>
      </c>
      <c r="S154" s="1">
        <v>100</v>
      </c>
      <c r="T154" s="1">
        <v>107.36349240523737</v>
      </c>
      <c r="U154" s="1">
        <v>98.778848255775031</v>
      </c>
      <c r="V154" s="1">
        <v>100.03913495966557</v>
      </c>
      <c r="W154" s="1">
        <v>100</v>
      </c>
      <c r="X154" s="1">
        <v>100</v>
      </c>
      <c r="Y154" s="1">
        <v>100</v>
      </c>
      <c r="Z154" s="1">
        <v>96.183395740639924</v>
      </c>
      <c r="AA154" s="1">
        <v>98.539127000430625</v>
      </c>
      <c r="AB154" s="1">
        <v>90.554104833905299</v>
      </c>
      <c r="AC154" s="1">
        <v>100.67666477865298</v>
      </c>
      <c r="AD154" s="1">
        <v>109.88587193387652</v>
      </c>
      <c r="AE154" s="1">
        <v>93.026096354794433</v>
      </c>
      <c r="AF154" s="1">
        <v>106.60733308736687</v>
      </c>
      <c r="AG154" s="1">
        <v>100</v>
      </c>
      <c r="AH154" s="1">
        <v>100</v>
      </c>
      <c r="AI154" s="1">
        <v>100</v>
      </c>
      <c r="AJ154" s="1">
        <v>100</v>
      </c>
      <c r="AK154" s="1">
        <v>92.485016378993279</v>
      </c>
      <c r="AL154" s="1">
        <v>102.22808742268636</v>
      </c>
      <c r="AM154" s="1">
        <v>102.22116995170622</v>
      </c>
      <c r="AN154" s="1">
        <v>109.77041978401722</v>
      </c>
      <c r="AO154" s="1">
        <v>96.4884822195704</v>
      </c>
      <c r="AP154" s="1">
        <v>100</v>
      </c>
      <c r="AQ154" s="1">
        <v>100</v>
      </c>
      <c r="AR154" s="1">
        <v>100.11536376468524</v>
      </c>
      <c r="AS154" s="1">
        <v>100</v>
      </c>
      <c r="AT154" s="1">
        <v>103.9036905263679</v>
      </c>
      <c r="AU154" s="1">
        <v>100</v>
      </c>
      <c r="AV154" s="1">
        <v>99.900323214082661</v>
      </c>
      <c r="AW154" s="1">
        <v>100</v>
      </c>
      <c r="AX154" s="1">
        <v>100</v>
      </c>
      <c r="AY154" s="1">
        <v>100</v>
      </c>
      <c r="AZ154" s="1">
        <v>100</v>
      </c>
      <c r="BA154" s="1">
        <v>100</v>
      </c>
      <c r="BB154" s="1">
        <v>100</v>
      </c>
      <c r="BC154" s="1">
        <v>100</v>
      </c>
      <c r="BD154" s="1">
        <v>100</v>
      </c>
      <c r="BE154" s="1">
        <v>100</v>
      </c>
      <c r="BF154" s="1">
        <v>100</v>
      </c>
      <c r="BG154" s="1">
        <v>100</v>
      </c>
      <c r="BH154" s="1">
        <v>100</v>
      </c>
    </row>
    <row r="155" spans="1:60" x14ac:dyDescent="0.25">
      <c r="A155">
        <v>142</v>
      </c>
      <c r="B155" s="1">
        <v>93.64920037974008</v>
      </c>
      <c r="C155" s="1">
        <v>94.353173132071191</v>
      </c>
      <c r="D155" s="1">
        <v>99.900323214082661</v>
      </c>
      <c r="E155" s="1">
        <v>113.79738422969976</v>
      </c>
      <c r="F155" s="1">
        <v>100</v>
      </c>
      <c r="G155" s="1">
        <v>100</v>
      </c>
      <c r="H155" s="1">
        <v>100.79779325216231</v>
      </c>
      <c r="I155" s="1">
        <v>87.724932987035942</v>
      </c>
      <c r="J155" s="1">
        <v>99.873960030431505</v>
      </c>
      <c r="K155" s="1">
        <v>105.2854226890055</v>
      </c>
      <c r="L155" s="1">
        <v>103.1424566864688</v>
      </c>
      <c r="M155" s="1">
        <v>99.132957541120291</v>
      </c>
      <c r="N155" s="1">
        <v>100</v>
      </c>
      <c r="O155" s="1">
        <v>100</v>
      </c>
      <c r="P155" s="1">
        <v>95.861485755846545</v>
      </c>
      <c r="Q155" s="1">
        <v>100</v>
      </c>
      <c r="R155" s="1">
        <v>98.539127000430625</v>
      </c>
      <c r="S155" s="1">
        <v>100</v>
      </c>
      <c r="T155" s="1">
        <v>106.52088324439244</v>
      </c>
      <c r="U155" s="1">
        <v>98.778848255775031</v>
      </c>
      <c r="V155" s="1">
        <v>100.03913495966557</v>
      </c>
      <c r="W155" s="1">
        <v>100</v>
      </c>
      <c r="X155" s="1">
        <v>100</v>
      </c>
      <c r="Y155" s="1">
        <v>100</v>
      </c>
      <c r="Z155" s="1">
        <v>96.183395740639924</v>
      </c>
      <c r="AA155" s="1">
        <v>98.539127000430625</v>
      </c>
      <c r="AB155" s="1">
        <v>90.554104833905299</v>
      </c>
      <c r="AC155" s="1">
        <v>100.67666477865298</v>
      </c>
      <c r="AD155" s="1">
        <v>109.88587193387652</v>
      </c>
      <c r="AE155" s="1">
        <v>93.026096354794433</v>
      </c>
      <c r="AF155" s="1">
        <v>106.60733308736687</v>
      </c>
      <c r="AG155" s="1">
        <v>100</v>
      </c>
      <c r="AH155" s="1">
        <v>100</v>
      </c>
      <c r="AI155" s="1">
        <v>100</v>
      </c>
      <c r="AJ155" s="1">
        <v>100</v>
      </c>
      <c r="AK155" s="1">
        <v>93.260046036511824</v>
      </c>
      <c r="AL155" s="1">
        <v>102.22808742268636</v>
      </c>
      <c r="AM155" s="1">
        <v>102.22116995170622</v>
      </c>
      <c r="AN155" s="1">
        <v>109.77041978401722</v>
      </c>
      <c r="AO155" s="1">
        <v>95.731222212347802</v>
      </c>
      <c r="AP155" s="1">
        <v>100</v>
      </c>
      <c r="AQ155" s="1">
        <v>100</v>
      </c>
      <c r="AR155" s="1">
        <v>100.11536376468524</v>
      </c>
      <c r="AS155" s="1">
        <v>100</v>
      </c>
      <c r="AT155" s="1">
        <v>103.9036905263679</v>
      </c>
      <c r="AU155" s="1">
        <v>100</v>
      </c>
      <c r="AV155" s="1">
        <v>99.900323214082661</v>
      </c>
      <c r="AW155" s="1">
        <v>100</v>
      </c>
      <c r="AX155" s="1">
        <v>100</v>
      </c>
      <c r="AY155" s="1">
        <v>100</v>
      </c>
      <c r="AZ155" s="1">
        <v>100</v>
      </c>
      <c r="BA155" s="1">
        <v>100</v>
      </c>
      <c r="BB155" s="1">
        <v>100</v>
      </c>
      <c r="BC155" s="1">
        <v>100</v>
      </c>
      <c r="BD155" s="1">
        <v>100</v>
      </c>
      <c r="BE155" s="1">
        <v>100</v>
      </c>
      <c r="BF155" s="1">
        <v>100</v>
      </c>
      <c r="BG155" s="1">
        <v>100</v>
      </c>
      <c r="BH155" s="1">
        <v>100</v>
      </c>
    </row>
    <row r="156" spans="1:60" x14ac:dyDescent="0.25">
      <c r="A156">
        <v>143</v>
      </c>
      <c r="B156" s="1">
        <v>93.64920037974008</v>
      </c>
      <c r="C156" s="1">
        <v>94.353173132071191</v>
      </c>
      <c r="D156" s="1">
        <v>99.900323214082661</v>
      </c>
      <c r="E156" s="1">
        <v>113.79738422969976</v>
      </c>
      <c r="F156" s="1">
        <v>100</v>
      </c>
      <c r="G156" s="1">
        <v>100</v>
      </c>
      <c r="H156" s="1">
        <v>100.79779325216231</v>
      </c>
      <c r="I156" s="1">
        <v>87.724932987035942</v>
      </c>
      <c r="J156" s="1">
        <v>99.873960030431505</v>
      </c>
      <c r="K156" s="1">
        <v>105.2854226890055</v>
      </c>
      <c r="L156" s="1">
        <v>103.1424566864688</v>
      </c>
      <c r="M156" s="1">
        <v>99.132957541120291</v>
      </c>
      <c r="N156" s="1">
        <v>100</v>
      </c>
      <c r="O156" s="1">
        <v>100</v>
      </c>
      <c r="P156" s="1">
        <v>95.861485755846545</v>
      </c>
      <c r="Q156" s="1">
        <v>100</v>
      </c>
      <c r="R156" s="1">
        <v>98.539127000430625</v>
      </c>
      <c r="S156" s="1">
        <v>100</v>
      </c>
      <c r="T156" s="1">
        <v>106.52088324439244</v>
      </c>
      <c r="U156" s="1">
        <v>98.778848255775031</v>
      </c>
      <c r="V156" s="1">
        <v>100.03913495966557</v>
      </c>
      <c r="W156" s="1">
        <v>100</v>
      </c>
      <c r="X156" s="1">
        <v>99.204842281066902</v>
      </c>
      <c r="Y156" s="1">
        <v>100</v>
      </c>
      <c r="Z156" s="1">
        <v>96.183395740639924</v>
      </c>
      <c r="AA156" s="1">
        <v>98.539127000430625</v>
      </c>
      <c r="AB156" s="1">
        <v>90.554104833905299</v>
      </c>
      <c r="AC156" s="1">
        <v>101.50368486286197</v>
      </c>
      <c r="AD156" s="1">
        <v>109.88587193387652</v>
      </c>
      <c r="AE156" s="1">
        <v>93.026096354794433</v>
      </c>
      <c r="AF156" s="1">
        <v>107.38834525015015</v>
      </c>
      <c r="AG156" s="1">
        <v>100</v>
      </c>
      <c r="AH156" s="1">
        <v>100</v>
      </c>
      <c r="AI156" s="1">
        <v>100</v>
      </c>
      <c r="AJ156" s="1">
        <v>100</v>
      </c>
      <c r="AK156" s="1">
        <v>93.260046036511824</v>
      </c>
      <c r="AL156" s="1">
        <v>101.41521289462719</v>
      </c>
      <c r="AM156" s="1">
        <v>102.22116995170622</v>
      </c>
      <c r="AN156" s="1">
        <v>109.77041978401722</v>
      </c>
      <c r="AO156" s="1">
        <v>95.731222212347802</v>
      </c>
      <c r="AP156" s="1">
        <v>100</v>
      </c>
      <c r="AQ156" s="1">
        <v>100</v>
      </c>
      <c r="AR156" s="1">
        <v>100.11536376468524</v>
      </c>
      <c r="AS156" s="1">
        <v>100</v>
      </c>
      <c r="AT156" s="1">
        <v>103.9036905263679</v>
      </c>
      <c r="AU156" s="1">
        <v>100</v>
      </c>
      <c r="AV156" s="1">
        <v>99.900323214082661</v>
      </c>
      <c r="AW156" s="1">
        <v>100</v>
      </c>
      <c r="AX156" s="1">
        <v>100</v>
      </c>
      <c r="AY156" s="1">
        <v>100</v>
      </c>
      <c r="AZ156" s="1">
        <v>100</v>
      </c>
      <c r="BA156" s="1">
        <v>100</v>
      </c>
      <c r="BB156" s="1">
        <v>100</v>
      </c>
      <c r="BC156" s="1">
        <v>100</v>
      </c>
      <c r="BD156" s="1">
        <v>100</v>
      </c>
      <c r="BE156" s="1">
        <v>100</v>
      </c>
      <c r="BF156" s="1">
        <v>100</v>
      </c>
      <c r="BG156" s="1">
        <v>100</v>
      </c>
      <c r="BH156" s="1">
        <v>100</v>
      </c>
    </row>
    <row r="157" spans="1:60" x14ac:dyDescent="0.25">
      <c r="A157">
        <v>144</v>
      </c>
      <c r="B157" s="1">
        <v>93.64920037974008</v>
      </c>
      <c r="C157" s="1">
        <v>94.353173132071191</v>
      </c>
      <c r="D157" s="1">
        <v>99.900323214082661</v>
      </c>
      <c r="E157" s="1">
        <v>113.79738422969976</v>
      </c>
      <c r="F157" s="1">
        <v>100</v>
      </c>
      <c r="G157" s="1">
        <v>100</v>
      </c>
      <c r="H157" s="1">
        <v>100.79779325216231</v>
      </c>
      <c r="I157" s="1">
        <v>87.724932987035942</v>
      </c>
      <c r="J157" s="1">
        <v>99.873960030431505</v>
      </c>
      <c r="K157" s="1">
        <v>105.2854226890055</v>
      </c>
      <c r="L157" s="1">
        <v>103.1424566864688</v>
      </c>
      <c r="M157" s="1">
        <v>99.132957541120291</v>
      </c>
      <c r="N157" s="1">
        <v>100</v>
      </c>
      <c r="O157" s="1">
        <v>100</v>
      </c>
      <c r="P157" s="1">
        <v>95.861485755846545</v>
      </c>
      <c r="Q157" s="1">
        <v>100</v>
      </c>
      <c r="R157" s="1">
        <v>98.539127000430625</v>
      </c>
      <c r="S157" s="1">
        <v>100</v>
      </c>
      <c r="T157" s="1">
        <v>106.52088324439244</v>
      </c>
      <c r="U157" s="1">
        <v>98.778848255775031</v>
      </c>
      <c r="V157" s="1">
        <v>100.03913495966557</v>
      </c>
      <c r="W157" s="1">
        <v>100</v>
      </c>
      <c r="X157" s="1">
        <v>98.938308797866256</v>
      </c>
      <c r="Y157" s="1">
        <v>100</v>
      </c>
      <c r="Z157" s="1">
        <v>96.183395740639924</v>
      </c>
      <c r="AA157" s="1">
        <v>98.539127000430625</v>
      </c>
      <c r="AB157" s="1">
        <v>90.554104833905299</v>
      </c>
      <c r="AC157" s="1">
        <v>101.78077976073585</v>
      </c>
      <c r="AD157" s="1">
        <v>109.88587193387652</v>
      </c>
      <c r="AE157" s="1">
        <v>93.026096354794433</v>
      </c>
      <c r="AF157" s="1">
        <v>107.65025591769401</v>
      </c>
      <c r="AG157" s="1">
        <v>100</v>
      </c>
      <c r="AH157" s="1">
        <v>100</v>
      </c>
      <c r="AI157" s="1">
        <v>100</v>
      </c>
      <c r="AJ157" s="1">
        <v>100</v>
      </c>
      <c r="AK157" s="1">
        <v>93.260046036511824</v>
      </c>
      <c r="AL157" s="1">
        <v>101.1427408124101</v>
      </c>
      <c r="AM157" s="1">
        <v>102.22116995170622</v>
      </c>
      <c r="AN157" s="1">
        <v>109.77041978401722</v>
      </c>
      <c r="AO157" s="1">
        <v>95.731222212347802</v>
      </c>
      <c r="AP157" s="1">
        <v>100</v>
      </c>
      <c r="AQ157" s="1">
        <v>100</v>
      </c>
      <c r="AR157" s="1">
        <v>100.11536376468524</v>
      </c>
      <c r="AS157" s="1">
        <v>100</v>
      </c>
      <c r="AT157" s="1">
        <v>103.9036905263679</v>
      </c>
      <c r="AU157" s="1">
        <v>100</v>
      </c>
      <c r="AV157" s="1">
        <v>99.900323214082661</v>
      </c>
      <c r="AW157" s="1">
        <v>100</v>
      </c>
      <c r="AX157" s="1">
        <v>100</v>
      </c>
      <c r="AY157" s="1">
        <v>100</v>
      </c>
      <c r="AZ157" s="1">
        <v>100</v>
      </c>
      <c r="BA157" s="1">
        <v>100</v>
      </c>
      <c r="BB157" s="1">
        <v>100</v>
      </c>
      <c r="BC157" s="1">
        <v>100</v>
      </c>
      <c r="BD157" s="1">
        <v>100</v>
      </c>
      <c r="BE157" s="1">
        <v>100</v>
      </c>
      <c r="BF157" s="1">
        <v>100</v>
      </c>
      <c r="BG157" s="1">
        <v>100</v>
      </c>
      <c r="BH157" s="1">
        <v>100</v>
      </c>
    </row>
    <row r="158" spans="1:60" x14ac:dyDescent="0.25">
      <c r="A158">
        <v>145</v>
      </c>
      <c r="B158" s="1">
        <v>93.64920037974008</v>
      </c>
      <c r="C158" s="1">
        <v>94.353173132071191</v>
      </c>
      <c r="D158" s="1">
        <v>99.900323214082661</v>
      </c>
      <c r="E158" s="1">
        <v>113.79738422969976</v>
      </c>
      <c r="F158" s="1">
        <v>100</v>
      </c>
      <c r="G158" s="1">
        <v>100</v>
      </c>
      <c r="H158" s="1">
        <v>100.79779325216231</v>
      </c>
      <c r="I158" s="1">
        <v>86.392759894679898</v>
      </c>
      <c r="J158" s="1">
        <v>99.873960030431505</v>
      </c>
      <c r="K158" s="1">
        <v>106.69416039387004</v>
      </c>
      <c r="L158" s="1">
        <v>103.1424566864688</v>
      </c>
      <c r="M158" s="1">
        <v>99.132957541120291</v>
      </c>
      <c r="N158" s="1">
        <v>100</v>
      </c>
      <c r="O158" s="1">
        <v>100</v>
      </c>
      <c r="P158" s="1">
        <v>95.861485755846545</v>
      </c>
      <c r="Q158" s="1">
        <v>100</v>
      </c>
      <c r="R158" s="1">
        <v>98.539127000430625</v>
      </c>
      <c r="S158" s="1">
        <v>100</v>
      </c>
      <c r="T158" s="1">
        <v>106.52088324439244</v>
      </c>
      <c r="U158" s="1">
        <v>98.778848255775031</v>
      </c>
      <c r="V158" s="1">
        <v>100.03913495966557</v>
      </c>
      <c r="W158" s="1">
        <v>100</v>
      </c>
      <c r="X158" s="1">
        <v>98.938308797866256</v>
      </c>
      <c r="Y158" s="1">
        <v>100</v>
      </c>
      <c r="Z158" s="1">
        <v>96.183395740639924</v>
      </c>
      <c r="AA158" s="1">
        <v>98.539127000430625</v>
      </c>
      <c r="AB158" s="1">
        <v>90.554104833905299</v>
      </c>
      <c r="AC158" s="1">
        <v>101.78077976073585</v>
      </c>
      <c r="AD158" s="1">
        <v>109.88587193387652</v>
      </c>
      <c r="AE158" s="1">
        <v>93.026096354794433</v>
      </c>
      <c r="AF158" s="1">
        <v>107.65025591769401</v>
      </c>
      <c r="AG158" s="1">
        <v>100</v>
      </c>
      <c r="AH158" s="1">
        <v>100</v>
      </c>
      <c r="AI158" s="1">
        <v>100</v>
      </c>
      <c r="AJ158" s="1">
        <v>100</v>
      </c>
      <c r="AK158" s="1">
        <v>94.850432820757391</v>
      </c>
      <c r="AL158" s="1">
        <v>101.1427408124101</v>
      </c>
      <c r="AM158" s="1">
        <v>102.22116995170622</v>
      </c>
      <c r="AN158" s="1">
        <v>108.10346838726316</v>
      </c>
      <c r="AO158" s="1">
        <v>95.731222212347802</v>
      </c>
      <c r="AP158" s="1">
        <v>100</v>
      </c>
      <c r="AQ158" s="1">
        <v>100</v>
      </c>
      <c r="AR158" s="1">
        <v>100.11536376468524</v>
      </c>
      <c r="AS158" s="1">
        <v>100</v>
      </c>
      <c r="AT158" s="1">
        <v>103.9036905263679</v>
      </c>
      <c r="AU158" s="1">
        <v>100</v>
      </c>
      <c r="AV158" s="1">
        <v>99.900323214082661</v>
      </c>
      <c r="AW158" s="1">
        <v>100</v>
      </c>
      <c r="AX158" s="1">
        <v>100</v>
      </c>
      <c r="AY158" s="1">
        <v>100</v>
      </c>
      <c r="AZ158" s="1">
        <v>100</v>
      </c>
      <c r="BA158" s="1">
        <v>100</v>
      </c>
      <c r="BB158" s="1">
        <v>100</v>
      </c>
      <c r="BC158" s="1">
        <v>100</v>
      </c>
      <c r="BD158" s="1">
        <v>100</v>
      </c>
      <c r="BE158" s="1">
        <v>100</v>
      </c>
      <c r="BF158" s="1">
        <v>100</v>
      </c>
      <c r="BG158" s="1">
        <v>100</v>
      </c>
      <c r="BH158" s="1">
        <v>100</v>
      </c>
    </row>
    <row r="159" spans="1:60" x14ac:dyDescent="0.25">
      <c r="A159">
        <v>146</v>
      </c>
      <c r="B159" s="1">
        <v>93.64920037974008</v>
      </c>
      <c r="C159" s="1">
        <v>94.353173132071191</v>
      </c>
      <c r="D159" s="1">
        <v>99.900323214082661</v>
      </c>
      <c r="E159" s="1">
        <v>113.79738422969976</v>
      </c>
      <c r="F159" s="1">
        <v>100</v>
      </c>
      <c r="G159" s="1">
        <v>100</v>
      </c>
      <c r="H159" s="1">
        <v>100.79779325216231</v>
      </c>
      <c r="I159" s="1">
        <v>87.662470960780851</v>
      </c>
      <c r="J159" s="1">
        <v>99.873960030431505</v>
      </c>
      <c r="K159" s="1">
        <v>105.48482724156537</v>
      </c>
      <c r="L159" s="1">
        <v>103.1424566864688</v>
      </c>
      <c r="M159" s="1">
        <v>99.132957541120291</v>
      </c>
      <c r="N159" s="1">
        <v>100</v>
      </c>
      <c r="O159" s="1">
        <v>100</v>
      </c>
      <c r="P159" s="1">
        <v>95.861485755846545</v>
      </c>
      <c r="Q159" s="1">
        <v>100</v>
      </c>
      <c r="R159" s="1">
        <v>98.539127000430625</v>
      </c>
      <c r="S159" s="1">
        <v>100</v>
      </c>
      <c r="T159" s="1">
        <v>106.52088324439244</v>
      </c>
      <c r="U159" s="1">
        <v>98.778848255775031</v>
      </c>
      <c r="V159" s="1">
        <v>100.03913495966557</v>
      </c>
      <c r="W159" s="1">
        <v>100</v>
      </c>
      <c r="X159" s="1">
        <v>98.938308797866256</v>
      </c>
      <c r="Y159" s="1">
        <v>100</v>
      </c>
      <c r="Z159" s="1">
        <v>96.183395740639924</v>
      </c>
      <c r="AA159" s="1">
        <v>98.539127000430625</v>
      </c>
      <c r="AB159" s="1">
        <v>90.554104833905299</v>
      </c>
      <c r="AC159" s="1">
        <v>101.78077976073585</v>
      </c>
      <c r="AD159" s="1">
        <v>109.88587193387652</v>
      </c>
      <c r="AE159" s="1">
        <v>93.026096354794433</v>
      </c>
      <c r="AF159" s="1">
        <v>107.65025591769401</v>
      </c>
      <c r="AG159" s="1">
        <v>100</v>
      </c>
      <c r="AH159" s="1">
        <v>100</v>
      </c>
      <c r="AI159" s="1">
        <v>100</v>
      </c>
      <c r="AJ159" s="1">
        <v>100</v>
      </c>
      <c r="AK159" s="1">
        <v>93.775343307918618</v>
      </c>
      <c r="AL159" s="1">
        <v>101.1427408124101</v>
      </c>
      <c r="AM159" s="1">
        <v>102.22116995170622</v>
      </c>
      <c r="AN159" s="1">
        <v>109.11817998630565</v>
      </c>
      <c r="AO159" s="1">
        <v>95.731222212347802</v>
      </c>
      <c r="AP159" s="1">
        <v>100</v>
      </c>
      <c r="AQ159" s="1">
        <v>100</v>
      </c>
      <c r="AR159" s="1">
        <v>100.11536376468524</v>
      </c>
      <c r="AS159" s="1">
        <v>100</v>
      </c>
      <c r="AT159" s="1">
        <v>103.9036905263679</v>
      </c>
      <c r="AU159" s="1">
        <v>100</v>
      </c>
      <c r="AV159" s="1">
        <v>99.900323214082661</v>
      </c>
      <c r="AW159" s="1">
        <v>100</v>
      </c>
      <c r="AX159" s="1">
        <v>100</v>
      </c>
      <c r="AY159" s="1">
        <v>100</v>
      </c>
      <c r="AZ159" s="1">
        <v>100</v>
      </c>
      <c r="BA159" s="1">
        <v>100</v>
      </c>
      <c r="BB159" s="1">
        <v>100</v>
      </c>
      <c r="BC159" s="1">
        <v>100</v>
      </c>
      <c r="BD159" s="1">
        <v>100</v>
      </c>
      <c r="BE159" s="1">
        <v>100</v>
      </c>
      <c r="BF159" s="1">
        <v>100</v>
      </c>
      <c r="BG159" s="1">
        <v>100</v>
      </c>
      <c r="BH159" s="1">
        <v>100</v>
      </c>
    </row>
    <row r="160" spans="1:60" x14ac:dyDescent="0.25">
      <c r="A160">
        <v>147</v>
      </c>
      <c r="B160" s="1">
        <v>93.889175705377184</v>
      </c>
      <c r="C160" s="1">
        <v>94.353173132071191</v>
      </c>
      <c r="D160" s="1">
        <v>99.900323214082661</v>
      </c>
      <c r="E160" s="1">
        <v>113.79738422969976</v>
      </c>
      <c r="F160" s="1">
        <v>100</v>
      </c>
      <c r="G160" s="1">
        <v>100</v>
      </c>
      <c r="H160" s="1">
        <v>100.79779325216231</v>
      </c>
      <c r="I160" s="1">
        <v>87.662470960780851</v>
      </c>
      <c r="J160" s="1">
        <v>99.873960030431505</v>
      </c>
      <c r="K160" s="1">
        <v>105.48482724156537</v>
      </c>
      <c r="L160" s="1">
        <v>103.1424566864688</v>
      </c>
      <c r="M160" s="1">
        <v>99.132957541120291</v>
      </c>
      <c r="N160" s="1">
        <v>100</v>
      </c>
      <c r="O160" s="1">
        <v>100</v>
      </c>
      <c r="P160" s="1">
        <v>95.861485755846545</v>
      </c>
      <c r="Q160" s="1">
        <v>100</v>
      </c>
      <c r="R160" s="1">
        <v>98.539127000430625</v>
      </c>
      <c r="S160" s="1">
        <v>100</v>
      </c>
      <c r="T160" s="1">
        <v>106.52088324439244</v>
      </c>
      <c r="U160" s="1">
        <v>98.778848255775031</v>
      </c>
      <c r="V160" s="1">
        <v>100.03913495966557</v>
      </c>
      <c r="W160" s="1">
        <v>100</v>
      </c>
      <c r="X160" s="1">
        <v>98.938308797866256</v>
      </c>
      <c r="Y160" s="1">
        <v>100</v>
      </c>
      <c r="Z160" s="1">
        <v>96.183395740639924</v>
      </c>
      <c r="AA160" s="1">
        <v>98.539127000430625</v>
      </c>
      <c r="AB160" s="1">
        <v>90.554104833905299</v>
      </c>
      <c r="AC160" s="1">
        <v>101.78077976073585</v>
      </c>
      <c r="AD160" s="1">
        <v>109.88587193387652</v>
      </c>
      <c r="AE160" s="1">
        <v>92.814485551898713</v>
      </c>
      <c r="AF160" s="1">
        <v>107.65025591769401</v>
      </c>
      <c r="AG160" s="1">
        <v>100</v>
      </c>
      <c r="AH160" s="1">
        <v>100</v>
      </c>
      <c r="AI160" s="1">
        <v>100</v>
      </c>
      <c r="AJ160" s="1">
        <v>100</v>
      </c>
      <c r="AK160" s="1">
        <v>93.775343307918618</v>
      </c>
      <c r="AL160" s="1">
        <v>101.1427408124101</v>
      </c>
      <c r="AM160" s="1">
        <v>102.44102164551289</v>
      </c>
      <c r="AN160" s="1">
        <v>108.86996376975759</v>
      </c>
      <c r="AO160" s="1">
        <v>95.731222212347802</v>
      </c>
      <c r="AP160" s="1">
        <v>100</v>
      </c>
      <c r="AQ160" s="1">
        <v>100</v>
      </c>
      <c r="AR160" s="1">
        <v>100.11536376468524</v>
      </c>
      <c r="AS160" s="1">
        <v>100</v>
      </c>
      <c r="AT160" s="1">
        <v>103.9036905263679</v>
      </c>
      <c r="AU160" s="1">
        <v>100</v>
      </c>
      <c r="AV160" s="1">
        <v>99.900323214082661</v>
      </c>
      <c r="AW160" s="1">
        <v>100</v>
      </c>
      <c r="AX160" s="1">
        <v>100</v>
      </c>
      <c r="AY160" s="1">
        <v>100</v>
      </c>
      <c r="AZ160" s="1">
        <v>100</v>
      </c>
      <c r="BA160" s="1">
        <v>100</v>
      </c>
      <c r="BB160" s="1">
        <v>100</v>
      </c>
      <c r="BC160" s="1">
        <v>100</v>
      </c>
      <c r="BD160" s="1">
        <v>100</v>
      </c>
      <c r="BE160" s="1">
        <v>100</v>
      </c>
      <c r="BF160" s="1">
        <v>100</v>
      </c>
      <c r="BG160" s="1">
        <v>100</v>
      </c>
      <c r="BH160" s="1">
        <v>100</v>
      </c>
    </row>
    <row r="161" spans="1:60" x14ac:dyDescent="0.25">
      <c r="A161">
        <v>148</v>
      </c>
      <c r="B161" s="1">
        <v>96.464587655718546</v>
      </c>
      <c r="C161" s="1">
        <v>94.353173132071191</v>
      </c>
      <c r="D161" s="1">
        <v>99.900323214082661</v>
      </c>
      <c r="E161" s="1">
        <v>113.79738422969976</v>
      </c>
      <c r="F161" s="1">
        <v>100</v>
      </c>
      <c r="G161" s="1">
        <v>100</v>
      </c>
      <c r="H161" s="1">
        <v>100.79779325216231</v>
      </c>
      <c r="I161" s="1">
        <v>87.662470960780851</v>
      </c>
      <c r="J161" s="1">
        <v>99.873960030431505</v>
      </c>
      <c r="K161" s="1">
        <v>105.48482724156537</v>
      </c>
      <c r="L161" s="1">
        <v>103.1424566864688</v>
      </c>
      <c r="M161" s="1">
        <v>99.132957541120291</v>
      </c>
      <c r="N161" s="1">
        <v>100</v>
      </c>
      <c r="O161" s="1">
        <v>100</v>
      </c>
      <c r="P161" s="1">
        <v>95.861485755846545</v>
      </c>
      <c r="Q161" s="1">
        <v>100</v>
      </c>
      <c r="R161" s="1">
        <v>98.539127000430625</v>
      </c>
      <c r="S161" s="1">
        <v>100</v>
      </c>
      <c r="T161" s="1">
        <v>106.52088324439244</v>
      </c>
      <c r="U161" s="1">
        <v>98.778848255775031</v>
      </c>
      <c r="V161" s="1">
        <v>100.03913495966557</v>
      </c>
      <c r="W161" s="1">
        <v>100</v>
      </c>
      <c r="X161" s="1">
        <v>98.938308797866256</v>
      </c>
      <c r="Y161" s="1">
        <v>100</v>
      </c>
      <c r="Z161" s="1">
        <v>96.183395740639924</v>
      </c>
      <c r="AA161" s="1">
        <v>98.539127000430625</v>
      </c>
      <c r="AB161" s="1">
        <v>90.554104833905299</v>
      </c>
      <c r="AC161" s="1">
        <v>101.78077976073585</v>
      </c>
      <c r="AD161" s="1">
        <v>109.88587193387652</v>
      </c>
      <c r="AE161" s="1">
        <v>90.543035157452209</v>
      </c>
      <c r="AF161" s="1">
        <v>107.65025591769401</v>
      </c>
      <c r="AG161" s="1">
        <v>100</v>
      </c>
      <c r="AH161" s="1">
        <v>100</v>
      </c>
      <c r="AI161" s="1">
        <v>100</v>
      </c>
      <c r="AJ161" s="1">
        <v>100</v>
      </c>
      <c r="AK161" s="1">
        <v>93.775343307918618</v>
      </c>
      <c r="AL161" s="1">
        <v>101.1427408124101</v>
      </c>
      <c r="AM161" s="1">
        <v>104.80143646015682</v>
      </c>
      <c r="AN161" s="1">
        <v>106.2055873992188</v>
      </c>
      <c r="AO161" s="1">
        <v>95.731222212347802</v>
      </c>
      <c r="AP161" s="1">
        <v>100</v>
      </c>
      <c r="AQ161" s="1">
        <v>100</v>
      </c>
      <c r="AR161" s="1">
        <v>100.11536376468524</v>
      </c>
      <c r="AS161" s="1">
        <v>100</v>
      </c>
      <c r="AT161" s="1">
        <v>103.9036905263679</v>
      </c>
      <c r="AU161" s="1">
        <v>100</v>
      </c>
      <c r="AV161" s="1">
        <v>99.900323214082661</v>
      </c>
      <c r="AW161" s="1">
        <v>100</v>
      </c>
      <c r="AX161" s="1">
        <v>100</v>
      </c>
      <c r="AY161" s="1">
        <v>100</v>
      </c>
      <c r="AZ161" s="1">
        <v>100</v>
      </c>
      <c r="BA161" s="1">
        <v>100</v>
      </c>
      <c r="BB161" s="1">
        <v>100</v>
      </c>
      <c r="BC161" s="1">
        <v>100</v>
      </c>
      <c r="BD161" s="1">
        <v>100</v>
      </c>
      <c r="BE161" s="1">
        <v>100</v>
      </c>
      <c r="BF161" s="1">
        <v>100</v>
      </c>
      <c r="BG161" s="1">
        <v>100</v>
      </c>
      <c r="BH161" s="1">
        <v>100</v>
      </c>
    </row>
    <row r="162" spans="1:60" x14ac:dyDescent="0.25">
      <c r="A162">
        <v>149</v>
      </c>
      <c r="B162" s="1">
        <v>96.464587655718546</v>
      </c>
      <c r="C162" s="1">
        <v>94.353173132071191</v>
      </c>
      <c r="D162" s="1">
        <v>99.900323214082661</v>
      </c>
      <c r="E162" s="1">
        <v>113.79738422969976</v>
      </c>
      <c r="F162" s="1">
        <v>100</v>
      </c>
      <c r="G162" s="1">
        <v>100</v>
      </c>
      <c r="H162" s="1">
        <v>100.79779325216231</v>
      </c>
      <c r="I162" s="1">
        <v>87.662470960780851</v>
      </c>
      <c r="J162" s="1">
        <v>99.873960030431505</v>
      </c>
      <c r="K162" s="1">
        <v>105.48482724156537</v>
      </c>
      <c r="L162" s="1">
        <v>103.1424566864688</v>
      </c>
      <c r="M162" s="1">
        <v>99.132957541120291</v>
      </c>
      <c r="N162" s="1">
        <v>100</v>
      </c>
      <c r="O162" s="1">
        <v>100</v>
      </c>
      <c r="P162" s="1">
        <v>95.492560898248115</v>
      </c>
      <c r="Q162" s="1">
        <v>100</v>
      </c>
      <c r="R162" s="1">
        <v>98.539127000430625</v>
      </c>
      <c r="S162" s="1">
        <v>100</v>
      </c>
      <c r="T162" s="1">
        <v>106.87773688095926</v>
      </c>
      <c r="U162" s="1">
        <v>98.778848255775031</v>
      </c>
      <c r="V162" s="1">
        <v>99.654132335011241</v>
      </c>
      <c r="W162" s="1">
        <v>100</v>
      </c>
      <c r="X162" s="1">
        <v>98.938308797866256</v>
      </c>
      <c r="Y162" s="1">
        <v>100</v>
      </c>
      <c r="Z162" s="1">
        <v>96.183395740639924</v>
      </c>
      <c r="AA162" s="1">
        <v>98.539127000430625</v>
      </c>
      <c r="AB162" s="1">
        <v>90.554104833905299</v>
      </c>
      <c r="AC162" s="1">
        <v>101.78077976073585</v>
      </c>
      <c r="AD162" s="1">
        <v>109.88587193387652</v>
      </c>
      <c r="AE162" s="1">
        <v>90.543035157452209</v>
      </c>
      <c r="AF162" s="1">
        <v>107.65025591769401</v>
      </c>
      <c r="AG162" s="1">
        <v>100</v>
      </c>
      <c r="AH162" s="1">
        <v>100</v>
      </c>
      <c r="AI162" s="1">
        <v>100</v>
      </c>
      <c r="AJ162" s="1">
        <v>100</v>
      </c>
      <c r="AK162" s="1">
        <v>93.775343307918618</v>
      </c>
      <c r="AL162" s="1">
        <v>101.1427408124101</v>
      </c>
      <c r="AM162" s="1">
        <v>104.80143646015682</v>
      </c>
      <c r="AN162" s="1">
        <v>106.2055873992188</v>
      </c>
      <c r="AO162" s="1">
        <v>96.12829605803374</v>
      </c>
      <c r="AP162" s="1">
        <v>100</v>
      </c>
      <c r="AQ162" s="1">
        <v>100</v>
      </c>
      <c r="AR162" s="1">
        <v>100.11536376468524</v>
      </c>
      <c r="AS162" s="1">
        <v>100</v>
      </c>
      <c r="AT162" s="1">
        <v>103.9036905263679</v>
      </c>
      <c r="AU162" s="1">
        <v>100</v>
      </c>
      <c r="AV162" s="1">
        <v>99.900323214082661</v>
      </c>
      <c r="AW162" s="1">
        <v>100</v>
      </c>
      <c r="AX162" s="1">
        <v>100</v>
      </c>
      <c r="AY162" s="1">
        <v>100</v>
      </c>
      <c r="AZ162" s="1">
        <v>100</v>
      </c>
      <c r="BA162" s="1">
        <v>100</v>
      </c>
      <c r="BB162" s="1">
        <v>100</v>
      </c>
      <c r="BC162" s="1">
        <v>100</v>
      </c>
      <c r="BD162" s="1">
        <v>100</v>
      </c>
      <c r="BE162" s="1">
        <v>100</v>
      </c>
      <c r="BF162" s="1">
        <v>100</v>
      </c>
      <c r="BG162" s="1">
        <v>100</v>
      </c>
      <c r="BH162" s="1">
        <v>100</v>
      </c>
    </row>
    <row r="163" spans="1:60" x14ac:dyDescent="0.25">
      <c r="A163">
        <v>150</v>
      </c>
      <c r="B163" s="1">
        <v>96.464587655718546</v>
      </c>
      <c r="C163" s="1">
        <v>94.353173132071191</v>
      </c>
      <c r="D163" s="1">
        <v>99.900323214082661</v>
      </c>
      <c r="E163" s="1">
        <v>113.79738422969976</v>
      </c>
      <c r="F163" s="1">
        <v>100</v>
      </c>
      <c r="G163" s="1">
        <v>100</v>
      </c>
      <c r="H163" s="1">
        <v>100.79779325216231</v>
      </c>
      <c r="I163" s="1">
        <v>87.662470960780851</v>
      </c>
      <c r="J163" s="1">
        <v>99.873960030431505</v>
      </c>
      <c r="K163" s="1">
        <v>105.48482724156537</v>
      </c>
      <c r="L163" s="1">
        <v>103.1424566864688</v>
      </c>
      <c r="M163" s="1">
        <v>99.132957541120291</v>
      </c>
      <c r="N163" s="1">
        <v>100</v>
      </c>
      <c r="O163" s="1">
        <v>100</v>
      </c>
      <c r="P163" s="1">
        <v>95.464468025919089</v>
      </c>
      <c r="Q163" s="1">
        <v>100</v>
      </c>
      <c r="R163" s="1">
        <v>98.539127000430625</v>
      </c>
      <c r="S163" s="1">
        <v>100</v>
      </c>
      <c r="T163" s="1">
        <v>106.90492192879</v>
      </c>
      <c r="U163" s="1">
        <v>98.778848255775031</v>
      </c>
      <c r="V163" s="1">
        <v>99.624815173649012</v>
      </c>
      <c r="W163" s="1">
        <v>100</v>
      </c>
      <c r="X163" s="1">
        <v>98.938308797866256</v>
      </c>
      <c r="Y163" s="1">
        <v>100</v>
      </c>
      <c r="Z163" s="1">
        <v>96.183395740639924</v>
      </c>
      <c r="AA163" s="1">
        <v>98.539127000430625</v>
      </c>
      <c r="AB163" s="1">
        <v>90.554104833905299</v>
      </c>
      <c r="AC163" s="1">
        <v>101.78077976073585</v>
      </c>
      <c r="AD163" s="1">
        <v>109.88587193387652</v>
      </c>
      <c r="AE163" s="1">
        <v>90.543035157452209</v>
      </c>
      <c r="AF163" s="1">
        <v>107.65025591769401</v>
      </c>
      <c r="AG163" s="1">
        <v>100</v>
      </c>
      <c r="AH163" s="1">
        <v>100</v>
      </c>
      <c r="AI163" s="1">
        <v>100</v>
      </c>
      <c r="AJ163" s="1">
        <v>100</v>
      </c>
      <c r="AK163" s="1">
        <v>93.775343307918618</v>
      </c>
      <c r="AL163" s="1">
        <v>101.1427408124101</v>
      </c>
      <c r="AM163" s="1">
        <v>104.80143646015682</v>
      </c>
      <c r="AN163" s="1">
        <v>106.2055873992188</v>
      </c>
      <c r="AO163" s="1">
        <v>96.158521043894254</v>
      </c>
      <c r="AP163" s="1">
        <v>100</v>
      </c>
      <c r="AQ163" s="1">
        <v>100</v>
      </c>
      <c r="AR163" s="1">
        <v>100.11536376468524</v>
      </c>
      <c r="AS163" s="1">
        <v>100</v>
      </c>
      <c r="AT163" s="1">
        <v>103.9036905263679</v>
      </c>
      <c r="AU163" s="1">
        <v>100</v>
      </c>
      <c r="AV163" s="1">
        <v>99.900323214082661</v>
      </c>
      <c r="AW163" s="1">
        <v>100</v>
      </c>
      <c r="AX163" s="1">
        <v>100</v>
      </c>
      <c r="AY163" s="1">
        <v>100</v>
      </c>
      <c r="AZ163" s="1">
        <v>100</v>
      </c>
      <c r="BA163" s="1">
        <v>100</v>
      </c>
      <c r="BB163" s="1">
        <v>100</v>
      </c>
      <c r="BC163" s="1">
        <v>100</v>
      </c>
      <c r="BD163" s="1">
        <v>100</v>
      </c>
      <c r="BE163" s="1">
        <v>100</v>
      </c>
      <c r="BF163" s="1">
        <v>100</v>
      </c>
      <c r="BG163" s="1">
        <v>100</v>
      </c>
      <c r="BH163" s="1">
        <v>100</v>
      </c>
    </row>
    <row r="164" spans="1:60" x14ac:dyDescent="0.25">
      <c r="A164">
        <v>151</v>
      </c>
      <c r="B164" s="1">
        <v>96.464587655718546</v>
      </c>
      <c r="C164" s="1">
        <v>94.353173132071191</v>
      </c>
      <c r="D164" s="1">
        <v>99.900323214082661</v>
      </c>
      <c r="E164" s="1">
        <v>113.79738422969976</v>
      </c>
      <c r="F164" s="1">
        <v>100</v>
      </c>
      <c r="G164" s="1">
        <v>100</v>
      </c>
      <c r="H164" s="1">
        <v>100.79779325216231</v>
      </c>
      <c r="I164" s="1">
        <v>87.662470960780851</v>
      </c>
      <c r="J164" s="1">
        <v>99.873960030431505</v>
      </c>
      <c r="K164" s="1">
        <v>105.48482724156537</v>
      </c>
      <c r="L164" s="1">
        <v>103.1424566864688</v>
      </c>
      <c r="M164" s="1">
        <v>99.132957541120291</v>
      </c>
      <c r="N164" s="1">
        <v>100</v>
      </c>
      <c r="O164" s="1">
        <v>100</v>
      </c>
      <c r="P164" s="1">
        <v>91.073735850599732</v>
      </c>
      <c r="Q164" s="1">
        <v>100</v>
      </c>
      <c r="R164" s="1">
        <v>98.539127000430625</v>
      </c>
      <c r="S164" s="1">
        <v>100</v>
      </c>
      <c r="T164" s="1">
        <v>106.90492192879</v>
      </c>
      <c r="U164" s="1">
        <v>98.778848255775031</v>
      </c>
      <c r="V164" s="1">
        <v>104.23639603650886</v>
      </c>
      <c r="W164" s="1">
        <v>100</v>
      </c>
      <c r="X164" s="1">
        <v>98.938308797866256</v>
      </c>
      <c r="Y164" s="1">
        <v>100</v>
      </c>
      <c r="Z164" s="1">
        <v>96.183395740639924</v>
      </c>
      <c r="AA164" s="1">
        <v>98.539127000430625</v>
      </c>
      <c r="AB164" s="1">
        <v>90.554104833905299</v>
      </c>
      <c r="AC164" s="1">
        <v>101.78077976073585</v>
      </c>
      <c r="AD164" s="1">
        <v>109.88587193387652</v>
      </c>
      <c r="AE164" s="1">
        <v>90.543035157452209</v>
      </c>
      <c r="AF164" s="1">
        <v>107.65025591769401</v>
      </c>
      <c r="AG164" s="1">
        <v>100</v>
      </c>
      <c r="AH164" s="1">
        <v>100</v>
      </c>
      <c r="AI164" s="1">
        <v>100</v>
      </c>
      <c r="AJ164" s="1">
        <v>100</v>
      </c>
      <c r="AK164" s="1">
        <v>93.775343307918618</v>
      </c>
      <c r="AL164" s="1">
        <v>101.1427408124101</v>
      </c>
      <c r="AM164" s="1">
        <v>109.18523029580156</v>
      </c>
      <c r="AN164" s="1">
        <v>106.2055873992188</v>
      </c>
      <c r="AO164" s="1">
        <v>96.158521043894254</v>
      </c>
      <c r="AP164" s="1">
        <v>100</v>
      </c>
      <c r="AQ164" s="1">
        <v>100</v>
      </c>
      <c r="AR164" s="1">
        <v>95.510721241499994</v>
      </c>
      <c r="AS164" s="1">
        <v>100</v>
      </c>
      <c r="AT164" s="1">
        <v>103.9036905263679</v>
      </c>
      <c r="AU164" s="1">
        <v>100</v>
      </c>
      <c r="AV164" s="1">
        <v>99.900323214082661</v>
      </c>
      <c r="AW164" s="1">
        <v>100</v>
      </c>
      <c r="AX164" s="1">
        <v>100</v>
      </c>
      <c r="AY164" s="1">
        <v>100</v>
      </c>
      <c r="AZ164" s="1">
        <v>100</v>
      </c>
      <c r="BA164" s="1">
        <v>100</v>
      </c>
      <c r="BB164" s="1">
        <v>100</v>
      </c>
      <c r="BC164" s="1">
        <v>100</v>
      </c>
      <c r="BD164" s="1">
        <v>100</v>
      </c>
      <c r="BE164" s="1">
        <v>100</v>
      </c>
      <c r="BF164" s="1">
        <v>100</v>
      </c>
      <c r="BG164" s="1">
        <v>100</v>
      </c>
      <c r="BH164" s="1">
        <v>100</v>
      </c>
    </row>
    <row r="165" spans="1:60" x14ac:dyDescent="0.25">
      <c r="A165">
        <v>152</v>
      </c>
      <c r="B165" s="1">
        <v>96.464587655718546</v>
      </c>
      <c r="C165" s="1">
        <v>94.353173132071191</v>
      </c>
      <c r="D165" s="1">
        <v>99.900323214082661</v>
      </c>
      <c r="E165" s="1">
        <v>113.79738422969976</v>
      </c>
      <c r="F165" s="1">
        <v>100</v>
      </c>
      <c r="G165" s="1">
        <v>100</v>
      </c>
      <c r="H165" s="1">
        <v>100.79779325216231</v>
      </c>
      <c r="I165" s="1">
        <v>87.662470960780851</v>
      </c>
      <c r="J165" s="1">
        <v>99.873960030431505</v>
      </c>
      <c r="K165" s="1">
        <v>105.48482724156537</v>
      </c>
      <c r="L165" s="1">
        <v>103.1424566864688</v>
      </c>
      <c r="M165" s="1">
        <v>99.132957541120291</v>
      </c>
      <c r="N165" s="1">
        <v>100</v>
      </c>
      <c r="O165" s="1">
        <v>100</v>
      </c>
      <c r="P165" s="1">
        <v>92.194002424598395</v>
      </c>
      <c r="Q165" s="1">
        <v>100</v>
      </c>
      <c r="R165" s="1">
        <v>98.539127000430625</v>
      </c>
      <c r="S165" s="1">
        <v>100</v>
      </c>
      <c r="T165" s="1">
        <v>106.90492192879</v>
      </c>
      <c r="U165" s="1">
        <v>98.778848255775031</v>
      </c>
      <c r="V165" s="1">
        <v>103.16752409014408</v>
      </c>
      <c r="W165" s="1">
        <v>100</v>
      </c>
      <c r="X165" s="1">
        <v>98.938308797866256</v>
      </c>
      <c r="Y165" s="1">
        <v>100</v>
      </c>
      <c r="Z165" s="1">
        <v>96.183395740639924</v>
      </c>
      <c r="AA165" s="1">
        <v>98.539127000430625</v>
      </c>
      <c r="AB165" s="1">
        <v>90.554104833905299</v>
      </c>
      <c r="AC165" s="1">
        <v>101.78077976073585</v>
      </c>
      <c r="AD165" s="1">
        <v>109.88587193387652</v>
      </c>
      <c r="AE165" s="1">
        <v>90.543035157452209</v>
      </c>
      <c r="AF165" s="1">
        <v>107.65025591769401</v>
      </c>
      <c r="AG165" s="1">
        <v>100</v>
      </c>
      <c r="AH165" s="1">
        <v>100</v>
      </c>
      <c r="AI165" s="1">
        <v>100</v>
      </c>
      <c r="AJ165" s="1">
        <v>100</v>
      </c>
      <c r="AK165" s="1">
        <v>93.775343307918618</v>
      </c>
      <c r="AL165" s="1">
        <v>101.1427408124101</v>
      </c>
      <c r="AM165" s="1">
        <v>108.06561148645895</v>
      </c>
      <c r="AN165" s="1">
        <v>106.2055873992188</v>
      </c>
      <c r="AO165" s="1">
        <v>96.158521043894254</v>
      </c>
      <c r="AP165" s="1">
        <v>100</v>
      </c>
      <c r="AQ165" s="1">
        <v>100</v>
      </c>
      <c r="AR165" s="1">
        <v>96.578945423208708</v>
      </c>
      <c r="AS165" s="1">
        <v>100</v>
      </c>
      <c r="AT165" s="1">
        <v>103.9036905263679</v>
      </c>
      <c r="AU165" s="1">
        <v>100</v>
      </c>
      <c r="AV165" s="1">
        <v>99.900323214082661</v>
      </c>
      <c r="AW165" s="1">
        <v>100</v>
      </c>
      <c r="AX165" s="1">
        <v>100</v>
      </c>
      <c r="AY165" s="1">
        <v>100</v>
      </c>
      <c r="AZ165" s="1">
        <v>100</v>
      </c>
      <c r="BA165" s="1">
        <v>100</v>
      </c>
      <c r="BB165" s="1">
        <v>100</v>
      </c>
      <c r="BC165" s="1">
        <v>100</v>
      </c>
      <c r="BD165" s="1">
        <v>100</v>
      </c>
      <c r="BE165" s="1">
        <v>100</v>
      </c>
      <c r="BF165" s="1">
        <v>100</v>
      </c>
      <c r="BG165" s="1">
        <v>100</v>
      </c>
      <c r="BH165" s="1">
        <v>100</v>
      </c>
    </row>
    <row r="166" spans="1:60" x14ac:dyDescent="0.25">
      <c r="A166">
        <v>153</v>
      </c>
      <c r="B166" s="1">
        <v>96.464587655718546</v>
      </c>
      <c r="C166" s="1">
        <v>94.353173132071191</v>
      </c>
      <c r="D166" s="1">
        <v>99.900323214082661</v>
      </c>
      <c r="E166" s="1">
        <v>112.62294255947666</v>
      </c>
      <c r="F166" s="1">
        <v>100</v>
      </c>
      <c r="G166" s="1">
        <v>100</v>
      </c>
      <c r="H166" s="1">
        <v>100.79779325216231</v>
      </c>
      <c r="I166" s="1">
        <v>88.885368379364024</v>
      </c>
      <c r="J166" s="1">
        <v>99.873960030431505</v>
      </c>
      <c r="K166" s="1">
        <v>106.50110808733159</v>
      </c>
      <c r="L166" s="1">
        <v>103.1424566864688</v>
      </c>
      <c r="M166" s="1">
        <v>99.132957541120291</v>
      </c>
      <c r="N166" s="1">
        <v>100</v>
      </c>
      <c r="O166" s="1">
        <v>100</v>
      </c>
      <c r="P166" s="1">
        <v>92.194002424598395</v>
      </c>
      <c r="Q166" s="1">
        <v>100</v>
      </c>
      <c r="R166" s="1">
        <v>98.539127000430625</v>
      </c>
      <c r="S166" s="1">
        <v>100</v>
      </c>
      <c r="T166" s="1">
        <v>106.90492192879</v>
      </c>
      <c r="U166" s="1">
        <v>98.778848255775031</v>
      </c>
      <c r="V166" s="1">
        <v>102.1027874960178</v>
      </c>
      <c r="W166" s="1">
        <v>100</v>
      </c>
      <c r="X166" s="1">
        <v>98.938308797866256</v>
      </c>
      <c r="Y166" s="1">
        <v>100</v>
      </c>
      <c r="Z166" s="1">
        <v>96.183395740639924</v>
      </c>
      <c r="AA166" s="1">
        <v>98.539127000430625</v>
      </c>
      <c r="AB166" s="1">
        <v>90.554104833905299</v>
      </c>
      <c r="AC166" s="1">
        <v>101.78077976073585</v>
      </c>
      <c r="AD166" s="1">
        <v>109.88587193387652</v>
      </c>
      <c r="AE166" s="1">
        <v>90.543035157452209</v>
      </c>
      <c r="AF166" s="1">
        <v>107.65025591769401</v>
      </c>
      <c r="AG166" s="1">
        <v>100</v>
      </c>
      <c r="AH166" s="1">
        <v>100</v>
      </c>
      <c r="AI166" s="1">
        <v>100</v>
      </c>
      <c r="AJ166" s="1">
        <v>100</v>
      </c>
      <c r="AK166" s="1">
        <v>93.775343307918618</v>
      </c>
      <c r="AL166" s="1">
        <v>101.1427408124101</v>
      </c>
      <c r="AM166" s="1">
        <v>108.06561148645895</v>
      </c>
      <c r="AN166" s="1">
        <v>106.2055873992188</v>
      </c>
      <c r="AO166" s="1">
        <v>96.158521043894254</v>
      </c>
      <c r="AP166" s="1">
        <v>100</v>
      </c>
      <c r="AQ166" s="1">
        <v>100</v>
      </c>
      <c r="AR166" s="1">
        <v>96.578945423208708</v>
      </c>
      <c r="AS166" s="1">
        <v>100</v>
      </c>
      <c r="AT166" s="1">
        <v>103.9036905263679</v>
      </c>
      <c r="AU166" s="1">
        <v>100</v>
      </c>
      <c r="AV166" s="1">
        <v>99.900323214082661</v>
      </c>
      <c r="AW166" s="1">
        <v>100</v>
      </c>
      <c r="AX166" s="1">
        <v>100</v>
      </c>
      <c r="AY166" s="1">
        <v>100</v>
      </c>
      <c r="AZ166" s="1">
        <v>100</v>
      </c>
      <c r="BA166" s="1">
        <v>100</v>
      </c>
      <c r="BB166" s="1">
        <v>100</v>
      </c>
      <c r="BC166" s="1">
        <v>100</v>
      </c>
      <c r="BD166" s="1">
        <v>100</v>
      </c>
      <c r="BE166" s="1">
        <v>100</v>
      </c>
      <c r="BF166" s="1">
        <v>100</v>
      </c>
      <c r="BG166" s="1">
        <v>100</v>
      </c>
      <c r="BH166" s="1">
        <v>100</v>
      </c>
    </row>
    <row r="167" spans="1:60" x14ac:dyDescent="0.25">
      <c r="A167">
        <v>154</v>
      </c>
      <c r="B167" s="1">
        <v>96.464587655718546</v>
      </c>
      <c r="C167" s="1">
        <v>94.353173132071191</v>
      </c>
      <c r="D167" s="1">
        <v>99.900323214082661</v>
      </c>
      <c r="E167" s="1">
        <v>111.23294693469907</v>
      </c>
      <c r="F167" s="1">
        <v>100</v>
      </c>
      <c r="G167" s="1">
        <v>100</v>
      </c>
      <c r="H167" s="1">
        <v>100.79779325216231</v>
      </c>
      <c r="I167" s="1">
        <v>90.329910721770588</v>
      </c>
      <c r="J167" s="1">
        <v>99.873960030431505</v>
      </c>
      <c r="K167" s="1">
        <v>107.70671693544901</v>
      </c>
      <c r="L167" s="1">
        <v>103.1424566864688</v>
      </c>
      <c r="M167" s="1">
        <v>99.132957541120291</v>
      </c>
      <c r="N167" s="1">
        <v>100</v>
      </c>
      <c r="O167" s="1">
        <v>100</v>
      </c>
      <c r="P167" s="1">
        <v>92.194002424598395</v>
      </c>
      <c r="Q167" s="1">
        <v>100</v>
      </c>
      <c r="R167" s="1">
        <v>98.539127000430625</v>
      </c>
      <c r="S167" s="1">
        <v>100</v>
      </c>
      <c r="T167" s="1">
        <v>106.90492192879</v>
      </c>
      <c r="U167" s="1">
        <v>98.778848255775031</v>
      </c>
      <c r="V167" s="1">
        <v>100.84263193027141</v>
      </c>
      <c r="W167" s="1">
        <v>100</v>
      </c>
      <c r="X167" s="1">
        <v>98.938308797866256</v>
      </c>
      <c r="Y167" s="1">
        <v>100</v>
      </c>
      <c r="Z167" s="1">
        <v>96.183395740639924</v>
      </c>
      <c r="AA167" s="1">
        <v>98.539127000430625</v>
      </c>
      <c r="AB167" s="1">
        <v>90.554104833905299</v>
      </c>
      <c r="AC167" s="1">
        <v>101.78077976073585</v>
      </c>
      <c r="AD167" s="1">
        <v>109.88587193387652</v>
      </c>
      <c r="AE167" s="1">
        <v>90.543035157452209</v>
      </c>
      <c r="AF167" s="1">
        <v>107.65025591769401</v>
      </c>
      <c r="AG167" s="1">
        <v>100</v>
      </c>
      <c r="AH167" s="1">
        <v>100</v>
      </c>
      <c r="AI167" s="1">
        <v>100</v>
      </c>
      <c r="AJ167" s="1">
        <v>100</v>
      </c>
      <c r="AK167" s="1">
        <v>93.775343307918618</v>
      </c>
      <c r="AL167" s="1">
        <v>101.1427408124101</v>
      </c>
      <c r="AM167" s="1">
        <v>108.06561148645895</v>
      </c>
      <c r="AN167" s="1">
        <v>106.2055873992188</v>
      </c>
      <c r="AO167" s="1">
        <v>96.158521043894254</v>
      </c>
      <c r="AP167" s="1">
        <v>100</v>
      </c>
      <c r="AQ167" s="1">
        <v>100</v>
      </c>
      <c r="AR167" s="1">
        <v>96.578945423208708</v>
      </c>
      <c r="AS167" s="1">
        <v>100</v>
      </c>
      <c r="AT167" s="1">
        <v>103.9036905263679</v>
      </c>
      <c r="AU167" s="1">
        <v>100</v>
      </c>
      <c r="AV167" s="1">
        <v>99.900323214082661</v>
      </c>
      <c r="AW167" s="1">
        <v>100</v>
      </c>
      <c r="AX167" s="1">
        <v>100</v>
      </c>
      <c r="AY167" s="1">
        <v>100</v>
      </c>
      <c r="AZ167" s="1">
        <v>100</v>
      </c>
      <c r="BA167" s="1">
        <v>100</v>
      </c>
      <c r="BB167" s="1">
        <v>100</v>
      </c>
      <c r="BC167" s="1">
        <v>100</v>
      </c>
      <c r="BD167" s="1">
        <v>100</v>
      </c>
      <c r="BE167" s="1">
        <v>100</v>
      </c>
      <c r="BF167" s="1">
        <v>100</v>
      </c>
      <c r="BG167" s="1">
        <v>100</v>
      </c>
      <c r="BH167" s="1">
        <v>100</v>
      </c>
    </row>
    <row r="168" spans="1:60" x14ac:dyDescent="0.25">
      <c r="A168">
        <v>155</v>
      </c>
      <c r="B168" s="1">
        <v>96.464587655718546</v>
      </c>
      <c r="C168" s="1">
        <v>94.353173132071191</v>
      </c>
      <c r="D168" s="1">
        <v>99.900323214082661</v>
      </c>
      <c r="E168" s="1">
        <v>111.23294693469907</v>
      </c>
      <c r="F168" s="1">
        <v>100</v>
      </c>
      <c r="G168" s="1">
        <v>100</v>
      </c>
      <c r="H168" s="1">
        <v>100.79779325216231</v>
      </c>
      <c r="I168" s="1">
        <v>90.281272697397114</v>
      </c>
      <c r="J168" s="1">
        <v>99.873960030431505</v>
      </c>
      <c r="K168" s="1">
        <v>107.64872239209528</v>
      </c>
      <c r="L168" s="1">
        <v>103.1424566864688</v>
      </c>
      <c r="M168" s="1">
        <v>99.132957541120291</v>
      </c>
      <c r="N168" s="1">
        <v>100</v>
      </c>
      <c r="O168" s="1">
        <v>100</v>
      </c>
      <c r="P168" s="1">
        <v>92.194002424598395</v>
      </c>
      <c r="Q168" s="1">
        <v>100</v>
      </c>
      <c r="R168" s="1">
        <v>98.539127000430625</v>
      </c>
      <c r="S168" s="1">
        <v>100</v>
      </c>
      <c r="T168" s="1">
        <v>106.90492192879</v>
      </c>
      <c r="U168" s="1">
        <v>98.778848255775031</v>
      </c>
      <c r="V168" s="1">
        <v>100.89602743120966</v>
      </c>
      <c r="W168" s="1">
        <v>100</v>
      </c>
      <c r="X168" s="1">
        <v>98.938308797866256</v>
      </c>
      <c r="Y168" s="1">
        <v>100</v>
      </c>
      <c r="Z168" s="1">
        <v>96.183395740639924</v>
      </c>
      <c r="AA168" s="1">
        <v>98.539127000430625</v>
      </c>
      <c r="AB168" s="1">
        <v>90.554104833905299</v>
      </c>
      <c r="AC168" s="1">
        <v>101.78077976073585</v>
      </c>
      <c r="AD168" s="1">
        <v>109.88587193387652</v>
      </c>
      <c r="AE168" s="1">
        <v>90.543035157452209</v>
      </c>
      <c r="AF168" s="1">
        <v>107.65025591769401</v>
      </c>
      <c r="AG168" s="1">
        <v>100</v>
      </c>
      <c r="AH168" s="1">
        <v>100</v>
      </c>
      <c r="AI168" s="1">
        <v>100</v>
      </c>
      <c r="AJ168" s="1">
        <v>100</v>
      </c>
      <c r="AK168" s="1">
        <v>93.775343307918618</v>
      </c>
      <c r="AL168" s="1">
        <v>101.19597787919905</v>
      </c>
      <c r="AM168" s="1">
        <v>108.06561148645895</v>
      </c>
      <c r="AN168" s="1">
        <v>106.2055873992188</v>
      </c>
      <c r="AO168" s="1">
        <v>96.158521043894254</v>
      </c>
      <c r="AP168" s="1">
        <v>100</v>
      </c>
      <c r="AQ168" s="1">
        <v>100</v>
      </c>
      <c r="AR168" s="1">
        <v>96.578945423208708</v>
      </c>
      <c r="AS168" s="1">
        <v>100</v>
      </c>
      <c r="AT168" s="1">
        <v>103.9036905263679</v>
      </c>
      <c r="AU168" s="1">
        <v>100</v>
      </c>
      <c r="AV168" s="1">
        <v>99.900323214082661</v>
      </c>
      <c r="AW168" s="1">
        <v>100</v>
      </c>
      <c r="AX168" s="1">
        <v>100</v>
      </c>
      <c r="AY168" s="1">
        <v>100</v>
      </c>
      <c r="AZ168" s="1">
        <v>100</v>
      </c>
      <c r="BA168" s="1">
        <v>100</v>
      </c>
      <c r="BB168" s="1">
        <v>100</v>
      </c>
      <c r="BC168" s="1">
        <v>100</v>
      </c>
      <c r="BD168" s="1">
        <v>100</v>
      </c>
      <c r="BE168" s="1">
        <v>100</v>
      </c>
      <c r="BF168" s="1">
        <v>100</v>
      </c>
      <c r="BG168" s="1">
        <v>100</v>
      </c>
      <c r="BH168" s="1">
        <v>100</v>
      </c>
    </row>
    <row r="169" spans="1:60" x14ac:dyDescent="0.25">
      <c r="A169">
        <v>156</v>
      </c>
      <c r="B169" s="1">
        <v>96.464587655718546</v>
      </c>
      <c r="C169" s="1">
        <v>94.353173132071191</v>
      </c>
      <c r="D169" s="1">
        <v>99.900323214082661</v>
      </c>
      <c r="E169" s="1">
        <v>111.23294693469907</v>
      </c>
      <c r="F169" s="1">
        <v>100</v>
      </c>
      <c r="G169" s="1">
        <v>100</v>
      </c>
      <c r="H169" s="1">
        <v>100.79779325216231</v>
      </c>
      <c r="I169" s="1">
        <v>90.401037594332138</v>
      </c>
      <c r="J169" s="1">
        <v>99.873960030431505</v>
      </c>
      <c r="K169" s="1">
        <v>107.74916508272364</v>
      </c>
      <c r="L169" s="1">
        <v>103.1424566864688</v>
      </c>
      <c r="M169" s="1">
        <v>99.132957541120291</v>
      </c>
      <c r="N169" s="1">
        <v>100</v>
      </c>
      <c r="O169" s="1">
        <v>100</v>
      </c>
      <c r="P169" s="1">
        <v>92.194002424598395</v>
      </c>
      <c r="Q169" s="1">
        <v>100</v>
      </c>
      <c r="R169" s="1">
        <v>98.539127000430625</v>
      </c>
      <c r="S169" s="1">
        <v>100</v>
      </c>
      <c r="T169" s="1">
        <v>106.90492192879</v>
      </c>
      <c r="U169" s="1">
        <v>98.778848255775031</v>
      </c>
      <c r="V169" s="1">
        <v>100.78608705647179</v>
      </c>
      <c r="W169" s="1">
        <v>100</v>
      </c>
      <c r="X169" s="1">
        <v>98.938308797866256</v>
      </c>
      <c r="Y169" s="1">
        <v>100</v>
      </c>
      <c r="Z169" s="1">
        <v>96.183395740639924</v>
      </c>
      <c r="AA169" s="1">
        <v>98.539127000430625</v>
      </c>
      <c r="AB169" s="1">
        <v>90.554104833905299</v>
      </c>
      <c r="AC169" s="1">
        <v>101.78077976073585</v>
      </c>
      <c r="AD169" s="1">
        <v>109.88587193387652</v>
      </c>
      <c r="AE169" s="1">
        <v>90.543035157452209</v>
      </c>
      <c r="AF169" s="1">
        <v>107.65025591769401</v>
      </c>
      <c r="AG169" s="1">
        <v>100</v>
      </c>
      <c r="AH169" s="1">
        <v>100</v>
      </c>
      <c r="AI169" s="1">
        <v>100</v>
      </c>
      <c r="AJ169" s="1">
        <v>100</v>
      </c>
      <c r="AK169" s="1">
        <v>93.775343307918618</v>
      </c>
      <c r="AL169" s="1">
        <v>101.08571066637354</v>
      </c>
      <c r="AM169" s="1">
        <v>108.06561148645895</v>
      </c>
      <c r="AN169" s="1">
        <v>106.2055873992188</v>
      </c>
      <c r="AO169" s="1">
        <v>96.158521043894254</v>
      </c>
      <c r="AP169" s="1">
        <v>100</v>
      </c>
      <c r="AQ169" s="1">
        <v>100</v>
      </c>
      <c r="AR169" s="1">
        <v>96.578945423208708</v>
      </c>
      <c r="AS169" s="1">
        <v>100</v>
      </c>
      <c r="AT169" s="1">
        <v>103.9036905263679</v>
      </c>
      <c r="AU169" s="1">
        <v>100</v>
      </c>
      <c r="AV169" s="1">
        <v>99.900323214082661</v>
      </c>
      <c r="AW169" s="1">
        <v>100</v>
      </c>
      <c r="AX169" s="1">
        <v>100</v>
      </c>
      <c r="AY169" s="1">
        <v>100</v>
      </c>
      <c r="AZ169" s="1">
        <v>100</v>
      </c>
      <c r="BA169" s="1">
        <v>100</v>
      </c>
      <c r="BB169" s="1">
        <v>100</v>
      </c>
      <c r="BC169" s="1">
        <v>100</v>
      </c>
      <c r="BD169" s="1">
        <v>100</v>
      </c>
      <c r="BE169" s="1">
        <v>100</v>
      </c>
      <c r="BF169" s="1">
        <v>100</v>
      </c>
      <c r="BG169" s="1">
        <v>100</v>
      </c>
      <c r="BH169" s="1">
        <v>100</v>
      </c>
    </row>
    <row r="170" spans="1:60" x14ac:dyDescent="0.25">
      <c r="A170">
        <v>157</v>
      </c>
      <c r="B170" s="1">
        <v>96.464587655718546</v>
      </c>
      <c r="C170" s="1">
        <v>94.353173132071191</v>
      </c>
      <c r="D170" s="1">
        <v>99.900323214082661</v>
      </c>
      <c r="E170" s="1">
        <v>111.02453393533293</v>
      </c>
      <c r="F170" s="1">
        <v>100</v>
      </c>
      <c r="G170" s="1">
        <v>100</v>
      </c>
      <c r="H170" s="1">
        <v>100.79779325216231</v>
      </c>
      <c r="I170" s="1">
        <v>90.401037594332138</v>
      </c>
      <c r="J170" s="1">
        <v>99.873960030431505</v>
      </c>
      <c r="K170" s="1">
        <v>107.74916508272364</v>
      </c>
      <c r="L170" s="1">
        <v>103.1424566864688</v>
      </c>
      <c r="M170" s="1">
        <v>99.132957541120291</v>
      </c>
      <c r="N170" s="1">
        <v>100</v>
      </c>
      <c r="O170" s="1">
        <v>100</v>
      </c>
      <c r="P170" s="1">
        <v>92.194002424598395</v>
      </c>
      <c r="Q170" s="1">
        <v>100</v>
      </c>
      <c r="R170" s="1">
        <v>98.539127000430625</v>
      </c>
      <c r="S170" s="1">
        <v>100</v>
      </c>
      <c r="T170" s="1">
        <v>106.90492192879</v>
      </c>
      <c r="U170" s="1">
        <v>98.778848255775031</v>
      </c>
      <c r="V170" s="1">
        <v>100.78608705647179</v>
      </c>
      <c r="W170" s="1">
        <v>100</v>
      </c>
      <c r="X170" s="1">
        <v>98.938308797866256</v>
      </c>
      <c r="Y170" s="1">
        <v>100</v>
      </c>
      <c r="Z170" s="1">
        <v>96.183395740639924</v>
      </c>
      <c r="AA170" s="1">
        <v>98.539127000430625</v>
      </c>
      <c r="AB170" s="1">
        <v>90.554104833905299</v>
      </c>
      <c r="AC170" s="1">
        <v>101.78077976073585</v>
      </c>
      <c r="AD170" s="1">
        <v>109.88587193387652</v>
      </c>
      <c r="AE170" s="1">
        <v>90.373388069526399</v>
      </c>
      <c r="AF170" s="1">
        <v>107.65025591769401</v>
      </c>
      <c r="AG170" s="1">
        <v>100</v>
      </c>
      <c r="AH170" s="1">
        <v>100</v>
      </c>
      <c r="AI170" s="1">
        <v>100</v>
      </c>
      <c r="AJ170" s="1">
        <v>100</v>
      </c>
      <c r="AK170" s="1">
        <v>93.966745188693196</v>
      </c>
      <c r="AL170" s="1">
        <v>101.08571066637354</v>
      </c>
      <c r="AM170" s="1">
        <v>108.06561148645895</v>
      </c>
      <c r="AN170" s="1">
        <v>106.2055873992188</v>
      </c>
      <c r="AO170" s="1">
        <v>96.345179250411633</v>
      </c>
      <c r="AP170" s="1">
        <v>100</v>
      </c>
      <c r="AQ170" s="1">
        <v>100</v>
      </c>
      <c r="AR170" s="1">
        <v>96.578945423208708</v>
      </c>
      <c r="AS170" s="1">
        <v>100</v>
      </c>
      <c r="AT170" s="1">
        <v>103.9036905263679</v>
      </c>
      <c r="AU170" s="1">
        <v>100</v>
      </c>
      <c r="AV170" s="1">
        <v>99.900323214082661</v>
      </c>
      <c r="AW170" s="1">
        <v>100</v>
      </c>
      <c r="AX170" s="1">
        <v>100</v>
      </c>
      <c r="AY170" s="1">
        <v>100</v>
      </c>
      <c r="AZ170" s="1">
        <v>100</v>
      </c>
      <c r="BA170" s="1">
        <v>100</v>
      </c>
      <c r="BB170" s="1">
        <v>100</v>
      </c>
      <c r="BC170" s="1">
        <v>100</v>
      </c>
      <c r="BD170" s="1">
        <v>100</v>
      </c>
      <c r="BE170" s="1">
        <v>100</v>
      </c>
      <c r="BF170" s="1">
        <v>100</v>
      </c>
      <c r="BG170" s="1">
        <v>100</v>
      </c>
      <c r="BH170" s="1">
        <v>100</v>
      </c>
    </row>
    <row r="171" spans="1:60" x14ac:dyDescent="0.25">
      <c r="A171">
        <v>158</v>
      </c>
      <c r="B171" s="1">
        <v>96.464587655718546</v>
      </c>
      <c r="C171" s="1">
        <v>94.353173132071191</v>
      </c>
      <c r="D171" s="1">
        <v>99.900323214082661</v>
      </c>
      <c r="E171" s="1">
        <v>111.86397186699089</v>
      </c>
      <c r="F171" s="1">
        <v>100</v>
      </c>
      <c r="G171" s="1">
        <v>100</v>
      </c>
      <c r="H171" s="1">
        <v>100.79779325216231</v>
      </c>
      <c r="I171" s="1">
        <v>90.401037594332138</v>
      </c>
      <c r="J171" s="1">
        <v>99.873960030431505</v>
      </c>
      <c r="K171" s="1">
        <v>107.74916508272364</v>
      </c>
      <c r="L171" s="1">
        <v>103.1424566864688</v>
      </c>
      <c r="M171" s="1">
        <v>99.132957541120291</v>
      </c>
      <c r="N171" s="1">
        <v>100</v>
      </c>
      <c r="O171" s="1">
        <v>100</v>
      </c>
      <c r="P171" s="1">
        <v>92.194002424598395</v>
      </c>
      <c r="Q171" s="1">
        <v>100</v>
      </c>
      <c r="R171" s="1">
        <v>98.539127000430625</v>
      </c>
      <c r="S171" s="1">
        <v>100</v>
      </c>
      <c r="T171" s="1">
        <v>106.90492192879</v>
      </c>
      <c r="U171" s="1">
        <v>98.778848255775031</v>
      </c>
      <c r="V171" s="1">
        <v>100.78608705647179</v>
      </c>
      <c r="W171" s="1">
        <v>100</v>
      </c>
      <c r="X171" s="1">
        <v>98.938308797866256</v>
      </c>
      <c r="Y171" s="1">
        <v>100</v>
      </c>
      <c r="Z171" s="1">
        <v>96.183395740639924</v>
      </c>
      <c r="AA171" s="1">
        <v>98.539127000430625</v>
      </c>
      <c r="AB171" s="1">
        <v>90.554104833905299</v>
      </c>
      <c r="AC171" s="1">
        <v>101.78077976073585</v>
      </c>
      <c r="AD171" s="1">
        <v>109.88587193387652</v>
      </c>
      <c r="AE171" s="1">
        <v>91.404645247339246</v>
      </c>
      <c r="AF171" s="1">
        <v>107.65025591769401</v>
      </c>
      <c r="AG171" s="1">
        <v>100</v>
      </c>
      <c r="AH171" s="1">
        <v>100</v>
      </c>
      <c r="AI171" s="1">
        <v>100</v>
      </c>
      <c r="AJ171" s="1">
        <v>100</v>
      </c>
      <c r="AK171" s="1">
        <v>93.043087193034467</v>
      </c>
      <c r="AL171" s="1">
        <v>101.08571066637354</v>
      </c>
      <c r="AM171" s="1">
        <v>108.06561148645895</v>
      </c>
      <c r="AN171" s="1">
        <v>106.2055873992188</v>
      </c>
      <c r="AO171" s="1">
        <v>95.398142136599546</v>
      </c>
      <c r="AP171" s="1">
        <v>100</v>
      </c>
      <c r="AQ171" s="1">
        <v>100</v>
      </c>
      <c r="AR171" s="1">
        <v>96.578945423208708</v>
      </c>
      <c r="AS171" s="1">
        <v>100</v>
      </c>
      <c r="AT171" s="1">
        <v>103.9036905263679</v>
      </c>
      <c r="AU171" s="1">
        <v>100</v>
      </c>
      <c r="AV171" s="1">
        <v>99.900323214082661</v>
      </c>
      <c r="AW171" s="1">
        <v>100</v>
      </c>
      <c r="AX171" s="1">
        <v>100</v>
      </c>
      <c r="AY171" s="1">
        <v>100</v>
      </c>
      <c r="AZ171" s="1">
        <v>100</v>
      </c>
      <c r="BA171" s="1">
        <v>100</v>
      </c>
      <c r="BB171" s="1">
        <v>100</v>
      </c>
      <c r="BC171" s="1">
        <v>100</v>
      </c>
      <c r="BD171" s="1">
        <v>100</v>
      </c>
      <c r="BE171" s="1">
        <v>100</v>
      </c>
      <c r="BF171" s="1">
        <v>100</v>
      </c>
      <c r="BG171" s="1">
        <v>100</v>
      </c>
      <c r="BH171" s="1">
        <v>100</v>
      </c>
    </row>
    <row r="172" spans="1:60" x14ac:dyDescent="0.25">
      <c r="A172">
        <v>159</v>
      </c>
      <c r="B172" s="1">
        <v>96.464587655718546</v>
      </c>
      <c r="C172" s="1">
        <v>94.353173132071191</v>
      </c>
      <c r="D172" s="1">
        <v>99.900323214082661</v>
      </c>
      <c r="E172" s="1">
        <v>111.86397186699089</v>
      </c>
      <c r="F172" s="1">
        <v>100</v>
      </c>
      <c r="G172" s="1">
        <v>100</v>
      </c>
      <c r="H172" s="1">
        <v>100.79779325216231</v>
      </c>
      <c r="I172" s="1">
        <v>90.401037594332138</v>
      </c>
      <c r="J172" s="1">
        <v>99.873960030431505</v>
      </c>
      <c r="K172" s="1">
        <v>107.74916508272364</v>
      </c>
      <c r="L172" s="1">
        <v>101.88695123717397</v>
      </c>
      <c r="M172" s="1">
        <v>99.132957541120291</v>
      </c>
      <c r="N172" s="1">
        <v>100</v>
      </c>
      <c r="O172" s="1">
        <v>100</v>
      </c>
      <c r="P172" s="1">
        <v>92.194002424598395</v>
      </c>
      <c r="Q172" s="1">
        <v>100</v>
      </c>
      <c r="R172" s="1">
        <v>98.539127000430625</v>
      </c>
      <c r="S172" s="1">
        <v>100</v>
      </c>
      <c r="T172" s="1">
        <v>106.90492192879</v>
      </c>
      <c r="U172" s="1">
        <v>98.778848255775031</v>
      </c>
      <c r="V172" s="1">
        <v>102.01286307430773</v>
      </c>
      <c r="W172" s="1">
        <v>100</v>
      </c>
      <c r="X172" s="1">
        <v>98.938308797866256</v>
      </c>
      <c r="Y172" s="1">
        <v>100</v>
      </c>
      <c r="Z172" s="1">
        <v>96.183395740639924</v>
      </c>
      <c r="AA172" s="1">
        <v>98.539127000430625</v>
      </c>
      <c r="AB172" s="1">
        <v>90.554104833905299</v>
      </c>
      <c r="AC172" s="1">
        <v>101.78077976073585</v>
      </c>
      <c r="AD172" s="1">
        <v>109.88587193387652</v>
      </c>
      <c r="AE172" s="1">
        <v>91.404645247339246</v>
      </c>
      <c r="AF172" s="1">
        <v>107.65025591769401</v>
      </c>
      <c r="AG172" s="1">
        <v>100</v>
      </c>
      <c r="AH172" s="1">
        <v>100</v>
      </c>
      <c r="AI172" s="1">
        <v>100</v>
      </c>
      <c r="AJ172" s="1">
        <v>100</v>
      </c>
      <c r="AK172" s="1">
        <v>93.043087193034467</v>
      </c>
      <c r="AL172" s="1">
        <v>101.08571066637354</v>
      </c>
      <c r="AM172" s="1">
        <v>108.06561148645895</v>
      </c>
      <c r="AN172" s="1">
        <v>106.2055873992188</v>
      </c>
      <c r="AO172" s="1">
        <v>94.236904648634834</v>
      </c>
      <c r="AP172" s="1">
        <v>100</v>
      </c>
      <c r="AQ172" s="1">
        <v>100</v>
      </c>
      <c r="AR172" s="1">
        <v>96.578945423208708</v>
      </c>
      <c r="AS172" s="1">
        <v>100</v>
      </c>
      <c r="AT172" s="1">
        <v>105.09365744579149</v>
      </c>
      <c r="AU172" s="1">
        <v>100</v>
      </c>
      <c r="AV172" s="1">
        <v>99.900323214082661</v>
      </c>
      <c r="AW172" s="1">
        <v>100</v>
      </c>
      <c r="AX172" s="1">
        <v>100</v>
      </c>
      <c r="AY172" s="1">
        <v>100</v>
      </c>
      <c r="AZ172" s="1">
        <v>100</v>
      </c>
      <c r="BA172" s="1">
        <v>100</v>
      </c>
      <c r="BB172" s="1">
        <v>100</v>
      </c>
      <c r="BC172" s="1">
        <v>100</v>
      </c>
      <c r="BD172" s="1">
        <v>100</v>
      </c>
      <c r="BE172" s="1">
        <v>100</v>
      </c>
      <c r="BF172" s="1">
        <v>100</v>
      </c>
      <c r="BG172" s="1">
        <v>100</v>
      </c>
      <c r="BH172" s="1">
        <v>100</v>
      </c>
    </row>
    <row r="173" spans="1:60" x14ac:dyDescent="0.25">
      <c r="A173">
        <v>160</v>
      </c>
      <c r="B173" s="1">
        <v>96.464587655718546</v>
      </c>
      <c r="C173" s="1">
        <v>94.353173132071191</v>
      </c>
      <c r="D173" s="1">
        <v>99.900323214082661</v>
      </c>
      <c r="E173" s="1">
        <v>111.86397186699089</v>
      </c>
      <c r="F173" s="1">
        <v>100</v>
      </c>
      <c r="G173" s="1">
        <v>100</v>
      </c>
      <c r="H173" s="1">
        <v>100.79779325216231</v>
      </c>
      <c r="I173" s="1">
        <v>90.401037594332138</v>
      </c>
      <c r="J173" s="1">
        <v>99.873960030431505</v>
      </c>
      <c r="K173" s="1">
        <v>107.74916508272364</v>
      </c>
      <c r="L173" s="1">
        <v>102.21279749312072</v>
      </c>
      <c r="M173" s="1">
        <v>99.132957541120291</v>
      </c>
      <c r="N173" s="1">
        <v>100</v>
      </c>
      <c r="O173" s="1">
        <v>100</v>
      </c>
      <c r="P173" s="1">
        <v>92.194002424598395</v>
      </c>
      <c r="Q173" s="1">
        <v>100</v>
      </c>
      <c r="R173" s="1">
        <v>98.539127000430625</v>
      </c>
      <c r="S173" s="1">
        <v>100</v>
      </c>
      <c r="T173" s="1">
        <v>106.90492192879</v>
      </c>
      <c r="U173" s="1">
        <v>98.778848255775031</v>
      </c>
      <c r="V173" s="1">
        <v>101.67883473847651</v>
      </c>
      <c r="W173" s="1">
        <v>100</v>
      </c>
      <c r="X173" s="1">
        <v>98.938308797866256</v>
      </c>
      <c r="Y173" s="1">
        <v>100</v>
      </c>
      <c r="Z173" s="1">
        <v>96.183395740639924</v>
      </c>
      <c r="AA173" s="1">
        <v>98.539127000430625</v>
      </c>
      <c r="AB173" s="1">
        <v>90.554104833905299</v>
      </c>
      <c r="AC173" s="1">
        <v>101.78077976073585</v>
      </c>
      <c r="AD173" s="1">
        <v>109.88587193387652</v>
      </c>
      <c r="AE173" s="1">
        <v>91.404645247339246</v>
      </c>
      <c r="AF173" s="1">
        <v>107.65025591769401</v>
      </c>
      <c r="AG173" s="1">
        <v>100</v>
      </c>
      <c r="AH173" s="1">
        <v>100</v>
      </c>
      <c r="AI173" s="1">
        <v>100</v>
      </c>
      <c r="AJ173" s="1">
        <v>100</v>
      </c>
      <c r="AK173" s="1">
        <v>93.043087193034467</v>
      </c>
      <c r="AL173" s="1">
        <v>101.08571066637354</v>
      </c>
      <c r="AM173" s="1">
        <v>108.06561148645895</v>
      </c>
      <c r="AN173" s="1">
        <v>106.2055873992188</v>
      </c>
      <c r="AO173" s="1">
        <v>94.58920273943319</v>
      </c>
      <c r="AP173" s="1">
        <v>100</v>
      </c>
      <c r="AQ173" s="1">
        <v>100</v>
      </c>
      <c r="AR173" s="1">
        <v>96.578945423208708</v>
      </c>
      <c r="AS173" s="1">
        <v>100</v>
      </c>
      <c r="AT173" s="1">
        <v>104.74954143487761</v>
      </c>
      <c r="AU173" s="1">
        <v>100</v>
      </c>
      <c r="AV173" s="1">
        <v>99.900323214082661</v>
      </c>
      <c r="AW173" s="1">
        <v>100</v>
      </c>
      <c r="AX173" s="1">
        <v>100</v>
      </c>
      <c r="AY173" s="1">
        <v>100</v>
      </c>
      <c r="AZ173" s="1">
        <v>100</v>
      </c>
      <c r="BA173" s="1">
        <v>100</v>
      </c>
      <c r="BB173" s="1">
        <v>100</v>
      </c>
      <c r="BC173" s="1">
        <v>100</v>
      </c>
      <c r="BD173" s="1">
        <v>100</v>
      </c>
      <c r="BE173" s="1">
        <v>100</v>
      </c>
      <c r="BF173" s="1">
        <v>100</v>
      </c>
      <c r="BG173" s="1">
        <v>100</v>
      </c>
      <c r="BH173" s="1">
        <v>100</v>
      </c>
    </row>
    <row r="174" spans="1:60" x14ac:dyDescent="0.25">
      <c r="A174">
        <v>161</v>
      </c>
      <c r="B174" s="1">
        <v>96.464587655718546</v>
      </c>
      <c r="C174" s="1">
        <v>94.353173132071191</v>
      </c>
      <c r="D174" s="1">
        <v>99.900323214082661</v>
      </c>
      <c r="E174" s="1">
        <v>111.58694376488107</v>
      </c>
      <c r="F174" s="1">
        <v>100</v>
      </c>
      <c r="G174" s="1">
        <v>100</v>
      </c>
      <c r="H174" s="1">
        <v>100.79779325216231</v>
      </c>
      <c r="I174" s="1">
        <v>90.401037594332138</v>
      </c>
      <c r="J174" s="1">
        <v>99.873960030431505</v>
      </c>
      <c r="K174" s="1">
        <v>107.74916508272364</v>
      </c>
      <c r="L174" s="1">
        <v>102.21279749312072</v>
      </c>
      <c r="M174" s="1">
        <v>98.887457451808217</v>
      </c>
      <c r="N174" s="1">
        <v>100</v>
      </c>
      <c r="O174" s="1">
        <v>100</v>
      </c>
      <c r="P174" s="1">
        <v>92.194002424598395</v>
      </c>
      <c r="Q174" s="1">
        <v>100</v>
      </c>
      <c r="R174" s="1">
        <v>98.539127000430625</v>
      </c>
      <c r="S174" s="1">
        <v>100</v>
      </c>
      <c r="T174" s="1">
        <v>106.90492192879</v>
      </c>
      <c r="U174" s="1">
        <v>98.778848255775031</v>
      </c>
      <c r="V174" s="1">
        <v>101.67883473847651</v>
      </c>
      <c r="W174" s="1">
        <v>100</v>
      </c>
      <c r="X174" s="1">
        <v>98.938308797866256</v>
      </c>
      <c r="Y174" s="1">
        <v>100</v>
      </c>
      <c r="Z174" s="1">
        <v>96.183395740639924</v>
      </c>
      <c r="AA174" s="1">
        <v>98.539127000430625</v>
      </c>
      <c r="AB174" s="1">
        <v>90.554104833905299</v>
      </c>
      <c r="AC174" s="1">
        <v>101.78077976073585</v>
      </c>
      <c r="AD174" s="1">
        <v>109.88587193387652</v>
      </c>
      <c r="AE174" s="1">
        <v>91.404645247339246</v>
      </c>
      <c r="AF174" s="1">
        <v>107.65025591769401</v>
      </c>
      <c r="AG174" s="1">
        <v>100</v>
      </c>
      <c r="AH174" s="1">
        <v>100</v>
      </c>
      <c r="AI174" s="1">
        <v>100</v>
      </c>
      <c r="AJ174" s="1">
        <v>100</v>
      </c>
      <c r="AK174" s="1">
        <v>93.319814333059526</v>
      </c>
      <c r="AL174" s="1">
        <v>101.08571066637354</v>
      </c>
      <c r="AM174" s="1">
        <v>108.06561148645895</v>
      </c>
      <c r="AN174" s="1">
        <v>106.2055873992188</v>
      </c>
      <c r="AO174" s="1">
        <v>94.58920273943319</v>
      </c>
      <c r="AP174" s="1">
        <v>100</v>
      </c>
      <c r="AQ174" s="1">
        <v>100</v>
      </c>
      <c r="AR174" s="1">
        <v>96.578945423208708</v>
      </c>
      <c r="AS174" s="1">
        <v>100</v>
      </c>
      <c r="AT174" s="1">
        <v>104.99534248627447</v>
      </c>
      <c r="AU174" s="1">
        <v>100</v>
      </c>
      <c r="AV174" s="1">
        <v>99.900323214082661</v>
      </c>
      <c r="AW174" s="1">
        <v>100</v>
      </c>
      <c r="AX174" s="1">
        <v>100</v>
      </c>
      <c r="AY174" s="1">
        <v>100</v>
      </c>
      <c r="AZ174" s="1">
        <v>100</v>
      </c>
      <c r="BA174" s="1">
        <v>100</v>
      </c>
      <c r="BB174" s="1">
        <v>100</v>
      </c>
      <c r="BC174" s="1">
        <v>100</v>
      </c>
      <c r="BD174" s="1">
        <v>100</v>
      </c>
      <c r="BE174" s="1">
        <v>100</v>
      </c>
      <c r="BF174" s="1">
        <v>100</v>
      </c>
      <c r="BG174" s="1">
        <v>100</v>
      </c>
      <c r="BH174" s="1">
        <v>100</v>
      </c>
    </row>
    <row r="175" spans="1:60" x14ac:dyDescent="0.25">
      <c r="A175">
        <v>162</v>
      </c>
      <c r="B175" s="1">
        <v>96.464587655718546</v>
      </c>
      <c r="C175" s="1">
        <v>94.353173132071191</v>
      </c>
      <c r="D175" s="1">
        <v>99.900323214082661</v>
      </c>
      <c r="E175" s="1">
        <v>111.97365309169301</v>
      </c>
      <c r="F175" s="1">
        <v>100</v>
      </c>
      <c r="G175" s="1">
        <v>100</v>
      </c>
      <c r="H175" s="1">
        <v>100.79779325216231</v>
      </c>
      <c r="I175" s="1">
        <v>90.401037594332138</v>
      </c>
      <c r="J175" s="1">
        <v>99.873960030431505</v>
      </c>
      <c r="K175" s="1">
        <v>107.74916508272364</v>
      </c>
      <c r="L175" s="1">
        <v>102.21279749312072</v>
      </c>
      <c r="M175" s="1">
        <v>99.323829394380894</v>
      </c>
      <c r="N175" s="1">
        <v>100</v>
      </c>
      <c r="O175" s="1">
        <v>100</v>
      </c>
      <c r="P175" s="1">
        <v>92.194002424598395</v>
      </c>
      <c r="Q175" s="1">
        <v>100</v>
      </c>
      <c r="R175" s="1">
        <v>98.539127000430625</v>
      </c>
      <c r="S175" s="1">
        <v>100</v>
      </c>
      <c r="T175" s="1">
        <v>106.90492192879</v>
      </c>
      <c r="U175" s="1">
        <v>98.778848255775031</v>
      </c>
      <c r="V175" s="1">
        <v>101.67883473847651</v>
      </c>
      <c r="W175" s="1">
        <v>100</v>
      </c>
      <c r="X175" s="1">
        <v>98.938308797866256</v>
      </c>
      <c r="Y175" s="1">
        <v>100</v>
      </c>
      <c r="Z175" s="1">
        <v>96.183395740639924</v>
      </c>
      <c r="AA175" s="1">
        <v>98.539127000430625</v>
      </c>
      <c r="AB175" s="1">
        <v>90.554104833905299</v>
      </c>
      <c r="AC175" s="1">
        <v>101.78077976073585</v>
      </c>
      <c r="AD175" s="1">
        <v>109.88587193387652</v>
      </c>
      <c r="AE175" s="1">
        <v>91.404645247339246</v>
      </c>
      <c r="AF175" s="1">
        <v>107.65025591769401</v>
      </c>
      <c r="AG175" s="1">
        <v>100</v>
      </c>
      <c r="AH175" s="1">
        <v>100</v>
      </c>
      <c r="AI175" s="1">
        <v>100</v>
      </c>
      <c r="AJ175" s="1">
        <v>100</v>
      </c>
      <c r="AK175" s="1">
        <v>92.932502579021659</v>
      </c>
      <c r="AL175" s="1">
        <v>101.08571066637354</v>
      </c>
      <c r="AM175" s="1">
        <v>108.06561148645895</v>
      </c>
      <c r="AN175" s="1">
        <v>106.2055873992188</v>
      </c>
      <c r="AO175" s="1">
        <v>94.58920273943319</v>
      </c>
      <c r="AP175" s="1">
        <v>100</v>
      </c>
      <c r="AQ175" s="1">
        <v>100</v>
      </c>
      <c r="AR175" s="1">
        <v>96.578945423208708</v>
      </c>
      <c r="AS175" s="1">
        <v>100</v>
      </c>
      <c r="AT175" s="1">
        <v>104.55957297092772</v>
      </c>
      <c r="AU175" s="1">
        <v>100</v>
      </c>
      <c r="AV175" s="1">
        <v>99.900323214082661</v>
      </c>
      <c r="AW175" s="1">
        <v>100</v>
      </c>
      <c r="AX175" s="1">
        <v>100</v>
      </c>
      <c r="AY175" s="1">
        <v>100</v>
      </c>
      <c r="AZ175" s="1">
        <v>100</v>
      </c>
      <c r="BA175" s="1">
        <v>100</v>
      </c>
      <c r="BB175" s="1">
        <v>100</v>
      </c>
      <c r="BC175" s="1">
        <v>100</v>
      </c>
      <c r="BD175" s="1">
        <v>100</v>
      </c>
      <c r="BE175" s="1">
        <v>100</v>
      </c>
      <c r="BF175" s="1">
        <v>100</v>
      </c>
      <c r="BG175" s="1">
        <v>100</v>
      </c>
      <c r="BH175" s="1">
        <v>100</v>
      </c>
    </row>
    <row r="176" spans="1:60" x14ac:dyDescent="0.25">
      <c r="A176">
        <v>163</v>
      </c>
      <c r="B176" s="1">
        <v>96.464587655718546</v>
      </c>
      <c r="C176" s="1">
        <v>94.353173132071191</v>
      </c>
      <c r="D176" s="1">
        <v>99.900323214082661</v>
      </c>
      <c r="E176" s="1">
        <v>111.97365309169301</v>
      </c>
      <c r="F176" s="1">
        <v>100</v>
      </c>
      <c r="G176" s="1">
        <v>100</v>
      </c>
      <c r="H176" s="1">
        <v>100.79779325216231</v>
      </c>
      <c r="I176" s="1">
        <v>90.401037594332138</v>
      </c>
      <c r="J176" s="1">
        <v>99.873960030431505</v>
      </c>
      <c r="K176" s="1">
        <v>107.74916508272364</v>
      </c>
      <c r="L176" s="1">
        <v>102.21279749312072</v>
      </c>
      <c r="M176" s="1">
        <v>99.323829394380894</v>
      </c>
      <c r="N176" s="1">
        <v>100</v>
      </c>
      <c r="O176" s="1">
        <v>100</v>
      </c>
      <c r="P176" s="1">
        <v>92.194002424598395</v>
      </c>
      <c r="Q176" s="1">
        <v>100</v>
      </c>
      <c r="R176" s="1">
        <v>98.539127000430625</v>
      </c>
      <c r="S176" s="1">
        <v>100</v>
      </c>
      <c r="T176" s="1">
        <v>106.72475989615242</v>
      </c>
      <c r="U176" s="1">
        <v>98.778848255775031</v>
      </c>
      <c r="V176" s="1">
        <v>101.67883473847651</v>
      </c>
      <c r="W176" s="1">
        <v>100</v>
      </c>
      <c r="X176" s="1">
        <v>98.938308797866256</v>
      </c>
      <c r="Y176" s="1">
        <v>100</v>
      </c>
      <c r="Z176" s="1">
        <v>96.183395740639924</v>
      </c>
      <c r="AA176" s="1">
        <v>98.539127000430625</v>
      </c>
      <c r="AB176" s="1">
        <v>90.554104833905299</v>
      </c>
      <c r="AC176" s="1">
        <v>101.78077976073585</v>
      </c>
      <c r="AD176" s="1">
        <v>109.88587193387652</v>
      </c>
      <c r="AE176" s="1">
        <v>91.404645247339246</v>
      </c>
      <c r="AF176" s="1">
        <v>107.65025591769401</v>
      </c>
      <c r="AG176" s="1">
        <v>100</v>
      </c>
      <c r="AH176" s="1">
        <v>100</v>
      </c>
      <c r="AI176" s="1">
        <v>100</v>
      </c>
      <c r="AJ176" s="1">
        <v>100</v>
      </c>
      <c r="AK176" s="1">
        <v>92.775887633136506</v>
      </c>
      <c r="AL176" s="1">
        <v>101.08571066637354</v>
      </c>
      <c r="AM176" s="1">
        <v>108.06561148645895</v>
      </c>
      <c r="AN176" s="1">
        <v>106.2055873992188</v>
      </c>
      <c r="AO176" s="1">
        <v>94.766021587227613</v>
      </c>
      <c r="AP176" s="1">
        <v>100</v>
      </c>
      <c r="AQ176" s="1">
        <v>100</v>
      </c>
      <c r="AR176" s="1">
        <v>96.578945423208708</v>
      </c>
      <c r="AS176" s="1">
        <v>100</v>
      </c>
      <c r="AT176" s="1">
        <v>104.71953110165603</v>
      </c>
      <c r="AU176" s="1">
        <v>100</v>
      </c>
      <c r="AV176" s="1">
        <v>99.900323214082661</v>
      </c>
      <c r="AW176" s="1">
        <v>100</v>
      </c>
      <c r="AX176" s="1">
        <v>100</v>
      </c>
      <c r="AY176" s="1">
        <v>100</v>
      </c>
      <c r="AZ176" s="1">
        <v>100</v>
      </c>
      <c r="BA176" s="1">
        <v>100</v>
      </c>
      <c r="BB176" s="1">
        <v>100</v>
      </c>
      <c r="BC176" s="1">
        <v>100</v>
      </c>
      <c r="BD176" s="1">
        <v>100</v>
      </c>
      <c r="BE176" s="1">
        <v>100</v>
      </c>
      <c r="BF176" s="1">
        <v>100</v>
      </c>
      <c r="BG176" s="1">
        <v>100</v>
      </c>
      <c r="BH176" s="1">
        <v>100</v>
      </c>
    </row>
    <row r="177" spans="1:60" x14ac:dyDescent="0.25">
      <c r="A177">
        <v>164</v>
      </c>
      <c r="B177" s="1">
        <v>96.464587655718546</v>
      </c>
      <c r="C177" s="1">
        <v>94.353173132071191</v>
      </c>
      <c r="D177" s="1">
        <v>99.900323214082661</v>
      </c>
      <c r="E177" s="1">
        <v>111.97365309169301</v>
      </c>
      <c r="F177" s="1">
        <v>100</v>
      </c>
      <c r="G177" s="1">
        <v>100</v>
      </c>
      <c r="H177" s="1">
        <v>100.79779325216231</v>
      </c>
      <c r="I177" s="1">
        <v>90.401037594332138</v>
      </c>
      <c r="J177" s="1">
        <v>99.873960030431505</v>
      </c>
      <c r="K177" s="1">
        <v>107.74916508272364</v>
      </c>
      <c r="L177" s="1">
        <v>102.21279749312072</v>
      </c>
      <c r="M177" s="1">
        <v>99.323829394380894</v>
      </c>
      <c r="N177" s="1">
        <v>100</v>
      </c>
      <c r="O177" s="1">
        <v>100</v>
      </c>
      <c r="P177" s="1">
        <v>92.194002424598395</v>
      </c>
      <c r="Q177" s="1">
        <v>100</v>
      </c>
      <c r="R177" s="1">
        <v>98.539127000430625</v>
      </c>
      <c r="S177" s="1">
        <v>100</v>
      </c>
      <c r="T177" s="1">
        <v>106.21428132125411</v>
      </c>
      <c r="U177" s="1">
        <v>98.778848255775031</v>
      </c>
      <c r="V177" s="1">
        <v>101.67883473847651</v>
      </c>
      <c r="W177" s="1">
        <v>100</v>
      </c>
      <c r="X177" s="1">
        <v>98.938308797866256</v>
      </c>
      <c r="Y177" s="1">
        <v>100</v>
      </c>
      <c r="Z177" s="1">
        <v>96.183395740639924</v>
      </c>
      <c r="AA177" s="1">
        <v>98.539127000430625</v>
      </c>
      <c r="AB177" s="1">
        <v>90.554104833905299</v>
      </c>
      <c r="AC177" s="1">
        <v>101.78077976073585</v>
      </c>
      <c r="AD177" s="1">
        <v>109.88587193387652</v>
      </c>
      <c r="AE177" s="1">
        <v>91.404645247339246</v>
      </c>
      <c r="AF177" s="1">
        <v>107.65025591769401</v>
      </c>
      <c r="AG177" s="1">
        <v>100</v>
      </c>
      <c r="AH177" s="1">
        <v>100</v>
      </c>
      <c r="AI177" s="1">
        <v>100</v>
      </c>
      <c r="AJ177" s="1">
        <v>100</v>
      </c>
      <c r="AK177" s="1">
        <v>92.33212835037989</v>
      </c>
      <c r="AL177" s="1">
        <v>101.08571066637354</v>
      </c>
      <c r="AM177" s="1">
        <v>108.06561148645895</v>
      </c>
      <c r="AN177" s="1">
        <v>106.2055873992188</v>
      </c>
      <c r="AO177" s="1">
        <v>95.26694679041222</v>
      </c>
      <c r="AP177" s="1">
        <v>100</v>
      </c>
      <c r="AQ177" s="1">
        <v>100</v>
      </c>
      <c r="AR177" s="1">
        <v>96.578945423208708</v>
      </c>
      <c r="AS177" s="1">
        <v>100</v>
      </c>
      <c r="AT177" s="1">
        <v>105.17284375612635</v>
      </c>
      <c r="AU177" s="1">
        <v>100</v>
      </c>
      <c r="AV177" s="1">
        <v>99.900323214082661</v>
      </c>
      <c r="AW177" s="1">
        <v>100</v>
      </c>
      <c r="AX177" s="1">
        <v>100</v>
      </c>
      <c r="AY177" s="1">
        <v>100</v>
      </c>
      <c r="AZ177" s="1">
        <v>100</v>
      </c>
      <c r="BA177" s="1">
        <v>100</v>
      </c>
      <c r="BB177" s="1">
        <v>100</v>
      </c>
      <c r="BC177" s="1">
        <v>100</v>
      </c>
      <c r="BD177" s="1">
        <v>100</v>
      </c>
      <c r="BE177" s="1">
        <v>100</v>
      </c>
      <c r="BF177" s="1">
        <v>100</v>
      </c>
      <c r="BG177" s="1">
        <v>100</v>
      </c>
      <c r="BH177" s="1">
        <v>100</v>
      </c>
    </row>
    <row r="178" spans="1:60" x14ac:dyDescent="0.25">
      <c r="A178">
        <v>165</v>
      </c>
      <c r="B178" s="1">
        <v>96.464587655718546</v>
      </c>
      <c r="C178" s="1">
        <v>94.353173132071191</v>
      </c>
      <c r="D178" s="1">
        <v>99.900323214082661</v>
      </c>
      <c r="E178" s="1">
        <v>112.69675855150234</v>
      </c>
      <c r="F178" s="1">
        <v>100</v>
      </c>
      <c r="G178" s="1">
        <v>100</v>
      </c>
      <c r="H178" s="1">
        <v>100.79779325216231</v>
      </c>
      <c r="I178" s="1">
        <v>90.401037594332138</v>
      </c>
      <c r="J178" s="1">
        <v>99.873960030431505</v>
      </c>
      <c r="K178" s="1">
        <v>106.92805243710265</v>
      </c>
      <c r="L178" s="1">
        <v>101.43387525737566</v>
      </c>
      <c r="M178" s="1">
        <v>99.323829394380894</v>
      </c>
      <c r="N178" s="1">
        <v>100</v>
      </c>
      <c r="O178" s="1">
        <v>100</v>
      </c>
      <c r="P178" s="1">
        <v>92.194002424598395</v>
      </c>
      <c r="Q178" s="1">
        <v>100</v>
      </c>
      <c r="R178" s="1">
        <v>98.539127000430625</v>
      </c>
      <c r="S178" s="1">
        <v>100</v>
      </c>
      <c r="T178" s="1">
        <v>106.21428132125411</v>
      </c>
      <c r="U178" s="1">
        <v>98.778848255775031</v>
      </c>
      <c r="V178" s="1">
        <v>101.67883473847651</v>
      </c>
      <c r="W178" s="1">
        <v>100</v>
      </c>
      <c r="X178" s="1">
        <v>98.938308797866256</v>
      </c>
      <c r="Y178" s="1">
        <v>100</v>
      </c>
      <c r="Z178" s="1">
        <v>96.183395740639924</v>
      </c>
      <c r="AA178" s="1">
        <v>98.539127000430625</v>
      </c>
      <c r="AB178" s="1">
        <v>90.554104833905299</v>
      </c>
      <c r="AC178" s="1">
        <v>101.78077976073585</v>
      </c>
      <c r="AD178" s="1">
        <v>109.88587193387652</v>
      </c>
      <c r="AE178" s="1">
        <v>91.404645247339246</v>
      </c>
      <c r="AF178" s="1">
        <v>107.65025591769401</v>
      </c>
      <c r="AG178" s="1">
        <v>100</v>
      </c>
      <c r="AH178" s="1">
        <v>100</v>
      </c>
      <c r="AI178" s="1">
        <v>100</v>
      </c>
      <c r="AJ178" s="1">
        <v>100</v>
      </c>
      <c r="AK178" s="1">
        <v>93.209057771936614</v>
      </c>
      <c r="AL178" s="1">
        <v>101.08571066637354</v>
      </c>
      <c r="AM178" s="1">
        <v>108.06561148645895</v>
      </c>
      <c r="AN178" s="1">
        <v>106.2055873992188</v>
      </c>
      <c r="AO178" s="1">
        <v>95.26694679041222</v>
      </c>
      <c r="AP178" s="1">
        <v>100</v>
      </c>
      <c r="AQ178" s="1">
        <v>100</v>
      </c>
      <c r="AR178" s="1">
        <v>96.578945423208708</v>
      </c>
      <c r="AS178" s="1">
        <v>100</v>
      </c>
      <c r="AT178" s="1">
        <v>105.17284375612635</v>
      </c>
      <c r="AU178" s="1">
        <v>100</v>
      </c>
      <c r="AV178" s="1">
        <v>99.900323214082661</v>
      </c>
      <c r="AW178" s="1">
        <v>100</v>
      </c>
      <c r="AX178" s="1">
        <v>100</v>
      </c>
      <c r="AY178" s="1">
        <v>100</v>
      </c>
      <c r="AZ178" s="1">
        <v>100</v>
      </c>
      <c r="BA178" s="1">
        <v>100</v>
      </c>
      <c r="BB178" s="1">
        <v>100</v>
      </c>
      <c r="BC178" s="1">
        <v>100</v>
      </c>
      <c r="BD178" s="1">
        <v>100</v>
      </c>
      <c r="BE178" s="1">
        <v>100</v>
      </c>
      <c r="BF178" s="1">
        <v>100</v>
      </c>
      <c r="BG178" s="1">
        <v>100</v>
      </c>
      <c r="BH178" s="1">
        <v>100</v>
      </c>
    </row>
    <row r="179" spans="1:60" x14ac:dyDescent="0.25">
      <c r="A179">
        <v>166</v>
      </c>
      <c r="B179" s="1">
        <v>96.464587655718546</v>
      </c>
      <c r="C179" s="1">
        <v>94.353173132071191</v>
      </c>
      <c r="D179" s="1">
        <v>99.900323214082661</v>
      </c>
      <c r="E179" s="1">
        <v>115.46826639223708</v>
      </c>
      <c r="F179" s="1">
        <v>100</v>
      </c>
      <c r="G179" s="1">
        <v>100</v>
      </c>
      <c r="H179" s="1">
        <v>100.79779325216231</v>
      </c>
      <c r="I179" s="1">
        <v>90.401037594332138</v>
      </c>
      <c r="J179" s="1">
        <v>99.873960030431505</v>
      </c>
      <c r="K179" s="1">
        <v>103.78609788817965</v>
      </c>
      <c r="L179" s="1">
        <v>98.453360616774077</v>
      </c>
      <c r="M179" s="1">
        <v>99.323829394380894</v>
      </c>
      <c r="N179" s="1">
        <v>100</v>
      </c>
      <c r="O179" s="1">
        <v>100</v>
      </c>
      <c r="P179" s="1">
        <v>92.194002424598395</v>
      </c>
      <c r="Q179" s="1">
        <v>100</v>
      </c>
      <c r="R179" s="1">
        <v>98.539127000430625</v>
      </c>
      <c r="S179" s="1">
        <v>100</v>
      </c>
      <c r="T179" s="1">
        <v>106.21428132125411</v>
      </c>
      <c r="U179" s="1">
        <v>98.778848255775031</v>
      </c>
      <c r="V179" s="1">
        <v>101.67883473847651</v>
      </c>
      <c r="W179" s="1">
        <v>100</v>
      </c>
      <c r="X179" s="1">
        <v>98.938308797866256</v>
      </c>
      <c r="Y179" s="1">
        <v>100</v>
      </c>
      <c r="Z179" s="1">
        <v>96.183395740639924</v>
      </c>
      <c r="AA179" s="1">
        <v>98.539127000430625</v>
      </c>
      <c r="AB179" s="1">
        <v>90.554104833905299</v>
      </c>
      <c r="AC179" s="1">
        <v>101.78077976073585</v>
      </c>
      <c r="AD179" s="1">
        <v>109.88587193387652</v>
      </c>
      <c r="AE179" s="1">
        <v>91.404645247339246</v>
      </c>
      <c r="AF179" s="1">
        <v>107.65025591769401</v>
      </c>
      <c r="AG179" s="1">
        <v>100</v>
      </c>
      <c r="AH179" s="1">
        <v>100</v>
      </c>
      <c r="AI179" s="1">
        <v>100</v>
      </c>
      <c r="AJ179" s="1">
        <v>100</v>
      </c>
      <c r="AK179" s="1">
        <v>96.560019120726452</v>
      </c>
      <c r="AL179" s="1">
        <v>101.08571066637354</v>
      </c>
      <c r="AM179" s="1">
        <v>108.06561148645895</v>
      </c>
      <c r="AN179" s="1">
        <v>106.2055873992188</v>
      </c>
      <c r="AO179" s="1">
        <v>95.26694679041222</v>
      </c>
      <c r="AP179" s="1">
        <v>100</v>
      </c>
      <c r="AQ179" s="1">
        <v>100</v>
      </c>
      <c r="AR179" s="1">
        <v>96.578945423208708</v>
      </c>
      <c r="AS179" s="1">
        <v>100</v>
      </c>
      <c r="AT179" s="1">
        <v>105.17284375612635</v>
      </c>
      <c r="AU179" s="1">
        <v>100</v>
      </c>
      <c r="AV179" s="1">
        <v>99.900323214082661</v>
      </c>
      <c r="AW179" s="1">
        <v>100</v>
      </c>
      <c r="AX179" s="1">
        <v>100</v>
      </c>
      <c r="AY179" s="1">
        <v>100</v>
      </c>
      <c r="AZ179" s="1">
        <v>100</v>
      </c>
      <c r="BA179" s="1">
        <v>100</v>
      </c>
      <c r="BB179" s="1">
        <v>100</v>
      </c>
      <c r="BC179" s="1">
        <v>100</v>
      </c>
      <c r="BD179" s="1">
        <v>100</v>
      </c>
      <c r="BE179" s="1">
        <v>100</v>
      </c>
      <c r="BF179" s="1">
        <v>100</v>
      </c>
      <c r="BG179" s="1">
        <v>100</v>
      </c>
      <c r="BH179" s="1">
        <v>100</v>
      </c>
    </row>
    <row r="180" spans="1:60" x14ac:dyDescent="0.25">
      <c r="A180">
        <v>167</v>
      </c>
      <c r="B180" s="1">
        <v>96.464587655718546</v>
      </c>
      <c r="C180" s="1">
        <v>94.353173132071191</v>
      </c>
      <c r="D180" s="1">
        <v>99.900323214082661</v>
      </c>
      <c r="E180" s="1">
        <v>115.46826639223708</v>
      </c>
      <c r="F180" s="1">
        <v>100</v>
      </c>
      <c r="G180" s="1">
        <v>100</v>
      </c>
      <c r="H180" s="1">
        <v>100.79779325216231</v>
      </c>
      <c r="I180" s="1">
        <v>90.401037594332138</v>
      </c>
      <c r="J180" s="1">
        <v>99.873960030431505</v>
      </c>
      <c r="K180" s="1">
        <v>103.78609788817965</v>
      </c>
      <c r="L180" s="1">
        <v>98.453360616774077</v>
      </c>
      <c r="M180" s="1">
        <v>99.323829394380894</v>
      </c>
      <c r="N180" s="1">
        <v>100</v>
      </c>
      <c r="O180" s="1">
        <v>100</v>
      </c>
      <c r="P180" s="1">
        <v>92.235639396076522</v>
      </c>
      <c r="Q180" s="1">
        <v>100</v>
      </c>
      <c r="R180" s="1">
        <v>98.539127000430625</v>
      </c>
      <c r="S180" s="1">
        <v>100</v>
      </c>
      <c r="T180" s="1">
        <v>106.21428132125411</v>
      </c>
      <c r="U180" s="1">
        <v>98.778848255775031</v>
      </c>
      <c r="V180" s="1">
        <v>101.67883473847651</v>
      </c>
      <c r="W180" s="1">
        <v>100</v>
      </c>
      <c r="X180" s="1">
        <v>98.938308797866256</v>
      </c>
      <c r="Y180" s="1">
        <v>100</v>
      </c>
      <c r="Z180" s="1">
        <v>96.183395740639924</v>
      </c>
      <c r="AA180" s="1">
        <v>98.539127000430625</v>
      </c>
      <c r="AB180" s="1">
        <v>90.554104833905299</v>
      </c>
      <c r="AC180" s="1">
        <v>101.78077976073585</v>
      </c>
      <c r="AD180" s="1">
        <v>109.88587193387652</v>
      </c>
      <c r="AE180" s="1">
        <v>91.36654900136385</v>
      </c>
      <c r="AF180" s="1">
        <v>107.65025591769401</v>
      </c>
      <c r="AG180" s="1">
        <v>100</v>
      </c>
      <c r="AH180" s="1">
        <v>100</v>
      </c>
      <c r="AI180" s="1">
        <v>100</v>
      </c>
      <c r="AJ180" s="1">
        <v>100</v>
      </c>
      <c r="AK180" s="1">
        <v>96.560019120726452</v>
      </c>
      <c r="AL180" s="1">
        <v>101.08571066637354</v>
      </c>
      <c r="AM180" s="1">
        <v>108.06561148645895</v>
      </c>
      <c r="AN180" s="1">
        <v>106.2055873992188</v>
      </c>
      <c r="AO180" s="1">
        <v>95.3072407137375</v>
      </c>
      <c r="AP180" s="1">
        <v>100</v>
      </c>
      <c r="AQ180" s="1">
        <v>100</v>
      </c>
      <c r="AR180" s="1">
        <v>96.578945423208708</v>
      </c>
      <c r="AS180" s="1">
        <v>100</v>
      </c>
      <c r="AT180" s="1">
        <v>105.12900910729834</v>
      </c>
      <c r="AU180" s="1">
        <v>100</v>
      </c>
      <c r="AV180" s="1">
        <v>99.900323214082661</v>
      </c>
      <c r="AW180" s="1">
        <v>100</v>
      </c>
      <c r="AX180" s="1">
        <v>100</v>
      </c>
      <c r="AY180" s="1">
        <v>100</v>
      </c>
      <c r="AZ180" s="1">
        <v>100</v>
      </c>
      <c r="BA180" s="1">
        <v>100</v>
      </c>
      <c r="BB180" s="1">
        <v>100</v>
      </c>
      <c r="BC180" s="1">
        <v>100</v>
      </c>
      <c r="BD180" s="1">
        <v>100</v>
      </c>
      <c r="BE180" s="1">
        <v>100</v>
      </c>
      <c r="BF180" s="1">
        <v>100</v>
      </c>
      <c r="BG180" s="1">
        <v>100</v>
      </c>
      <c r="BH180" s="1">
        <v>100</v>
      </c>
    </row>
    <row r="181" spans="1:60" x14ac:dyDescent="0.25">
      <c r="A181">
        <v>168</v>
      </c>
      <c r="B181" s="1">
        <v>96.464587655718546</v>
      </c>
      <c r="C181" s="1">
        <v>94.353173132071191</v>
      </c>
      <c r="D181" s="1">
        <v>99.900323214082661</v>
      </c>
      <c r="E181" s="1">
        <v>115.46826639223708</v>
      </c>
      <c r="F181" s="1">
        <v>100</v>
      </c>
      <c r="G181" s="1">
        <v>100</v>
      </c>
      <c r="H181" s="1">
        <v>100.79779325216231</v>
      </c>
      <c r="I181" s="1">
        <v>90.401037594332138</v>
      </c>
      <c r="J181" s="1">
        <v>99.873960030431505</v>
      </c>
      <c r="K181" s="1">
        <v>103.78609788817965</v>
      </c>
      <c r="L181" s="1">
        <v>98.453360616774077</v>
      </c>
      <c r="M181" s="1">
        <v>99.323829394380894</v>
      </c>
      <c r="N181" s="1">
        <v>100</v>
      </c>
      <c r="O181" s="1">
        <v>100</v>
      </c>
      <c r="P181" s="1">
        <v>91.201045775507481</v>
      </c>
      <c r="Q181" s="1">
        <v>100</v>
      </c>
      <c r="R181" s="1">
        <v>98.539127000430625</v>
      </c>
      <c r="S181" s="1">
        <v>100</v>
      </c>
      <c r="T181" s="1">
        <v>106.21428132125411</v>
      </c>
      <c r="U181" s="1">
        <v>98.778848255775031</v>
      </c>
      <c r="V181" s="1">
        <v>101.67883473847651</v>
      </c>
      <c r="W181" s="1">
        <v>100</v>
      </c>
      <c r="X181" s="1">
        <v>98.938308797866256</v>
      </c>
      <c r="Y181" s="1">
        <v>100</v>
      </c>
      <c r="Z181" s="1">
        <v>96.183395740639924</v>
      </c>
      <c r="AA181" s="1">
        <v>98.539127000430625</v>
      </c>
      <c r="AB181" s="1">
        <v>90.554104833905299</v>
      </c>
      <c r="AC181" s="1">
        <v>101.78077976073585</v>
      </c>
      <c r="AD181" s="1">
        <v>109.88587193387652</v>
      </c>
      <c r="AE181" s="1">
        <v>92.492038502898922</v>
      </c>
      <c r="AF181" s="1">
        <v>107.65025591769401</v>
      </c>
      <c r="AG181" s="1">
        <v>100</v>
      </c>
      <c r="AH181" s="1">
        <v>100</v>
      </c>
      <c r="AI181" s="1">
        <v>100</v>
      </c>
      <c r="AJ181" s="1">
        <v>100</v>
      </c>
      <c r="AK181" s="1">
        <v>96.560019120726452</v>
      </c>
      <c r="AL181" s="1">
        <v>101.08571066637354</v>
      </c>
      <c r="AM181" s="1">
        <v>108.06561148645895</v>
      </c>
      <c r="AN181" s="1">
        <v>106.2055873992188</v>
      </c>
      <c r="AO181" s="1">
        <v>94.238193392310635</v>
      </c>
      <c r="AP181" s="1">
        <v>100</v>
      </c>
      <c r="AQ181" s="1">
        <v>100</v>
      </c>
      <c r="AR181" s="1">
        <v>96.578945423208708</v>
      </c>
      <c r="AS181" s="1">
        <v>100</v>
      </c>
      <c r="AT181" s="1">
        <v>106.10716054775918</v>
      </c>
      <c r="AU181" s="1">
        <v>100</v>
      </c>
      <c r="AV181" s="1">
        <v>99.900323214082661</v>
      </c>
      <c r="AW181" s="1">
        <v>100</v>
      </c>
      <c r="AX181" s="1">
        <v>100</v>
      </c>
      <c r="AY181" s="1">
        <v>100</v>
      </c>
      <c r="AZ181" s="1">
        <v>100</v>
      </c>
      <c r="BA181" s="1">
        <v>100</v>
      </c>
      <c r="BB181" s="1">
        <v>100</v>
      </c>
      <c r="BC181" s="1">
        <v>100</v>
      </c>
      <c r="BD181" s="1">
        <v>100</v>
      </c>
      <c r="BE181" s="1">
        <v>100</v>
      </c>
      <c r="BF181" s="1">
        <v>100</v>
      </c>
      <c r="BG181" s="1">
        <v>100</v>
      </c>
      <c r="BH181" s="1">
        <v>100</v>
      </c>
    </row>
    <row r="182" spans="1:60" x14ac:dyDescent="0.25">
      <c r="A182">
        <v>169</v>
      </c>
      <c r="B182" s="1">
        <v>96.464587655718546</v>
      </c>
      <c r="C182" s="1">
        <v>94.353173132071191</v>
      </c>
      <c r="D182" s="1">
        <v>99.900323214082661</v>
      </c>
      <c r="E182" s="1">
        <v>115.46826639223708</v>
      </c>
      <c r="F182" s="1">
        <v>100</v>
      </c>
      <c r="G182" s="1">
        <v>100</v>
      </c>
      <c r="H182" s="1">
        <v>100.79779325216231</v>
      </c>
      <c r="I182" s="1">
        <v>90.401037594332138</v>
      </c>
      <c r="J182" s="1">
        <v>99.873960030431505</v>
      </c>
      <c r="K182" s="1">
        <v>103.78609788817965</v>
      </c>
      <c r="L182" s="1">
        <v>96.454753161567822</v>
      </c>
      <c r="M182" s="1">
        <v>97.307551385548521</v>
      </c>
      <c r="N182" s="1">
        <v>100</v>
      </c>
      <c r="O182" s="1">
        <v>100</v>
      </c>
      <c r="P182" s="1">
        <v>91.201045775507481</v>
      </c>
      <c r="Q182" s="1">
        <v>100</v>
      </c>
      <c r="R182" s="1">
        <v>98.539127000430625</v>
      </c>
      <c r="S182" s="1">
        <v>100</v>
      </c>
      <c r="T182" s="1">
        <v>108.10178883817899</v>
      </c>
      <c r="U182" s="1">
        <v>98.778848255775031</v>
      </c>
      <c r="V182" s="1">
        <v>101.67883473847651</v>
      </c>
      <c r="W182" s="1">
        <v>100</v>
      </c>
      <c r="X182" s="1">
        <v>98.938308797866256</v>
      </c>
      <c r="Y182" s="1">
        <v>100</v>
      </c>
      <c r="Z182" s="1">
        <v>96.183395740639924</v>
      </c>
      <c r="AA182" s="1">
        <v>98.539127000430625</v>
      </c>
      <c r="AB182" s="1">
        <v>90.554104833905299</v>
      </c>
      <c r="AC182" s="1">
        <v>101.78077976073585</v>
      </c>
      <c r="AD182" s="1">
        <v>109.88587193387652</v>
      </c>
      <c r="AE182" s="1">
        <v>92.492038502898922</v>
      </c>
      <c r="AF182" s="1">
        <v>107.65025591769401</v>
      </c>
      <c r="AG182" s="1">
        <v>100</v>
      </c>
      <c r="AH182" s="1">
        <v>100</v>
      </c>
      <c r="AI182" s="1">
        <v>100</v>
      </c>
      <c r="AJ182" s="1">
        <v>100</v>
      </c>
      <c r="AK182" s="1">
        <v>96.560019120726452</v>
      </c>
      <c r="AL182" s="1">
        <v>101.08571066637354</v>
      </c>
      <c r="AM182" s="1">
        <v>108.06561148645895</v>
      </c>
      <c r="AN182" s="1">
        <v>106.2055873992188</v>
      </c>
      <c r="AO182" s="1">
        <v>96.365571339424378</v>
      </c>
      <c r="AP182" s="1">
        <v>100</v>
      </c>
      <c r="AQ182" s="1">
        <v>100</v>
      </c>
      <c r="AR182" s="1">
        <v>96.578945423208708</v>
      </c>
      <c r="AS182" s="1">
        <v>100</v>
      </c>
      <c r="AT182" s="1">
        <v>106.10716054775918</v>
      </c>
      <c r="AU182" s="1">
        <v>100</v>
      </c>
      <c r="AV182" s="1">
        <v>99.900323214082661</v>
      </c>
      <c r="AW182" s="1">
        <v>100</v>
      </c>
      <c r="AX182" s="1">
        <v>100</v>
      </c>
      <c r="AY182" s="1">
        <v>100</v>
      </c>
      <c r="AZ182" s="1">
        <v>100</v>
      </c>
      <c r="BA182" s="1">
        <v>100</v>
      </c>
      <c r="BB182" s="1">
        <v>100</v>
      </c>
      <c r="BC182" s="1">
        <v>100</v>
      </c>
      <c r="BD182" s="1">
        <v>100</v>
      </c>
      <c r="BE182" s="1">
        <v>100</v>
      </c>
      <c r="BF182" s="1">
        <v>100</v>
      </c>
      <c r="BG182" s="1">
        <v>100</v>
      </c>
      <c r="BH182" s="1">
        <v>100</v>
      </c>
    </row>
    <row r="183" spans="1:60" x14ac:dyDescent="0.25">
      <c r="A183">
        <v>170</v>
      </c>
      <c r="B183" s="1">
        <v>96.464587655718546</v>
      </c>
      <c r="C183" s="1">
        <v>94.353173132071191</v>
      </c>
      <c r="D183" s="1">
        <v>99.900323214082661</v>
      </c>
      <c r="E183" s="1">
        <v>115.46826639223708</v>
      </c>
      <c r="F183" s="1">
        <v>100</v>
      </c>
      <c r="G183" s="1">
        <v>100</v>
      </c>
      <c r="H183" s="1">
        <v>100.79779325216231</v>
      </c>
      <c r="I183" s="1">
        <v>90.401037594332138</v>
      </c>
      <c r="J183" s="1">
        <v>99.873960030431505</v>
      </c>
      <c r="K183" s="1">
        <v>103.78609788817965</v>
      </c>
      <c r="L183" s="1">
        <v>97.53980589418822</v>
      </c>
      <c r="M183" s="1">
        <v>98.38309477351757</v>
      </c>
      <c r="N183" s="1">
        <v>100</v>
      </c>
      <c r="O183" s="1">
        <v>100</v>
      </c>
      <c r="P183" s="1">
        <v>91.201045775507481</v>
      </c>
      <c r="Q183" s="1">
        <v>100</v>
      </c>
      <c r="R183" s="1">
        <v>98.539127000430625</v>
      </c>
      <c r="S183" s="1">
        <v>100</v>
      </c>
      <c r="T183" s="1">
        <v>106.95948277333974</v>
      </c>
      <c r="U183" s="1">
        <v>98.778848255775031</v>
      </c>
      <c r="V183" s="1">
        <v>101.67883473847651</v>
      </c>
      <c r="W183" s="1">
        <v>100</v>
      </c>
      <c r="X183" s="1">
        <v>98.938308797866256</v>
      </c>
      <c r="Y183" s="1">
        <v>100</v>
      </c>
      <c r="Z183" s="1">
        <v>96.183395740639924</v>
      </c>
      <c r="AA183" s="1">
        <v>98.539127000430625</v>
      </c>
      <c r="AB183" s="1">
        <v>90.554104833905299</v>
      </c>
      <c r="AC183" s="1">
        <v>101.78077976073585</v>
      </c>
      <c r="AD183" s="1">
        <v>109.88587193387652</v>
      </c>
      <c r="AE183" s="1">
        <v>92.492038502898922</v>
      </c>
      <c r="AF183" s="1">
        <v>107.65025591769401</v>
      </c>
      <c r="AG183" s="1">
        <v>100</v>
      </c>
      <c r="AH183" s="1">
        <v>100</v>
      </c>
      <c r="AI183" s="1">
        <v>100</v>
      </c>
      <c r="AJ183" s="1">
        <v>100</v>
      </c>
      <c r="AK183" s="1">
        <v>96.560019120726452</v>
      </c>
      <c r="AL183" s="1">
        <v>101.08571066637354</v>
      </c>
      <c r="AM183" s="1">
        <v>108.06561148645895</v>
      </c>
      <c r="AN183" s="1">
        <v>106.2055873992188</v>
      </c>
      <c r="AO183" s="1">
        <v>95.347281283674192</v>
      </c>
      <c r="AP183" s="1">
        <v>100</v>
      </c>
      <c r="AQ183" s="1">
        <v>100</v>
      </c>
      <c r="AR183" s="1">
        <v>96.578945423208708</v>
      </c>
      <c r="AS183" s="1">
        <v>100</v>
      </c>
      <c r="AT183" s="1">
        <v>106.10716054775918</v>
      </c>
      <c r="AU183" s="1">
        <v>100</v>
      </c>
      <c r="AV183" s="1">
        <v>99.900323214082661</v>
      </c>
      <c r="AW183" s="1">
        <v>100</v>
      </c>
      <c r="AX183" s="1">
        <v>100</v>
      </c>
      <c r="AY183" s="1">
        <v>100</v>
      </c>
      <c r="AZ183" s="1">
        <v>100</v>
      </c>
      <c r="BA183" s="1">
        <v>100</v>
      </c>
      <c r="BB183" s="1">
        <v>100</v>
      </c>
      <c r="BC183" s="1">
        <v>100</v>
      </c>
      <c r="BD183" s="1">
        <v>100</v>
      </c>
      <c r="BE183" s="1">
        <v>100</v>
      </c>
      <c r="BF183" s="1">
        <v>100</v>
      </c>
      <c r="BG183" s="1">
        <v>100</v>
      </c>
      <c r="BH183" s="1">
        <v>100</v>
      </c>
    </row>
    <row r="184" spans="1:60" x14ac:dyDescent="0.25">
      <c r="A184">
        <v>171</v>
      </c>
      <c r="B184" s="1">
        <v>96.464587655718546</v>
      </c>
      <c r="C184" s="1">
        <v>94.353173132071191</v>
      </c>
      <c r="D184" s="1">
        <v>99.900323214082661</v>
      </c>
      <c r="E184" s="1">
        <v>115.46826639223708</v>
      </c>
      <c r="F184" s="1">
        <v>100</v>
      </c>
      <c r="G184" s="1">
        <v>100</v>
      </c>
      <c r="H184" s="1">
        <v>100.79779325216231</v>
      </c>
      <c r="I184" s="1">
        <v>90.401037594332138</v>
      </c>
      <c r="J184" s="1">
        <v>99.873960030431505</v>
      </c>
      <c r="K184" s="1">
        <v>103.78609788817965</v>
      </c>
      <c r="L184" s="1">
        <v>96.349810620078955</v>
      </c>
      <c r="M184" s="1">
        <v>97.182811291718011</v>
      </c>
      <c r="N184" s="1">
        <v>100</v>
      </c>
      <c r="O184" s="1">
        <v>100</v>
      </c>
      <c r="P184" s="1">
        <v>91.201045775507481</v>
      </c>
      <c r="Q184" s="1">
        <v>100</v>
      </c>
      <c r="R184" s="1">
        <v>98.539127000430625</v>
      </c>
      <c r="S184" s="1">
        <v>100</v>
      </c>
      <c r="T184" s="1">
        <v>108.08602237248928</v>
      </c>
      <c r="U184" s="1">
        <v>98.778848255775031</v>
      </c>
      <c r="V184" s="1">
        <v>101.67883473847651</v>
      </c>
      <c r="W184" s="1">
        <v>100</v>
      </c>
      <c r="X184" s="1">
        <v>98.938308797866256</v>
      </c>
      <c r="Y184" s="1">
        <v>100</v>
      </c>
      <c r="Z184" s="1">
        <v>96.183395740639924</v>
      </c>
      <c r="AA184" s="1">
        <v>98.539127000430625</v>
      </c>
      <c r="AB184" s="1">
        <v>90.554104833905299</v>
      </c>
      <c r="AC184" s="1">
        <v>101.78077976073585</v>
      </c>
      <c r="AD184" s="1">
        <v>109.88587193387652</v>
      </c>
      <c r="AE184" s="1">
        <v>92.492038502898922</v>
      </c>
      <c r="AF184" s="1">
        <v>107.65025591769401</v>
      </c>
      <c r="AG184" s="1">
        <v>100</v>
      </c>
      <c r="AH184" s="1">
        <v>100</v>
      </c>
      <c r="AI184" s="1">
        <v>100</v>
      </c>
      <c r="AJ184" s="1">
        <v>100</v>
      </c>
      <c r="AK184" s="1">
        <v>96.560019120726452</v>
      </c>
      <c r="AL184" s="1">
        <v>101.08571066637354</v>
      </c>
      <c r="AM184" s="1">
        <v>108.06561148645895</v>
      </c>
      <c r="AN184" s="1">
        <v>106.2055873992188</v>
      </c>
      <c r="AO184" s="1">
        <v>96.611020440433478</v>
      </c>
      <c r="AP184" s="1">
        <v>100</v>
      </c>
      <c r="AQ184" s="1">
        <v>100</v>
      </c>
      <c r="AR184" s="1">
        <v>96.578945423208708</v>
      </c>
      <c r="AS184" s="1">
        <v>100</v>
      </c>
      <c r="AT184" s="1">
        <v>106.10716054775918</v>
      </c>
      <c r="AU184" s="1">
        <v>100</v>
      </c>
      <c r="AV184" s="1">
        <v>99.900323214082661</v>
      </c>
      <c r="AW184" s="1">
        <v>100</v>
      </c>
      <c r="AX184" s="1">
        <v>100</v>
      </c>
      <c r="AY184" s="1">
        <v>100</v>
      </c>
      <c r="AZ184" s="1">
        <v>100</v>
      </c>
      <c r="BA184" s="1">
        <v>100</v>
      </c>
      <c r="BB184" s="1">
        <v>100</v>
      </c>
      <c r="BC184" s="1">
        <v>100</v>
      </c>
      <c r="BD184" s="1">
        <v>100</v>
      </c>
      <c r="BE184" s="1">
        <v>100</v>
      </c>
      <c r="BF184" s="1">
        <v>100</v>
      </c>
      <c r="BG184" s="1">
        <v>100</v>
      </c>
      <c r="BH184" s="1">
        <v>100</v>
      </c>
    </row>
    <row r="185" spans="1:60" x14ac:dyDescent="0.25">
      <c r="A185">
        <v>172</v>
      </c>
      <c r="B185" s="1">
        <v>96.464587655718546</v>
      </c>
      <c r="C185" s="1">
        <v>94.353173132071191</v>
      </c>
      <c r="D185" s="1">
        <v>99.900323214082661</v>
      </c>
      <c r="E185" s="1">
        <v>115.46826639223708</v>
      </c>
      <c r="F185" s="1">
        <v>100</v>
      </c>
      <c r="G185" s="1">
        <v>100</v>
      </c>
      <c r="H185" s="1">
        <v>100.79779325216231</v>
      </c>
      <c r="I185" s="1">
        <v>90.401037594332138</v>
      </c>
      <c r="J185" s="1">
        <v>99.873960030431505</v>
      </c>
      <c r="K185" s="1">
        <v>103.78609788817965</v>
      </c>
      <c r="L185" s="1">
        <v>95.886944599301714</v>
      </c>
      <c r="M185" s="1">
        <v>96.715943522481638</v>
      </c>
      <c r="N185" s="1">
        <v>100</v>
      </c>
      <c r="O185" s="1">
        <v>100</v>
      </c>
      <c r="P185" s="1">
        <v>91.201045775507481</v>
      </c>
      <c r="Q185" s="1">
        <v>100</v>
      </c>
      <c r="R185" s="1">
        <v>98.539127000430625</v>
      </c>
      <c r="S185" s="1">
        <v>100</v>
      </c>
      <c r="T185" s="1">
        <v>108.52482954311</v>
      </c>
      <c r="U185" s="1">
        <v>98.778848255775031</v>
      </c>
      <c r="V185" s="1">
        <v>101.67883473847651</v>
      </c>
      <c r="W185" s="1">
        <v>100</v>
      </c>
      <c r="X185" s="1">
        <v>98.938308797866256</v>
      </c>
      <c r="Y185" s="1">
        <v>100</v>
      </c>
      <c r="Z185" s="1">
        <v>96.183395740639924</v>
      </c>
      <c r="AA185" s="1">
        <v>98.539127000430625</v>
      </c>
      <c r="AB185" s="1">
        <v>90.554104833905299</v>
      </c>
      <c r="AC185" s="1">
        <v>101.78077976073585</v>
      </c>
      <c r="AD185" s="1">
        <v>109.88587193387652</v>
      </c>
      <c r="AE185" s="1">
        <v>92.492038502898922</v>
      </c>
      <c r="AF185" s="1">
        <v>107.65025591769401</v>
      </c>
      <c r="AG185" s="1">
        <v>100</v>
      </c>
      <c r="AH185" s="1">
        <v>100</v>
      </c>
      <c r="AI185" s="1">
        <v>100</v>
      </c>
      <c r="AJ185" s="1">
        <v>100</v>
      </c>
      <c r="AK185" s="1">
        <v>96.560019120726452</v>
      </c>
      <c r="AL185" s="1">
        <v>101.08571066637354</v>
      </c>
      <c r="AM185" s="1">
        <v>108.06561148645895</v>
      </c>
      <c r="AN185" s="1">
        <v>106.2055873992188</v>
      </c>
      <c r="AO185" s="1">
        <v>97.101947059826372</v>
      </c>
      <c r="AP185" s="1">
        <v>100</v>
      </c>
      <c r="AQ185" s="1">
        <v>100</v>
      </c>
      <c r="AR185" s="1">
        <v>96.578945423208708</v>
      </c>
      <c r="AS185" s="1">
        <v>100</v>
      </c>
      <c r="AT185" s="1">
        <v>106.10716054775918</v>
      </c>
      <c r="AU185" s="1">
        <v>100</v>
      </c>
      <c r="AV185" s="1">
        <v>99.900323214082661</v>
      </c>
      <c r="AW185" s="1">
        <v>100</v>
      </c>
      <c r="AX185" s="1">
        <v>100</v>
      </c>
      <c r="AY185" s="1">
        <v>100</v>
      </c>
      <c r="AZ185" s="1">
        <v>100</v>
      </c>
      <c r="BA185" s="1">
        <v>100</v>
      </c>
      <c r="BB185" s="1">
        <v>100</v>
      </c>
      <c r="BC185" s="1">
        <v>100</v>
      </c>
      <c r="BD185" s="1">
        <v>100</v>
      </c>
      <c r="BE185" s="1">
        <v>100</v>
      </c>
      <c r="BF185" s="1">
        <v>100</v>
      </c>
      <c r="BG185" s="1">
        <v>100</v>
      </c>
      <c r="BH185" s="1">
        <v>100</v>
      </c>
    </row>
    <row r="186" spans="1:60" x14ac:dyDescent="0.25">
      <c r="A186">
        <v>173</v>
      </c>
      <c r="B186" s="1">
        <v>96.464587655718546</v>
      </c>
      <c r="C186" s="1">
        <v>94.353173132071191</v>
      </c>
      <c r="D186" s="1">
        <v>99.900323214082661</v>
      </c>
      <c r="E186" s="1">
        <v>115.46826639223708</v>
      </c>
      <c r="F186" s="1">
        <v>100</v>
      </c>
      <c r="G186" s="1">
        <v>100</v>
      </c>
      <c r="H186" s="1">
        <v>100.79779325216231</v>
      </c>
      <c r="I186" s="1">
        <v>90.401037594332138</v>
      </c>
      <c r="J186" s="1">
        <v>99.873960030431505</v>
      </c>
      <c r="K186" s="1">
        <v>104.0248311619229</v>
      </c>
      <c r="L186" s="1">
        <v>95.886944599301714</v>
      </c>
      <c r="M186" s="1">
        <v>96.715943522481638</v>
      </c>
      <c r="N186" s="1">
        <v>100</v>
      </c>
      <c r="O186" s="1">
        <v>100</v>
      </c>
      <c r="P186" s="1">
        <v>91.201045775507481</v>
      </c>
      <c r="Q186" s="1">
        <v>100</v>
      </c>
      <c r="R186" s="1">
        <v>98.539127000430625</v>
      </c>
      <c r="S186" s="1">
        <v>100</v>
      </c>
      <c r="T186" s="1">
        <v>108.52482954311</v>
      </c>
      <c r="U186" s="1">
        <v>98.778848255775031</v>
      </c>
      <c r="V186" s="1">
        <v>101.67883473847651</v>
      </c>
      <c r="W186" s="1">
        <v>100</v>
      </c>
      <c r="X186" s="1">
        <v>98.938308797866256</v>
      </c>
      <c r="Y186" s="1">
        <v>100</v>
      </c>
      <c r="Z186" s="1">
        <v>96.183395740639924</v>
      </c>
      <c r="AA186" s="1">
        <v>98.539127000430625</v>
      </c>
      <c r="AB186" s="1">
        <v>90.554104833905299</v>
      </c>
      <c r="AC186" s="1">
        <v>101.78077976073585</v>
      </c>
      <c r="AD186" s="1">
        <v>109.88587193387652</v>
      </c>
      <c r="AE186" s="1">
        <v>92.492038502898922</v>
      </c>
      <c r="AF186" s="1">
        <v>107.39519561982664</v>
      </c>
      <c r="AG186" s="1">
        <v>100</v>
      </c>
      <c r="AH186" s="1">
        <v>100</v>
      </c>
      <c r="AI186" s="1">
        <v>100</v>
      </c>
      <c r="AJ186" s="1">
        <v>100</v>
      </c>
      <c r="AK186" s="1">
        <v>96.331235389289319</v>
      </c>
      <c r="AL186" s="1">
        <v>101.33082142193481</v>
      </c>
      <c r="AM186" s="1">
        <v>108.06561148645895</v>
      </c>
      <c r="AN186" s="1">
        <v>106.2055873992188</v>
      </c>
      <c r="AO186" s="1">
        <v>97.101947059826372</v>
      </c>
      <c r="AP186" s="1">
        <v>100</v>
      </c>
      <c r="AQ186" s="1">
        <v>100</v>
      </c>
      <c r="AR186" s="1">
        <v>96.578945423208708</v>
      </c>
      <c r="AS186" s="1">
        <v>100</v>
      </c>
      <c r="AT186" s="1">
        <v>106.10716054775918</v>
      </c>
      <c r="AU186" s="1">
        <v>100</v>
      </c>
      <c r="AV186" s="1">
        <v>99.900323214082661</v>
      </c>
      <c r="AW186" s="1">
        <v>100</v>
      </c>
      <c r="AX186" s="1">
        <v>100</v>
      </c>
      <c r="AY186" s="1">
        <v>100</v>
      </c>
      <c r="AZ186" s="1">
        <v>100</v>
      </c>
      <c r="BA186" s="1">
        <v>100</v>
      </c>
      <c r="BB186" s="1">
        <v>100</v>
      </c>
      <c r="BC186" s="1">
        <v>100</v>
      </c>
      <c r="BD186" s="1">
        <v>100</v>
      </c>
      <c r="BE186" s="1">
        <v>100</v>
      </c>
      <c r="BF186" s="1">
        <v>100</v>
      </c>
      <c r="BG186" s="1">
        <v>100</v>
      </c>
      <c r="BH186" s="1">
        <v>100</v>
      </c>
    </row>
    <row r="187" spans="1:60" x14ac:dyDescent="0.25">
      <c r="A187">
        <v>174</v>
      </c>
      <c r="B187" s="1">
        <v>95.964257888801015</v>
      </c>
      <c r="C187" s="1">
        <v>94.353173132071191</v>
      </c>
      <c r="D187" s="1">
        <v>99.900323214082661</v>
      </c>
      <c r="E187" s="1">
        <v>115.46826639223708</v>
      </c>
      <c r="F187" s="1">
        <v>100</v>
      </c>
      <c r="G187" s="1">
        <v>100</v>
      </c>
      <c r="H187" s="1">
        <v>100.79779325216231</v>
      </c>
      <c r="I187" s="1">
        <v>90.401037594332138</v>
      </c>
      <c r="J187" s="1">
        <v>99.873960030431505</v>
      </c>
      <c r="K187" s="1">
        <v>104.0248311619229</v>
      </c>
      <c r="L187" s="1">
        <v>95.886944599301714</v>
      </c>
      <c r="M187" s="1">
        <v>96.715943522481638</v>
      </c>
      <c r="N187" s="1">
        <v>100</v>
      </c>
      <c r="O187" s="1">
        <v>100</v>
      </c>
      <c r="P187" s="1">
        <v>91.201045775507481</v>
      </c>
      <c r="Q187" s="1">
        <v>100</v>
      </c>
      <c r="R187" s="1">
        <v>98.539127000430625</v>
      </c>
      <c r="S187" s="1">
        <v>100</v>
      </c>
      <c r="T187" s="1">
        <v>108.52482954311</v>
      </c>
      <c r="U187" s="1">
        <v>98.778848255775031</v>
      </c>
      <c r="V187" s="1">
        <v>101.67883473847651</v>
      </c>
      <c r="W187" s="1">
        <v>100</v>
      </c>
      <c r="X187" s="1">
        <v>98.938308797866256</v>
      </c>
      <c r="Y187" s="1">
        <v>100</v>
      </c>
      <c r="Z187" s="1">
        <v>95.684524422763118</v>
      </c>
      <c r="AA187" s="1">
        <v>98.539127000430625</v>
      </c>
      <c r="AB187" s="1">
        <v>90.554104833905299</v>
      </c>
      <c r="AC187" s="1">
        <v>101.78077976073585</v>
      </c>
      <c r="AD187" s="1">
        <v>109.88587193387652</v>
      </c>
      <c r="AE187" s="1">
        <v>93.0017970348663</v>
      </c>
      <c r="AF187" s="1">
        <v>107.39519561982664</v>
      </c>
      <c r="AG187" s="1">
        <v>100</v>
      </c>
      <c r="AH187" s="1">
        <v>100</v>
      </c>
      <c r="AI187" s="1">
        <v>100</v>
      </c>
      <c r="AJ187" s="1">
        <v>100</v>
      </c>
      <c r="AK187" s="1">
        <v>96.820677942116262</v>
      </c>
      <c r="AL187" s="1">
        <v>101.33082142193481</v>
      </c>
      <c r="AM187" s="1">
        <v>108.06561148645895</v>
      </c>
      <c r="AN187" s="1">
        <v>106.2055873992188</v>
      </c>
      <c r="AO187" s="1">
        <v>97.101947059826372</v>
      </c>
      <c r="AP187" s="1">
        <v>100</v>
      </c>
      <c r="AQ187" s="1">
        <v>100</v>
      </c>
      <c r="AR187" s="1">
        <v>96.578945423208708</v>
      </c>
      <c r="AS187" s="1">
        <v>100</v>
      </c>
      <c r="AT187" s="1">
        <v>106.10716054775918</v>
      </c>
      <c r="AU187" s="1">
        <v>100</v>
      </c>
      <c r="AV187" s="1">
        <v>99.900323214082661</v>
      </c>
      <c r="AW187" s="1">
        <v>100</v>
      </c>
      <c r="AX187" s="1">
        <v>100</v>
      </c>
      <c r="AY187" s="1">
        <v>100</v>
      </c>
      <c r="AZ187" s="1">
        <v>100</v>
      </c>
      <c r="BA187" s="1">
        <v>100</v>
      </c>
      <c r="BB187" s="1">
        <v>100</v>
      </c>
      <c r="BC187" s="1">
        <v>100</v>
      </c>
      <c r="BD187" s="1">
        <v>100</v>
      </c>
      <c r="BE187" s="1">
        <v>100</v>
      </c>
      <c r="BF187" s="1">
        <v>100</v>
      </c>
      <c r="BG187" s="1">
        <v>100</v>
      </c>
      <c r="BH187" s="1">
        <v>100</v>
      </c>
    </row>
    <row r="188" spans="1:60" x14ac:dyDescent="0.25">
      <c r="A188">
        <v>175</v>
      </c>
      <c r="B188" s="1">
        <v>96.598262359508567</v>
      </c>
      <c r="C188" s="1">
        <v>94.353173132071191</v>
      </c>
      <c r="D188" s="1">
        <v>99.900323214082661</v>
      </c>
      <c r="E188" s="1">
        <v>115.46826639223708</v>
      </c>
      <c r="F188" s="1">
        <v>100</v>
      </c>
      <c r="G188" s="1">
        <v>100</v>
      </c>
      <c r="H188" s="1">
        <v>100.79779325216231</v>
      </c>
      <c r="I188" s="1">
        <v>90.401037594332138</v>
      </c>
      <c r="J188" s="1">
        <v>99.873960030431505</v>
      </c>
      <c r="K188" s="1">
        <v>104.0248311619229</v>
      </c>
      <c r="L188" s="1">
        <v>95.886944599301714</v>
      </c>
      <c r="M188" s="1">
        <v>96.715943522481638</v>
      </c>
      <c r="N188" s="1">
        <v>100</v>
      </c>
      <c r="O188" s="1">
        <v>100</v>
      </c>
      <c r="P188" s="1">
        <v>91.201045775507481</v>
      </c>
      <c r="Q188" s="1">
        <v>100</v>
      </c>
      <c r="R188" s="1">
        <v>98.539127000430625</v>
      </c>
      <c r="S188" s="1">
        <v>100</v>
      </c>
      <c r="T188" s="1">
        <v>108.52482954311</v>
      </c>
      <c r="U188" s="1">
        <v>98.778848255775031</v>
      </c>
      <c r="V188" s="1">
        <v>101.67883473847651</v>
      </c>
      <c r="W188" s="1">
        <v>100</v>
      </c>
      <c r="X188" s="1">
        <v>98.938308797866256</v>
      </c>
      <c r="Y188" s="1">
        <v>100</v>
      </c>
      <c r="Z188" s="1">
        <v>96.320382403943185</v>
      </c>
      <c r="AA188" s="1">
        <v>98.539127000430625</v>
      </c>
      <c r="AB188" s="1">
        <v>90.554104833905299</v>
      </c>
      <c r="AC188" s="1">
        <v>101.78077976073585</v>
      </c>
      <c r="AD188" s="1">
        <v>109.88587193387652</v>
      </c>
      <c r="AE188" s="1">
        <v>92.37963946355147</v>
      </c>
      <c r="AF188" s="1">
        <v>107.39519561982664</v>
      </c>
      <c r="AG188" s="1">
        <v>100</v>
      </c>
      <c r="AH188" s="1">
        <v>100</v>
      </c>
      <c r="AI188" s="1">
        <v>100</v>
      </c>
      <c r="AJ188" s="1">
        <v>100</v>
      </c>
      <c r="AK188" s="1">
        <v>96.172973061543473</v>
      </c>
      <c r="AL188" s="1">
        <v>101.33082142193481</v>
      </c>
      <c r="AM188" s="1">
        <v>108.06561148645895</v>
      </c>
      <c r="AN188" s="1">
        <v>106.2055873992188</v>
      </c>
      <c r="AO188" s="1">
        <v>97.101947059826372</v>
      </c>
      <c r="AP188" s="1">
        <v>100</v>
      </c>
      <c r="AQ188" s="1">
        <v>100</v>
      </c>
      <c r="AR188" s="1">
        <v>96.578945423208708</v>
      </c>
      <c r="AS188" s="1">
        <v>100</v>
      </c>
      <c r="AT188" s="1">
        <v>106.10716054775918</v>
      </c>
      <c r="AU188" s="1">
        <v>100</v>
      </c>
      <c r="AV188" s="1">
        <v>99.900323214082661</v>
      </c>
      <c r="AW188" s="1">
        <v>100</v>
      </c>
      <c r="AX188" s="1">
        <v>100</v>
      </c>
      <c r="AY188" s="1">
        <v>100</v>
      </c>
      <c r="AZ188" s="1">
        <v>100</v>
      </c>
      <c r="BA188" s="1">
        <v>100</v>
      </c>
      <c r="BB188" s="1">
        <v>100</v>
      </c>
      <c r="BC188" s="1">
        <v>100</v>
      </c>
      <c r="BD188" s="1">
        <v>100</v>
      </c>
      <c r="BE188" s="1">
        <v>100</v>
      </c>
      <c r="BF188" s="1">
        <v>100</v>
      </c>
      <c r="BG188" s="1">
        <v>100</v>
      </c>
      <c r="BH188" s="1">
        <v>100</v>
      </c>
    </row>
    <row r="189" spans="1:60" x14ac:dyDescent="0.25">
      <c r="A189">
        <v>176</v>
      </c>
      <c r="B189" s="1">
        <v>96.598262359508567</v>
      </c>
      <c r="C189" s="1">
        <v>94.353173132071191</v>
      </c>
      <c r="D189" s="1">
        <v>99.900323214082661</v>
      </c>
      <c r="E189" s="1">
        <v>115.46826639223708</v>
      </c>
      <c r="F189" s="1">
        <v>100</v>
      </c>
      <c r="G189" s="1">
        <v>100</v>
      </c>
      <c r="H189" s="1">
        <v>100.79779325216231</v>
      </c>
      <c r="I189" s="1">
        <v>90.401037594332138</v>
      </c>
      <c r="J189" s="1">
        <v>99.873960030431505</v>
      </c>
      <c r="K189" s="1">
        <v>103.19568508717649</v>
      </c>
      <c r="L189" s="1">
        <v>95.886944599301714</v>
      </c>
      <c r="M189" s="1">
        <v>96.715943522481638</v>
      </c>
      <c r="N189" s="1">
        <v>100</v>
      </c>
      <c r="O189" s="1">
        <v>100</v>
      </c>
      <c r="P189" s="1">
        <v>91.201045775507481</v>
      </c>
      <c r="Q189" s="1">
        <v>100</v>
      </c>
      <c r="R189" s="1">
        <v>98.539127000430625</v>
      </c>
      <c r="S189" s="1">
        <v>100</v>
      </c>
      <c r="T189" s="1">
        <v>109.3177282767886</v>
      </c>
      <c r="U189" s="1">
        <v>98.778848255775031</v>
      </c>
      <c r="V189" s="1">
        <v>101.67883473847651</v>
      </c>
      <c r="W189" s="1">
        <v>100</v>
      </c>
      <c r="X189" s="1">
        <v>98.938308797866256</v>
      </c>
      <c r="Y189" s="1">
        <v>100</v>
      </c>
      <c r="Z189" s="1">
        <v>96.320382403943185</v>
      </c>
      <c r="AA189" s="1">
        <v>98.539127000430625</v>
      </c>
      <c r="AB189" s="1">
        <v>90.554104833905299</v>
      </c>
      <c r="AC189" s="1">
        <v>101.78077976073585</v>
      </c>
      <c r="AD189" s="1">
        <v>109.88587193387652</v>
      </c>
      <c r="AE189" s="1">
        <v>92.37963946355147</v>
      </c>
      <c r="AF189" s="1">
        <v>107.39519561982664</v>
      </c>
      <c r="AG189" s="1">
        <v>100</v>
      </c>
      <c r="AH189" s="1">
        <v>100</v>
      </c>
      <c r="AI189" s="1">
        <v>100</v>
      </c>
      <c r="AJ189" s="1">
        <v>100</v>
      </c>
      <c r="AK189" s="1">
        <v>96.172973061543473</v>
      </c>
      <c r="AL189" s="1">
        <v>101.33082142193481</v>
      </c>
      <c r="AM189" s="1">
        <v>108.06561148645895</v>
      </c>
      <c r="AN189" s="1">
        <v>107.01580089197945</v>
      </c>
      <c r="AO189" s="1">
        <v>96.32798090813354</v>
      </c>
      <c r="AP189" s="1">
        <v>100</v>
      </c>
      <c r="AQ189" s="1">
        <v>100</v>
      </c>
      <c r="AR189" s="1">
        <v>96.578945423208708</v>
      </c>
      <c r="AS189" s="1">
        <v>100</v>
      </c>
      <c r="AT189" s="1">
        <v>106.10716054775918</v>
      </c>
      <c r="AU189" s="1">
        <v>100</v>
      </c>
      <c r="AV189" s="1">
        <v>99.900323214082661</v>
      </c>
      <c r="AW189" s="1">
        <v>100</v>
      </c>
      <c r="AX189" s="1">
        <v>100</v>
      </c>
      <c r="AY189" s="1">
        <v>100</v>
      </c>
      <c r="AZ189" s="1">
        <v>100</v>
      </c>
      <c r="BA189" s="1">
        <v>100</v>
      </c>
      <c r="BB189" s="1">
        <v>100</v>
      </c>
      <c r="BC189" s="1">
        <v>100</v>
      </c>
      <c r="BD189" s="1">
        <v>100</v>
      </c>
      <c r="BE189" s="1">
        <v>100</v>
      </c>
      <c r="BF189" s="1">
        <v>100</v>
      </c>
      <c r="BG189" s="1">
        <v>100</v>
      </c>
      <c r="BH189" s="1">
        <v>100</v>
      </c>
    </row>
    <row r="190" spans="1:60" x14ac:dyDescent="0.25">
      <c r="A190">
        <v>177</v>
      </c>
      <c r="B190" s="1">
        <v>96.598262359508567</v>
      </c>
      <c r="C190" s="1">
        <v>94.353173132071191</v>
      </c>
      <c r="D190" s="1">
        <v>99.900323214082661</v>
      </c>
      <c r="E190" s="1">
        <v>115.46826639223708</v>
      </c>
      <c r="F190" s="1">
        <v>100</v>
      </c>
      <c r="G190" s="1">
        <v>100</v>
      </c>
      <c r="H190" s="1">
        <v>100.79779325216231</v>
      </c>
      <c r="I190" s="1">
        <v>90.401037594332138</v>
      </c>
      <c r="J190" s="1">
        <v>99.873960030431505</v>
      </c>
      <c r="K190" s="1">
        <v>104.54586486883537</v>
      </c>
      <c r="L190" s="1">
        <v>95.886944599301714</v>
      </c>
      <c r="M190" s="1">
        <v>96.715943522481638</v>
      </c>
      <c r="N190" s="1">
        <v>100</v>
      </c>
      <c r="O190" s="1">
        <v>100</v>
      </c>
      <c r="P190" s="1">
        <v>91.201045775507481</v>
      </c>
      <c r="Q190" s="1">
        <v>100</v>
      </c>
      <c r="R190" s="1">
        <v>98.539127000430625</v>
      </c>
      <c r="S190" s="1">
        <v>100</v>
      </c>
      <c r="T190" s="1">
        <v>107.90453903799242</v>
      </c>
      <c r="U190" s="1">
        <v>98.778848255775031</v>
      </c>
      <c r="V190" s="1">
        <v>101.67883473847651</v>
      </c>
      <c r="W190" s="1">
        <v>100</v>
      </c>
      <c r="X190" s="1">
        <v>98.938308797866256</v>
      </c>
      <c r="Y190" s="1">
        <v>100</v>
      </c>
      <c r="Z190" s="1">
        <v>96.320382403943185</v>
      </c>
      <c r="AA190" s="1">
        <v>98.539127000430625</v>
      </c>
      <c r="AB190" s="1">
        <v>90.554104833905299</v>
      </c>
      <c r="AC190" s="1">
        <v>101.78077976073585</v>
      </c>
      <c r="AD190" s="1">
        <v>109.88587193387652</v>
      </c>
      <c r="AE190" s="1">
        <v>92.37963946355147</v>
      </c>
      <c r="AF190" s="1">
        <v>107.39519561982664</v>
      </c>
      <c r="AG190" s="1">
        <v>100</v>
      </c>
      <c r="AH190" s="1">
        <v>100</v>
      </c>
      <c r="AI190" s="1">
        <v>100</v>
      </c>
      <c r="AJ190" s="1">
        <v>100</v>
      </c>
      <c r="AK190" s="1">
        <v>96.172973061543473</v>
      </c>
      <c r="AL190" s="1">
        <v>101.33082142193481</v>
      </c>
      <c r="AM190" s="1">
        <v>108.06561148645895</v>
      </c>
      <c r="AN190" s="1">
        <v>105.63236948898889</v>
      </c>
      <c r="AO190" s="1">
        <v>97.774421768261419</v>
      </c>
      <c r="AP190" s="1">
        <v>100</v>
      </c>
      <c r="AQ190" s="1">
        <v>100</v>
      </c>
      <c r="AR190" s="1">
        <v>96.578945423208708</v>
      </c>
      <c r="AS190" s="1">
        <v>100</v>
      </c>
      <c r="AT190" s="1">
        <v>106.10716054775918</v>
      </c>
      <c r="AU190" s="1">
        <v>100</v>
      </c>
      <c r="AV190" s="1">
        <v>99.900323214082661</v>
      </c>
      <c r="AW190" s="1">
        <v>100</v>
      </c>
      <c r="AX190" s="1">
        <v>100</v>
      </c>
      <c r="AY190" s="1">
        <v>100</v>
      </c>
      <c r="AZ190" s="1">
        <v>100</v>
      </c>
      <c r="BA190" s="1">
        <v>100</v>
      </c>
      <c r="BB190" s="1">
        <v>100</v>
      </c>
      <c r="BC190" s="1">
        <v>100</v>
      </c>
      <c r="BD190" s="1">
        <v>100</v>
      </c>
      <c r="BE190" s="1">
        <v>100</v>
      </c>
      <c r="BF190" s="1">
        <v>100</v>
      </c>
      <c r="BG190" s="1">
        <v>100</v>
      </c>
      <c r="BH190" s="1">
        <v>100</v>
      </c>
    </row>
    <row r="191" spans="1:60" x14ac:dyDescent="0.25">
      <c r="A191">
        <v>178</v>
      </c>
      <c r="B191" s="1">
        <v>96.598262359508567</v>
      </c>
      <c r="C191" s="1">
        <v>94.353173132071191</v>
      </c>
      <c r="D191" s="1">
        <v>99.900323214082661</v>
      </c>
      <c r="E191" s="1">
        <v>115.46826639223708</v>
      </c>
      <c r="F191" s="1">
        <v>100</v>
      </c>
      <c r="G191" s="1">
        <v>100</v>
      </c>
      <c r="H191" s="1">
        <v>100.79779325216231</v>
      </c>
      <c r="I191" s="1">
        <v>91.739150003765786</v>
      </c>
      <c r="J191" s="1">
        <v>99.873960030431505</v>
      </c>
      <c r="K191" s="1">
        <v>104.54586486883537</v>
      </c>
      <c r="L191" s="1">
        <v>95.886944599301714</v>
      </c>
      <c r="M191" s="1">
        <v>96.715943522481638</v>
      </c>
      <c r="N191" s="1">
        <v>100</v>
      </c>
      <c r="O191" s="1">
        <v>100</v>
      </c>
      <c r="P191" s="1">
        <v>90.036155533140288</v>
      </c>
      <c r="Q191" s="1">
        <v>100</v>
      </c>
      <c r="R191" s="1">
        <v>98.539127000430625</v>
      </c>
      <c r="S191" s="1">
        <v>100</v>
      </c>
      <c r="T191" s="1">
        <v>109.02559243675688</v>
      </c>
      <c r="U191" s="1">
        <v>98.778848255775031</v>
      </c>
      <c r="V191" s="1">
        <v>101.67883473847651</v>
      </c>
      <c r="W191" s="1">
        <v>100</v>
      </c>
      <c r="X191" s="1">
        <v>98.938308797866256</v>
      </c>
      <c r="Y191" s="1">
        <v>100</v>
      </c>
      <c r="Z191" s="1">
        <v>96.320382403943185</v>
      </c>
      <c r="AA191" s="1">
        <v>98.539127000430625</v>
      </c>
      <c r="AB191" s="1">
        <v>90.554104833905299</v>
      </c>
      <c r="AC191" s="1">
        <v>101.78077976073585</v>
      </c>
      <c r="AD191" s="1">
        <v>109.88587193387652</v>
      </c>
      <c r="AE191" s="1">
        <v>92.37963946355147</v>
      </c>
      <c r="AF191" s="1">
        <v>107.39519561982664</v>
      </c>
      <c r="AG191" s="1">
        <v>100</v>
      </c>
      <c r="AH191" s="1">
        <v>100</v>
      </c>
      <c r="AI191" s="1">
        <v>100</v>
      </c>
      <c r="AJ191" s="1">
        <v>100</v>
      </c>
      <c r="AK191" s="1">
        <v>96.172973061543473</v>
      </c>
      <c r="AL191" s="1">
        <v>100.03654585610391</v>
      </c>
      <c r="AM191" s="1">
        <v>108.06561148645895</v>
      </c>
      <c r="AN191" s="1">
        <v>105.63236948898889</v>
      </c>
      <c r="AO191" s="1">
        <v>97.774421768261419</v>
      </c>
      <c r="AP191" s="1">
        <v>100</v>
      </c>
      <c r="AQ191" s="1">
        <v>100</v>
      </c>
      <c r="AR191" s="1">
        <v>96.578945423208708</v>
      </c>
      <c r="AS191" s="1">
        <v>100</v>
      </c>
      <c r="AT191" s="1">
        <v>106.10716054775918</v>
      </c>
      <c r="AU191" s="1">
        <v>100</v>
      </c>
      <c r="AV191" s="1">
        <v>99.900323214082661</v>
      </c>
      <c r="AW191" s="1">
        <v>100</v>
      </c>
      <c r="AX191" s="1">
        <v>100</v>
      </c>
      <c r="AY191" s="1">
        <v>100</v>
      </c>
      <c r="AZ191" s="1">
        <v>100</v>
      </c>
      <c r="BA191" s="1">
        <v>100</v>
      </c>
      <c r="BB191" s="1">
        <v>100</v>
      </c>
      <c r="BC191" s="1">
        <v>100</v>
      </c>
      <c r="BD191" s="1">
        <v>100</v>
      </c>
      <c r="BE191" s="1">
        <v>100</v>
      </c>
      <c r="BF191" s="1">
        <v>100</v>
      </c>
      <c r="BG191" s="1">
        <v>100</v>
      </c>
      <c r="BH191" s="1">
        <v>100</v>
      </c>
    </row>
    <row r="192" spans="1:60" x14ac:dyDescent="0.25">
      <c r="A192">
        <v>179</v>
      </c>
      <c r="B192" s="1">
        <v>96.598262359508567</v>
      </c>
      <c r="C192" s="1">
        <v>94.353173132071191</v>
      </c>
      <c r="D192" s="1">
        <v>99.900323214082661</v>
      </c>
      <c r="E192" s="1">
        <v>115.46826639223708</v>
      </c>
      <c r="F192" s="1">
        <v>100</v>
      </c>
      <c r="G192" s="1">
        <v>100</v>
      </c>
      <c r="H192" s="1">
        <v>100.79779325216231</v>
      </c>
      <c r="I192" s="1">
        <v>91.623000485584186</v>
      </c>
      <c r="J192" s="1">
        <v>99.873960030431505</v>
      </c>
      <c r="K192" s="1">
        <v>104.54586486883537</v>
      </c>
      <c r="L192" s="1">
        <v>95.886944599301714</v>
      </c>
      <c r="M192" s="1">
        <v>96.715943522481638</v>
      </c>
      <c r="N192" s="1">
        <v>100</v>
      </c>
      <c r="O192" s="1">
        <v>100</v>
      </c>
      <c r="P192" s="1">
        <v>90.169934884882707</v>
      </c>
      <c r="Q192" s="1">
        <v>100</v>
      </c>
      <c r="R192" s="1">
        <v>98.539127000430625</v>
      </c>
      <c r="S192" s="1">
        <v>100</v>
      </c>
      <c r="T192" s="1">
        <v>108.88755682131382</v>
      </c>
      <c r="U192" s="1">
        <v>98.778848255775031</v>
      </c>
      <c r="V192" s="1">
        <v>101.67883473847651</v>
      </c>
      <c r="W192" s="1">
        <v>100</v>
      </c>
      <c r="X192" s="1">
        <v>98.938308797866256</v>
      </c>
      <c r="Y192" s="1">
        <v>100</v>
      </c>
      <c r="Z192" s="1">
        <v>96.320382403943185</v>
      </c>
      <c r="AA192" s="1">
        <v>98.539127000430625</v>
      </c>
      <c r="AB192" s="1">
        <v>90.554104833905299</v>
      </c>
      <c r="AC192" s="1">
        <v>101.78077976073585</v>
      </c>
      <c r="AD192" s="1">
        <v>109.88587193387652</v>
      </c>
      <c r="AE192" s="1">
        <v>92.37963946355147</v>
      </c>
      <c r="AF192" s="1">
        <v>107.39519561982664</v>
      </c>
      <c r="AG192" s="1">
        <v>100</v>
      </c>
      <c r="AH192" s="1">
        <v>100</v>
      </c>
      <c r="AI192" s="1">
        <v>100</v>
      </c>
      <c r="AJ192" s="1">
        <v>100</v>
      </c>
      <c r="AK192" s="1">
        <v>96.172973061543473</v>
      </c>
      <c r="AL192" s="1">
        <v>100.15695163798615</v>
      </c>
      <c r="AM192" s="1">
        <v>108.06561148645895</v>
      </c>
      <c r="AN192" s="1">
        <v>105.63236948898889</v>
      </c>
      <c r="AO192" s="1">
        <v>97.774421768261419</v>
      </c>
      <c r="AP192" s="1">
        <v>100</v>
      </c>
      <c r="AQ192" s="1">
        <v>100</v>
      </c>
      <c r="AR192" s="1">
        <v>96.578945423208708</v>
      </c>
      <c r="AS192" s="1">
        <v>100</v>
      </c>
      <c r="AT192" s="1">
        <v>106.10716054775918</v>
      </c>
      <c r="AU192" s="1">
        <v>100</v>
      </c>
      <c r="AV192" s="1">
        <v>99.900323214082661</v>
      </c>
      <c r="AW192" s="1">
        <v>100</v>
      </c>
      <c r="AX192" s="1">
        <v>100</v>
      </c>
      <c r="AY192" s="1">
        <v>100</v>
      </c>
      <c r="AZ192" s="1">
        <v>100</v>
      </c>
      <c r="BA192" s="1">
        <v>100</v>
      </c>
      <c r="BB192" s="1">
        <v>100</v>
      </c>
      <c r="BC192" s="1">
        <v>100</v>
      </c>
      <c r="BD192" s="1">
        <v>100</v>
      </c>
      <c r="BE192" s="1">
        <v>100</v>
      </c>
      <c r="BF192" s="1">
        <v>100</v>
      </c>
      <c r="BG192" s="1">
        <v>100</v>
      </c>
      <c r="BH192" s="1">
        <v>100</v>
      </c>
    </row>
    <row r="193" spans="1:60" x14ac:dyDescent="0.25">
      <c r="A193">
        <v>180</v>
      </c>
      <c r="B193" s="1">
        <v>96.598262359508567</v>
      </c>
      <c r="C193" s="1">
        <v>94.353173132071191</v>
      </c>
      <c r="D193" s="1">
        <v>99.900323214082661</v>
      </c>
      <c r="E193" s="1">
        <v>115.46826639223708</v>
      </c>
      <c r="F193" s="1">
        <v>100</v>
      </c>
      <c r="G193" s="1">
        <v>100</v>
      </c>
      <c r="H193" s="1">
        <v>100.79779325216231</v>
      </c>
      <c r="I193" s="1">
        <v>91.623000485584186</v>
      </c>
      <c r="J193" s="1">
        <v>99.873960030431505</v>
      </c>
      <c r="K193" s="1">
        <v>104.54586486883537</v>
      </c>
      <c r="L193" s="1">
        <v>95.886944599301714</v>
      </c>
      <c r="M193" s="1">
        <v>96.715943522481638</v>
      </c>
      <c r="N193" s="1">
        <v>100</v>
      </c>
      <c r="O193" s="1">
        <v>100</v>
      </c>
      <c r="P193" s="1">
        <v>90.169934884882707</v>
      </c>
      <c r="Q193" s="1">
        <v>100</v>
      </c>
      <c r="R193" s="1">
        <v>98.539127000430625</v>
      </c>
      <c r="S193" s="1">
        <v>100</v>
      </c>
      <c r="T193" s="1">
        <v>108.88755682131382</v>
      </c>
      <c r="U193" s="1">
        <v>98.778848255775031</v>
      </c>
      <c r="V193" s="1">
        <v>101.72281750084119</v>
      </c>
      <c r="W193" s="1">
        <v>100</v>
      </c>
      <c r="X193" s="1">
        <v>98.938308797866256</v>
      </c>
      <c r="Y193" s="1">
        <v>100</v>
      </c>
      <c r="Z193" s="1">
        <v>96.320382403943185</v>
      </c>
      <c r="AA193" s="1">
        <v>98.539127000430625</v>
      </c>
      <c r="AB193" s="1">
        <v>90.51269093537455</v>
      </c>
      <c r="AC193" s="1">
        <v>101.78077976073585</v>
      </c>
      <c r="AD193" s="1">
        <v>109.88587193387652</v>
      </c>
      <c r="AE193" s="1">
        <v>92.37963946355147</v>
      </c>
      <c r="AF193" s="1">
        <v>107.39519561982664</v>
      </c>
      <c r="AG193" s="1">
        <v>100</v>
      </c>
      <c r="AH193" s="1">
        <v>100</v>
      </c>
      <c r="AI193" s="1">
        <v>100</v>
      </c>
      <c r="AJ193" s="1">
        <v>100</v>
      </c>
      <c r="AK193" s="1">
        <v>96.172973061543473</v>
      </c>
      <c r="AL193" s="1">
        <v>100.15695163798615</v>
      </c>
      <c r="AM193" s="1">
        <v>108.06561148645895</v>
      </c>
      <c r="AN193" s="1">
        <v>105.63236948898889</v>
      </c>
      <c r="AO193" s="1">
        <v>97.729705739215134</v>
      </c>
      <c r="AP193" s="1">
        <v>100</v>
      </c>
      <c r="AQ193" s="1">
        <v>100</v>
      </c>
      <c r="AR193" s="1">
        <v>96.578945423208708</v>
      </c>
      <c r="AS193" s="1">
        <v>100</v>
      </c>
      <c r="AT193" s="1">
        <v>106.14930771297153</v>
      </c>
      <c r="AU193" s="1">
        <v>100</v>
      </c>
      <c r="AV193" s="1">
        <v>99.900323214082661</v>
      </c>
      <c r="AW193" s="1">
        <v>100</v>
      </c>
      <c r="AX193" s="1">
        <v>100</v>
      </c>
      <c r="AY193" s="1">
        <v>100</v>
      </c>
      <c r="AZ193" s="1">
        <v>100</v>
      </c>
      <c r="BA193" s="1">
        <v>100</v>
      </c>
      <c r="BB193" s="1">
        <v>100</v>
      </c>
      <c r="BC193" s="1">
        <v>100</v>
      </c>
      <c r="BD193" s="1">
        <v>100</v>
      </c>
      <c r="BE193" s="1">
        <v>100</v>
      </c>
      <c r="BF193" s="1">
        <v>100</v>
      </c>
      <c r="BG193" s="1">
        <v>100</v>
      </c>
      <c r="BH193" s="1">
        <v>100</v>
      </c>
    </row>
    <row r="194" spans="1:60" x14ac:dyDescent="0.25">
      <c r="A194">
        <v>181</v>
      </c>
      <c r="B194" s="1">
        <v>96.598262359508567</v>
      </c>
      <c r="C194" s="1">
        <v>94.353173132071191</v>
      </c>
      <c r="D194" s="1">
        <v>99.900323214082661</v>
      </c>
      <c r="E194" s="1">
        <v>115.46826639223708</v>
      </c>
      <c r="F194" s="1">
        <v>100</v>
      </c>
      <c r="G194" s="1">
        <v>100</v>
      </c>
      <c r="H194" s="1">
        <v>100.79779325216231</v>
      </c>
      <c r="I194" s="1">
        <v>91.623000485584186</v>
      </c>
      <c r="J194" s="1">
        <v>99.873960030431505</v>
      </c>
      <c r="K194" s="1">
        <v>104.54586486883537</v>
      </c>
      <c r="L194" s="1">
        <v>95.886944599301714</v>
      </c>
      <c r="M194" s="1">
        <v>96.715943522481638</v>
      </c>
      <c r="N194" s="1">
        <v>100</v>
      </c>
      <c r="O194" s="1">
        <v>100</v>
      </c>
      <c r="P194" s="1">
        <v>90.169934884882707</v>
      </c>
      <c r="Q194" s="1">
        <v>100</v>
      </c>
      <c r="R194" s="1">
        <v>98.539127000430625</v>
      </c>
      <c r="S194" s="1">
        <v>100</v>
      </c>
      <c r="T194" s="1">
        <v>108.88755682131382</v>
      </c>
      <c r="U194" s="1">
        <v>98.778848255775031</v>
      </c>
      <c r="V194" s="1">
        <v>101.41077088688627</v>
      </c>
      <c r="W194" s="1">
        <v>100</v>
      </c>
      <c r="X194" s="1">
        <v>98.938308797866256</v>
      </c>
      <c r="Y194" s="1">
        <v>100</v>
      </c>
      <c r="Z194" s="1">
        <v>96.320382403943185</v>
      </c>
      <c r="AA194" s="1">
        <v>98.539127000430625</v>
      </c>
      <c r="AB194" s="1">
        <v>90.843750772761823</v>
      </c>
      <c r="AC194" s="1">
        <v>101.78077976073585</v>
      </c>
      <c r="AD194" s="1">
        <v>109.88587193387652</v>
      </c>
      <c r="AE194" s="1">
        <v>92.37963946355147</v>
      </c>
      <c r="AF194" s="1">
        <v>107.39519561982664</v>
      </c>
      <c r="AG194" s="1">
        <v>100</v>
      </c>
      <c r="AH194" s="1">
        <v>100</v>
      </c>
      <c r="AI194" s="1">
        <v>100</v>
      </c>
      <c r="AJ194" s="1">
        <v>100</v>
      </c>
      <c r="AK194" s="1">
        <v>96.172973061543473</v>
      </c>
      <c r="AL194" s="1">
        <v>100.15695163798615</v>
      </c>
      <c r="AM194" s="1">
        <v>108.06561148645895</v>
      </c>
      <c r="AN194" s="1">
        <v>105.63236948898889</v>
      </c>
      <c r="AO194" s="1">
        <v>98.036317905044328</v>
      </c>
      <c r="AP194" s="1">
        <v>100</v>
      </c>
      <c r="AQ194" s="1">
        <v>100</v>
      </c>
      <c r="AR194" s="1">
        <v>96.578945423208708</v>
      </c>
      <c r="AS194" s="1">
        <v>100</v>
      </c>
      <c r="AT194" s="1">
        <v>105.82368232370999</v>
      </c>
      <c r="AU194" s="1">
        <v>100</v>
      </c>
      <c r="AV194" s="1">
        <v>99.900323214082661</v>
      </c>
      <c r="AW194" s="1">
        <v>100</v>
      </c>
      <c r="AX194" s="1">
        <v>100</v>
      </c>
      <c r="AY194" s="1">
        <v>100</v>
      </c>
      <c r="AZ194" s="1">
        <v>100</v>
      </c>
      <c r="BA194" s="1">
        <v>100</v>
      </c>
      <c r="BB194" s="1">
        <v>100</v>
      </c>
      <c r="BC194" s="1">
        <v>100</v>
      </c>
      <c r="BD194" s="1">
        <v>100</v>
      </c>
      <c r="BE194" s="1">
        <v>100</v>
      </c>
      <c r="BF194" s="1">
        <v>100</v>
      </c>
      <c r="BG194" s="1">
        <v>100</v>
      </c>
      <c r="BH194" s="1">
        <v>100</v>
      </c>
    </row>
    <row r="195" spans="1:60" x14ac:dyDescent="0.25">
      <c r="A195">
        <v>182</v>
      </c>
      <c r="B195" s="1">
        <v>96.598262359508567</v>
      </c>
      <c r="C195" s="1">
        <v>94.353173132071191</v>
      </c>
      <c r="D195" s="1">
        <v>99.900323214082661</v>
      </c>
      <c r="E195" s="1">
        <v>115.46826639223708</v>
      </c>
      <c r="F195" s="1">
        <v>100</v>
      </c>
      <c r="G195" s="1">
        <v>100</v>
      </c>
      <c r="H195" s="1">
        <v>100.79779325216231</v>
      </c>
      <c r="I195" s="1">
        <v>91.623000485584186</v>
      </c>
      <c r="J195" s="1">
        <v>99.873960030431505</v>
      </c>
      <c r="K195" s="1">
        <v>104.08262938398745</v>
      </c>
      <c r="L195" s="1">
        <v>95.886944599301714</v>
      </c>
      <c r="M195" s="1">
        <v>96.715943522481638</v>
      </c>
      <c r="N195" s="1">
        <v>100</v>
      </c>
      <c r="O195" s="1">
        <v>100</v>
      </c>
      <c r="P195" s="1">
        <v>90.169934884882707</v>
      </c>
      <c r="Q195" s="1">
        <v>100</v>
      </c>
      <c r="R195" s="1">
        <v>98.539127000430625</v>
      </c>
      <c r="S195" s="1">
        <v>100</v>
      </c>
      <c r="T195" s="1">
        <v>109.29576937870353</v>
      </c>
      <c r="U195" s="1">
        <v>98.778848255775031</v>
      </c>
      <c r="V195" s="1">
        <v>101.41077088688627</v>
      </c>
      <c r="W195" s="1">
        <v>100</v>
      </c>
      <c r="X195" s="1">
        <v>98.938308797866256</v>
      </c>
      <c r="Y195" s="1">
        <v>100</v>
      </c>
      <c r="Z195" s="1">
        <v>96.320382403943185</v>
      </c>
      <c r="AA195" s="1">
        <v>98.539127000430625</v>
      </c>
      <c r="AB195" s="1">
        <v>90.843750772761823</v>
      </c>
      <c r="AC195" s="1">
        <v>101.78077976073585</v>
      </c>
      <c r="AD195" s="1">
        <v>109.88587193387652</v>
      </c>
      <c r="AE195" s="1">
        <v>92.860798172289265</v>
      </c>
      <c r="AF195" s="1">
        <v>107.39519561982664</v>
      </c>
      <c r="AG195" s="1">
        <v>100</v>
      </c>
      <c r="AH195" s="1">
        <v>100</v>
      </c>
      <c r="AI195" s="1">
        <v>100</v>
      </c>
      <c r="AJ195" s="1">
        <v>100</v>
      </c>
      <c r="AK195" s="1">
        <v>95.746837280263904</v>
      </c>
      <c r="AL195" s="1">
        <v>100.15695163798615</v>
      </c>
      <c r="AM195" s="1">
        <v>108.06561148645895</v>
      </c>
      <c r="AN195" s="1">
        <v>105.63236948898889</v>
      </c>
      <c r="AO195" s="1">
        <v>98.036317905044328</v>
      </c>
      <c r="AP195" s="1">
        <v>100</v>
      </c>
      <c r="AQ195" s="1">
        <v>100</v>
      </c>
      <c r="AR195" s="1">
        <v>96.578945423208708</v>
      </c>
      <c r="AS195" s="1">
        <v>100</v>
      </c>
      <c r="AT195" s="1">
        <v>105.82368232370999</v>
      </c>
      <c r="AU195" s="1">
        <v>100</v>
      </c>
      <c r="AV195" s="1">
        <v>99.900323214082661</v>
      </c>
      <c r="AW195" s="1">
        <v>100</v>
      </c>
      <c r="AX195" s="1">
        <v>100</v>
      </c>
      <c r="AY195" s="1">
        <v>100</v>
      </c>
      <c r="AZ195" s="1">
        <v>100</v>
      </c>
      <c r="BA195" s="1">
        <v>100</v>
      </c>
      <c r="BB195" s="1">
        <v>100</v>
      </c>
      <c r="BC195" s="1">
        <v>100</v>
      </c>
      <c r="BD195" s="1">
        <v>100</v>
      </c>
      <c r="BE195" s="1">
        <v>100</v>
      </c>
      <c r="BF195" s="1">
        <v>100</v>
      </c>
      <c r="BG195" s="1">
        <v>100</v>
      </c>
      <c r="BH195" s="1">
        <v>100</v>
      </c>
    </row>
    <row r="196" spans="1:60" x14ac:dyDescent="0.25">
      <c r="A196">
        <v>183</v>
      </c>
      <c r="B196" s="1">
        <v>96.598262359508567</v>
      </c>
      <c r="C196" s="1">
        <v>94.353173132071191</v>
      </c>
      <c r="D196" s="1">
        <v>99.900323214082661</v>
      </c>
      <c r="E196" s="1">
        <v>115.46826639223708</v>
      </c>
      <c r="F196" s="1">
        <v>100</v>
      </c>
      <c r="G196" s="1">
        <v>100</v>
      </c>
      <c r="H196" s="1">
        <v>100.79779325216231</v>
      </c>
      <c r="I196" s="1">
        <v>91.623000485584186</v>
      </c>
      <c r="J196" s="1">
        <v>99.873960030431505</v>
      </c>
      <c r="K196" s="1">
        <v>103.72592615688556</v>
      </c>
      <c r="L196" s="1">
        <v>95.886944599301714</v>
      </c>
      <c r="M196" s="1">
        <v>96.715943522481638</v>
      </c>
      <c r="N196" s="1">
        <v>100</v>
      </c>
      <c r="O196" s="1">
        <v>100</v>
      </c>
      <c r="P196" s="1">
        <v>90.169934884882707</v>
      </c>
      <c r="Q196" s="1">
        <v>100</v>
      </c>
      <c r="R196" s="1">
        <v>98.539127000430625</v>
      </c>
      <c r="S196" s="1">
        <v>100</v>
      </c>
      <c r="T196" s="1">
        <v>109.61035065486168</v>
      </c>
      <c r="U196" s="1">
        <v>98.778848255775031</v>
      </c>
      <c r="V196" s="1">
        <v>101.41077088688627</v>
      </c>
      <c r="W196" s="1">
        <v>100</v>
      </c>
      <c r="X196" s="1">
        <v>98.938308797866256</v>
      </c>
      <c r="Y196" s="1">
        <v>100</v>
      </c>
      <c r="Z196" s="1">
        <v>96.320382403943185</v>
      </c>
      <c r="AA196" s="1">
        <v>98.539127000430625</v>
      </c>
      <c r="AB196" s="1">
        <v>90.843750772761823</v>
      </c>
      <c r="AC196" s="1">
        <v>101.78077976073585</v>
      </c>
      <c r="AD196" s="1">
        <v>109.88587193387652</v>
      </c>
      <c r="AE196" s="1">
        <v>93.231055625235641</v>
      </c>
      <c r="AF196" s="1">
        <v>107.39519561982664</v>
      </c>
      <c r="AG196" s="1">
        <v>100</v>
      </c>
      <c r="AH196" s="1">
        <v>100</v>
      </c>
      <c r="AI196" s="1">
        <v>100</v>
      </c>
      <c r="AJ196" s="1">
        <v>100</v>
      </c>
      <c r="AK196" s="1">
        <v>95.418701778261266</v>
      </c>
      <c r="AL196" s="1">
        <v>100.15695163798615</v>
      </c>
      <c r="AM196" s="1">
        <v>108.06561148645895</v>
      </c>
      <c r="AN196" s="1">
        <v>105.63236948898889</v>
      </c>
      <c r="AO196" s="1">
        <v>98.036317905044328</v>
      </c>
      <c r="AP196" s="1">
        <v>100</v>
      </c>
      <c r="AQ196" s="1">
        <v>100</v>
      </c>
      <c r="AR196" s="1">
        <v>96.578945423208708</v>
      </c>
      <c r="AS196" s="1">
        <v>100</v>
      </c>
      <c r="AT196" s="1">
        <v>105.82368232370999</v>
      </c>
      <c r="AU196" s="1">
        <v>100</v>
      </c>
      <c r="AV196" s="1">
        <v>99.900323214082661</v>
      </c>
      <c r="AW196" s="1">
        <v>100</v>
      </c>
      <c r="AX196" s="1">
        <v>100</v>
      </c>
      <c r="AY196" s="1">
        <v>100</v>
      </c>
      <c r="AZ196" s="1">
        <v>100</v>
      </c>
      <c r="BA196" s="1">
        <v>100</v>
      </c>
      <c r="BB196" s="1">
        <v>100</v>
      </c>
      <c r="BC196" s="1">
        <v>100</v>
      </c>
      <c r="BD196" s="1">
        <v>100</v>
      </c>
      <c r="BE196" s="1">
        <v>100</v>
      </c>
      <c r="BF196" s="1">
        <v>100</v>
      </c>
      <c r="BG196" s="1">
        <v>100</v>
      </c>
      <c r="BH196" s="1">
        <v>100</v>
      </c>
    </row>
    <row r="197" spans="1:60" x14ac:dyDescent="0.25">
      <c r="A197">
        <v>184</v>
      </c>
      <c r="B197" s="1">
        <v>96.598262359508567</v>
      </c>
      <c r="C197" s="1">
        <v>94.353173132071191</v>
      </c>
      <c r="D197" s="1">
        <v>99.900323214082661</v>
      </c>
      <c r="E197" s="1">
        <v>115.46826639223708</v>
      </c>
      <c r="F197" s="1">
        <v>100</v>
      </c>
      <c r="G197" s="1">
        <v>100</v>
      </c>
      <c r="H197" s="1">
        <v>100.79779325216231</v>
      </c>
      <c r="I197" s="1">
        <v>90.692639838571509</v>
      </c>
      <c r="J197" s="1">
        <v>99.873960030431505</v>
      </c>
      <c r="K197" s="1">
        <v>102.67266966823244</v>
      </c>
      <c r="L197" s="1">
        <v>95.886944599301714</v>
      </c>
      <c r="M197" s="1">
        <v>96.715943522481638</v>
      </c>
      <c r="N197" s="1">
        <v>100</v>
      </c>
      <c r="O197" s="1">
        <v>100</v>
      </c>
      <c r="P197" s="1">
        <v>90.169934884882707</v>
      </c>
      <c r="Q197" s="1">
        <v>100</v>
      </c>
      <c r="R197" s="1">
        <v>98.539127000430625</v>
      </c>
      <c r="S197" s="1">
        <v>100</v>
      </c>
      <c r="T197" s="1">
        <v>109.61035065486168</v>
      </c>
      <c r="U197" s="1">
        <v>98.778848255775031</v>
      </c>
      <c r="V197" s="1">
        <v>101.41077088688627</v>
      </c>
      <c r="W197" s="1">
        <v>100</v>
      </c>
      <c r="X197" s="1">
        <v>98.938308797866256</v>
      </c>
      <c r="Y197" s="1">
        <v>100</v>
      </c>
      <c r="Z197" s="1">
        <v>96.320382403943185</v>
      </c>
      <c r="AA197" s="1">
        <v>98.539127000430625</v>
      </c>
      <c r="AB197" s="1">
        <v>91.859919996983194</v>
      </c>
      <c r="AC197" s="1">
        <v>101.78077976073585</v>
      </c>
      <c r="AD197" s="1">
        <v>109.88587193387652</v>
      </c>
      <c r="AE197" s="1">
        <v>93.231055625235641</v>
      </c>
      <c r="AF197" s="1">
        <v>107.39519561982664</v>
      </c>
      <c r="AG197" s="1">
        <v>100</v>
      </c>
      <c r="AH197" s="1">
        <v>100</v>
      </c>
      <c r="AI197" s="1">
        <v>100</v>
      </c>
      <c r="AJ197" s="1">
        <v>100</v>
      </c>
      <c r="AK197" s="1">
        <v>96.38614968970569</v>
      </c>
      <c r="AL197" s="1">
        <v>100.15695163798615</v>
      </c>
      <c r="AM197" s="1">
        <v>108.06561148645895</v>
      </c>
      <c r="AN197" s="1">
        <v>105.63236948898889</v>
      </c>
      <c r="AO197" s="1">
        <v>98.036317905044328</v>
      </c>
      <c r="AP197" s="1">
        <v>100</v>
      </c>
      <c r="AQ197" s="1">
        <v>100</v>
      </c>
      <c r="AR197" s="1">
        <v>96.578945423208708</v>
      </c>
      <c r="AS197" s="1">
        <v>100</v>
      </c>
      <c r="AT197" s="1">
        <v>105.82368232370999</v>
      </c>
      <c r="AU197" s="1">
        <v>100</v>
      </c>
      <c r="AV197" s="1">
        <v>99.900323214082661</v>
      </c>
      <c r="AW197" s="1">
        <v>100</v>
      </c>
      <c r="AX197" s="1">
        <v>100</v>
      </c>
      <c r="AY197" s="1">
        <v>100</v>
      </c>
      <c r="AZ197" s="1">
        <v>100</v>
      </c>
      <c r="BA197" s="1">
        <v>100</v>
      </c>
      <c r="BB197" s="1">
        <v>100</v>
      </c>
      <c r="BC197" s="1">
        <v>100</v>
      </c>
      <c r="BD197" s="1">
        <v>100</v>
      </c>
      <c r="BE197" s="1">
        <v>100</v>
      </c>
      <c r="BF197" s="1">
        <v>100</v>
      </c>
      <c r="BG197" s="1">
        <v>100</v>
      </c>
      <c r="BH197" s="1">
        <v>100</v>
      </c>
    </row>
    <row r="198" spans="1:60" x14ac:dyDescent="0.25">
      <c r="A198">
        <v>185</v>
      </c>
      <c r="B198" s="1">
        <v>96.598262359508567</v>
      </c>
      <c r="C198" s="1">
        <v>94.353173132071191</v>
      </c>
      <c r="D198" s="1">
        <v>99.900323214082661</v>
      </c>
      <c r="E198" s="1">
        <v>115.46826639223708</v>
      </c>
      <c r="F198" s="1">
        <v>100</v>
      </c>
      <c r="G198" s="1">
        <v>100</v>
      </c>
      <c r="H198" s="1">
        <v>100.79779325216231</v>
      </c>
      <c r="I198" s="1">
        <v>89.97073964991985</v>
      </c>
      <c r="J198" s="1">
        <v>99.873960030431505</v>
      </c>
      <c r="K198" s="1">
        <v>101.85541018902006</v>
      </c>
      <c r="L198" s="1">
        <v>95.886944599301714</v>
      </c>
      <c r="M198" s="1">
        <v>96.715943522481638</v>
      </c>
      <c r="N198" s="1">
        <v>100</v>
      </c>
      <c r="O198" s="1">
        <v>100</v>
      </c>
      <c r="P198" s="1">
        <v>90.169934884882707</v>
      </c>
      <c r="Q198" s="1">
        <v>100</v>
      </c>
      <c r="R198" s="1">
        <v>98.539127000430625</v>
      </c>
      <c r="S198" s="1">
        <v>100</v>
      </c>
      <c r="T198" s="1">
        <v>109.61035065486168</v>
      </c>
      <c r="U198" s="1">
        <v>98.778848255775031</v>
      </c>
      <c r="V198" s="1">
        <v>101.41077088688627</v>
      </c>
      <c r="W198" s="1">
        <v>100</v>
      </c>
      <c r="X198" s="1">
        <v>98.938308797866256</v>
      </c>
      <c r="Y198" s="1">
        <v>100</v>
      </c>
      <c r="Z198" s="1">
        <v>96.320382403943185</v>
      </c>
      <c r="AA198" s="1">
        <v>98.539127000430625</v>
      </c>
      <c r="AB198" s="1">
        <v>92.648003776846522</v>
      </c>
      <c r="AC198" s="1">
        <v>101.78077976073585</v>
      </c>
      <c r="AD198" s="1">
        <v>109.88587193387652</v>
      </c>
      <c r="AE198" s="1">
        <v>93.231055625235641</v>
      </c>
      <c r="AF198" s="1">
        <v>107.39519561982664</v>
      </c>
      <c r="AG198" s="1">
        <v>100</v>
      </c>
      <c r="AH198" s="1">
        <v>100</v>
      </c>
      <c r="AI198" s="1">
        <v>100</v>
      </c>
      <c r="AJ198" s="1">
        <v>100</v>
      </c>
      <c r="AK198" s="1">
        <v>97.137225577706403</v>
      </c>
      <c r="AL198" s="1">
        <v>100.15695163798615</v>
      </c>
      <c r="AM198" s="1">
        <v>108.06561148645895</v>
      </c>
      <c r="AN198" s="1">
        <v>105.63236948898889</v>
      </c>
      <c r="AO198" s="1">
        <v>98.036317905044328</v>
      </c>
      <c r="AP198" s="1">
        <v>100</v>
      </c>
      <c r="AQ198" s="1">
        <v>100</v>
      </c>
      <c r="AR198" s="1">
        <v>96.578945423208708</v>
      </c>
      <c r="AS198" s="1">
        <v>100</v>
      </c>
      <c r="AT198" s="1">
        <v>105.82368232370999</v>
      </c>
      <c r="AU198" s="1">
        <v>100</v>
      </c>
      <c r="AV198" s="1">
        <v>99.900323214082661</v>
      </c>
      <c r="AW198" s="1">
        <v>100</v>
      </c>
      <c r="AX198" s="1">
        <v>100</v>
      </c>
      <c r="AY198" s="1">
        <v>100</v>
      </c>
      <c r="AZ198" s="1">
        <v>100</v>
      </c>
      <c r="BA198" s="1">
        <v>100</v>
      </c>
      <c r="BB198" s="1">
        <v>100</v>
      </c>
      <c r="BC198" s="1">
        <v>100</v>
      </c>
      <c r="BD198" s="1">
        <v>100</v>
      </c>
      <c r="BE198" s="1">
        <v>100</v>
      </c>
      <c r="BF198" s="1">
        <v>100</v>
      </c>
      <c r="BG198" s="1">
        <v>100</v>
      </c>
      <c r="BH198" s="1">
        <v>100</v>
      </c>
    </row>
    <row r="199" spans="1:60" x14ac:dyDescent="0.25">
      <c r="A199">
        <v>186</v>
      </c>
      <c r="B199" s="1">
        <v>96.598262359508567</v>
      </c>
      <c r="C199" s="1">
        <v>94.353173132071191</v>
      </c>
      <c r="D199" s="1">
        <v>99.900323214082661</v>
      </c>
      <c r="E199" s="1">
        <v>115.46826639223708</v>
      </c>
      <c r="F199" s="1">
        <v>100</v>
      </c>
      <c r="G199" s="1">
        <v>100</v>
      </c>
      <c r="H199" s="1">
        <v>100.79779325216231</v>
      </c>
      <c r="I199" s="1">
        <v>89.97073964991985</v>
      </c>
      <c r="J199" s="1">
        <v>99.873960030431505</v>
      </c>
      <c r="K199" s="1">
        <v>101.85541018902006</v>
      </c>
      <c r="L199" s="1">
        <v>95.886944599301714</v>
      </c>
      <c r="M199" s="1">
        <v>96.715943522481638</v>
      </c>
      <c r="N199" s="1">
        <v>100</v>
      </c>
      <c r="O199" s="1">
        <v>100</v>
      </c>
      <c r="P199" s="1">
        <v>90.169934884882707</v>
      </c>
      <c r="Q199" s="1">
        <v>100</v>
      </c>
      <c r="R199" s="1">
        <v>98.539127000430625</v>
      </c>
      <c r="S199" s="1">
        <v>100</v>
      </c>
      <c r="T199" s="1">
        <v>110.61377857509413</v>
      </c>
      <c r="U199" s="1">
        <v>98.778848255775031</v>
      </c>
      <c r="V199" s="1">
        <v>100.34326956270367</v>
      </c>
      <c r="W199" s="1">
        <v>100</v>
      </c>
      <c r="X199" s="1">
        <v>98.938308797866256</v>
      </c>
      <c r="Y199" s="1">
        <v>100</v>
      </c>
      <c r="Z199" s="1">
        <v>96.320382403943185</v>
      </c>
      <c r="AA199" s="1">
        <v>98.539127000430625</v>
      </c>
      <c r="AB199" s="1">
        <v>91.672743793614828</v>
      </c>
      <c r="AC199" s="1">
        <v>101.78077976073585</v>
      </c>
      <c r="AD199" s="1">
        <v>109.88587193387652</v>
      </c>
      <c r="AE199" s="1">
        <v>93.231055625235641</v>
      </c>
      <c r="AF199" s="1">
        <v>107.39519561982664</v>
      </c>
      <c r="AG199" s="1">
        <v>100</v>
      </c>
      <c r="AH199" s="1">
        <v>100</v>
      </c>
      <c r="AI199" s="1">
        <v>100</v>
      </c>
      <c r="AJ199" s="1">
        <v>100</v>
      </c>
      <c r="AK199" s="1">
        <v>97.137225577706403</v>
      </c>
      <c r="AL199" s="1">
        <v>100.15695163798615</v>
      </c>
      <c r="AM199" s="1">
        <v>108.06561148645895</v>
      </c>
      <c r="AN199" s="1">
        <v>105.63236948898889</v>
      </c>
      <c r="AO199" s="1">
        <v>98.036317905044328</v>
      </c>
      <c r="AP199" s="1">
        <v>100</v>
      </c>
      <c r="AQ199" s="1">
        <v>100</v>
      </c>
      <c r="AR199" s="1">
        <v>96.578945423208708</v>
      </c>
      <c r="AS199" s="1">
        <v>100</v>
      </c>
      <c r="AT199" s="1">
        <v>106.86301571089184</v>
      </c>
      <c r="AU199" s="1">
        <v>100</v>
      </c>
      <c r="AV199" s="1">
        <v>99.900323214082661</v>
      </c>
      <c r="AW199" s="1">
        <v>100</v>
      </c>
      <c r="AX199" s="1">
        <v>100</v>
      </c>
      <c r="AY199" s="1">
        <v>100</v>
      </c>
      <c r="AZ199" s="1">
        <v>100</v>
      </c>
      <c r="BA199" s="1">
        <v>100</v>
      </c>
      <c r="BB199" s="1">
        <v>100</v>
      </c>
      <c r="BC199" s="1">
        <v>100</v>
      </c>
      <c r="BD199" s="1">
        <v>100</v>
      </c>
      <c r="BE199" s="1">
        <v>100</v>
      </c>
      <c r="BF199" s="1">
        <v>100</v>
      </c>
      <c r="BG199" s="1">
        <v>100</v>
      </c>
      <c r="BH199" s="1">
        <v>100</v>
      </c>
    </row>
    <row r="200" spans="1:60" x14ac:dyDescent="0.25">
      <c r="A200">
        <v>187</v>
      </c>
      <c r="B200" s="1">
        <v>96.598262359508567</v>
      </c>
      <c r="C200" s="1">
        <v>94.353173132071191</v>
      </c>
      <c r="D200" s="1">
        <v>99.900323214082661</v>
      </c>
      <c r="E200" s="1">
        <v>115.46826639223708</v>
      </c>
      <c r="F200" s="1">
        <v>100</v>
      </c>
      <c r="G200" s="1">
        <v>100</v>
      </c>
      <c r="H200" s="1">
        <v>100.79779325216231</v>
      </c>
      <c r="I200" s="1">
        <v>89.97073964991985</v>
      </c>
      <c r="J200" s="1">
        <v>99.873960030431505</v>
      </c>
      <c r="K200" s="1">
        <v>101.85541018902006</v>
      </c>
      <c r="L200" s="1">
        <v>95.886944599301714</v>
      </c>
      <c r="M200" s="1">
        <v>96.715943522481638</v>
      </c>
      <c r="N200" s="1">
        <v>100</v>
      </c>
      <c r="O200" s="1">
        <v>100</v>
      </c>
      <c r="P200" s="1">
        <v>90.169934884882707</v>
      </c>
      <c r="Q200" s="1">
        <v>100</v>
      </c>
      <c r="R200" s="1">
        <v>98.539127000430625</v>
      </c>
      <c r="S200" s="1">
        <v>100</v>
      </c>
      <c r="T200" s="1">
        <v>110.85161064503106</v>
      </c>
      <c r="U200" s="1">
        <v>98.778848255775031</v>
      </c>
      <c r="V200" s="1">
        <v>100.09033585419948</v>
      </c>
      <c r="W200" s="1">
        <v>100</v>
      </c>
      <c r="X200" s="1">
        <v>98.938308797866256</v>
      </c>
      <c r="Y200" s="1">
        <v>100</v>
      </c>
      <c r="Z200" s="1">
        <v>96.320382403943185</v>
      </c>
      <c r="AA200" s="1">
        <v>98.539127000430625</v>
      </c>
      <c r="AB200" s="1">
        <v>91.441665743661673</v>
      </c>
      <c r="AC200" s="1">
        <v>101.78077976073585</v>
      </c>
      <c r="AD200" s="1">
        <v>109.88587193387652</v>
      </c>
      <c r="AE200" s="1">
        <v>93.231055625235641</v>
      </c>
      <c r="AF200" s="1">
        <v>107.39519561982664</v>
      </c>
      <c r="AG200" s="1">
        <v>100</v>
      </c>
      <c r="AH200" s="1">
        <v>100</v>
      </c>
      <c r="AI200" s="1">
        <v>100</v>
      </c>
      <c r="AJ200" s="1">
        <v>100</v>
      </c>
      <c r="AK200" s="1">
        <v>97.137225577706403</v>
      </c>
      <c r="AL200" s="1">
        <v>100.15695163798615</v>
      </c>
      <c r="AM200" s="1">
        <v>108.06561148645895</v>
      </c>
      <c r="AN200" s="1">
        <v>105.63236948898889</v>
      </c>
      <c r="AO200" s="1">
        <v>98.036317905044328</v>
      </c>
      <c r="AP200" s="1">
        <v>100</v>
      </c>
      <c r="AQ200" s="1">
        <v>100</v>
      </c>
      <c r="AR200" s="1">
        <v>96.578945423208708</v>
      </c>
      <c r="AS200" s="1">
        <v>100</v>
      </c>
      <c r="AT200" s="1">
        <v>107.10919539941226</v>
      </c>
      <c r="AU200" s="1">
        <v>100</v>
      </c>
      <c r="AV200" s="1">
        <v>99.900323214082661</v>
      </c>
      <c r="AW200" s="1">
        <v>100</v>
      </c>
      <c r="AX200" s="1">
        <v>100</v>
      </c>
      <c r="AY200" s="1">
        <v>100</v>
      </c>
      <c r="AZ200" s="1">
        <v>100</v>
      </c>
      <c r="BA200" s="1">
        <v>100</v>
      </c>
      <c r="BB200" s="1">
        <v>100</v>
      </c>
      <c r="BC200" s="1">
        <v>100</v>
      </c>
      <c r="BD200" s="1">
        <v>100</v>
      </c>
      <c r="BE200" s="1">
        <v>100</v>
      </c>
      <c r="BF200" s="1">
        <v>100</v>
      </c>
      <c r="BG200" s="1">
        <v>100</v>
      </c>
      <c r="BH200" s="1">
        <v>100</v>
      </c>
    </row>
    <row r="201" spans="1:60" x14ac:dyDescent="0.25">
      <c r="A201">
        <v>188</v>
      </c>
      <c r="B201" s="1">
        <v>96.598262359508567</v>
      </c>
      <c r="C201" s="1">
        <v>94.353173132071191</v>
      </c>
      <c r="D201" s="1">
        <v>99.900323214082661</v>
      </c>
      <c r="E201" s="1">
        <v>115.46826639223708</v>
      </c>
      <c r="F201" s="1">
        <v>100</v>
      </c>
      <c r="G201" s="1">
        <v>100</v>
      </c>
      <c r="H201" s="1">
        <v>100.79779325216231</v>
      </c>
      <c r="I201" s="1">
        <v>89.97073964991985</v>
      </c>
      <c r="J201" s="1">
        <v>99.873960030431505</v>
      </c>
      <c r="K201" s="1">
        <v>101.85541018902006</v>
      </c>
      <c r="L201" s="1">
        <v>95.886944599301714</v>
      </c>
      <c r="M201" s="1">
        <v>96.715943522481638</v>
      </c>
      <c r="N201" s="1">
        <v>100</v>
      </c>
      <c r="O201" s="1">
        <v>100</v>
      </c>
      <c r="P201" s="1">
        <v>90.169934884882707</v>
      </c>
      <c r="Q201" s="1">
        <v>100</v>
      </c>
      <c r="R201" s="1">
        <v>98.539127000430625</v>
      </c>
      <c r="S201" s="1">
        <v>100</v>
      </c>
      <c r="T201" s="1">
        <v>110.93843835229134</v>
      </c>
      <c r="U201" s="1">
        <v>98.778848255775031</v>
      </c>
      <c r="V201" s="1">
        <v>100.09033585419948</v>
      </c>
      <c r="W201" s="1">
        <v>100</v>
      </c>
      <c r="X201" s="1">
        <v>98.938308797866256</v>
      </c>
      <c r="Y201" s="1">
        <v>100</v>
      </c>
      <c r="Z201" s="1">
        <v>96.320382403943185</v>
      </c>
      <c r="AA201" s="1">
        <v>98.539127000430625</v>
      </c>
      <c r="AB201" s="1">
        <v>91.441665743661673</v>
      </c>
      <c r="AC201" s="1">
        <v>101.78077976073585</v>
      </c>
      <c r="AD201" s="1">
        <v>109.88587193387652</v>
      </c>
      <c r="AE201" s="1">
        <v>93.231055625235641</v>
      </c>
      <c r="AF201" s="1">
        <v>107.39519561982664</v>
      </c>
      <c r="AG201" s="1">
        <v>100</v>
      </c>
      <c r="AH201" s="1">
        <v>100</v>
      </c>
      <c r="AI201" s="1">
        <v>100</v>
      </c>
      <c r="AJ201" s="1">
        <v>100</v>
      </c>
      <c r="AK201" s="1">
        <v>97.137225577706403</v>
      </c>
      <c r="AL201" s="1">
        <v>100.15695163798615</v>
      </c>
      <c r="AM201" s="1">
        <v>108.06561148645895</v>
      </c>
      <c r="AN201" s="1">
        <v>105.54050887214613</v>
      </c>
      <c r="AO201" s="1">
        <v>98.134495717145967</v>
      </c>
      <c r="AP201" s="1">
        <v>100</v>
      </c>
      <c r="AQ201" s="1">
        <v>100</v>
      </c>
      <c r="AR201" s="1">
        <v>96.578945423208708</v>
      </c>
      <c r="AS201" s="1">
        <v>100</v>
      </c>
      <c r="AT201" s="1">
        <v>107.01605049689309</v>
      </c>
      <c r="AU201" s="1">
        <v>100</v>
      </c>
      <c r="AV201" s="1">
        <v>99.900323214082661</v>
      </c>
      <c r="AW201" s="1">
        <v>100</v>
      </c>
      <c r="AX201" s="1">
        <v>100</v>
      </c>
      <c r="AY201" s="1">
        <v>100</v>
      </c>
      <c r="AZ201" s="1">
        <v>100</v>
      </c>
      <c r="BA201" s="1">
        <v>100</v>
      </c>
      <c r="BB201" s="1">
        <v>100</v>
      </c>
      <c r="BC201" s="1">
        <v>100</v>
      </c>
      <c r="BD201" s="1">
        <v>100</v>
      </c>
      <c r="BE201" s="1">
        <v>100</v>
      </c>
      <c r="BF201" s="1">
        <v>100</v>
      </c>
      <c r="BG201" s="1">
        <v>100</v>
      </c>
      <c r="BH201" s="1">
        <v>100</v>
      </c>
    </row>
    <row r="202" spans="1:60" x14ac:dyDescent="0.25">
      <c r="A202">
        <v>189</v>
      </c>
      <c r="B202" s="1">
        <v>96.598262359508567</v>
      </c>
      <c r="C202" s="1">
        <v>94.353173132071191</v>
      </c>
      <c r="D202" s="1">
        <v>99.900323214082661</v>
      </c>
      <c r="E202" s="1">
        <v>115.46826639223708</v>
      </c>
      <c r="F202" s="1">
        <v>100</v>
      </c>
      <c r="G202" s="1">
        <v>100</v>
      </c>
      <c r="H202" s="1">
        <v>100.79779325216231</v>
      </c>
      <c r="I202" s="1">
        <v>89.97073964991985</v>
      </c>
      <c r="J202" s="1">
        <v>99.873960030431505</v>
      </c>
      <c r="K202" s="1">
        <v>101.85541018902006</v>
      </c>
      <c r="L202" s="1">
        <v>95.886944599301714</v>
      </c>
      <c r="M202" s="1">
        <v>96.715943522481638</v>
      </c>
      <c r="N202" s="1">
        <v>100</v>
      </c>
      <c r="O202" s="1">
        <v>100</v>
      </c>
      <c r="P202" s="1">
        <v>90.169934884882707</v>
      </c>
      <c r="Q202" s="1">
        <v>100</v>
      </c>
      <c r="R202" s="1">
        <v>98.539127000430625</v>
      </c>
      <c r="S202" s="1">
        <v>100</v>
      </c>
      <c r="T202" s="1">
        <v>111.00542309373387</v>
      </c>
      <c r="U202" s="1">
        <v>98.778848255775031</v>
      </c>
      <c r="V202" s="1">
        <v>100.09033585419948</v>
      </c>
      <c r="W202" s="1">
        <v>100</v>
      </c>
      <c r="X202" s="1">
        <v>98.938308797866256</v>
      </c>
      <c r="Y202" s="1">
        <v>100</v>
      </c>
      <c r="Z202" s="1">
        <v>96.320382403943185</v>
      </c>
      <c r="AA202" s="1">
        <v>98.539127000430625</v>
      </c>
      <c r="AB202" s="1">
        <v>91.441665743661673</v>
      </c>
      <c r="AC202" s="1">
        <v>101.78077976073585</v>
      </c>
      <c r="AD202" s="1">
        <v>109.88587193387652</v>
      </c>
      <c r="AE202" s="1">
        <v>93.231055625235641</v>
      </c>
      <c r="AF202" s="1">
        <v>107.39519561982664</v>
      </c>
      <c r="AG202" s="1">
        <v>100</v>
      </c>
      <c r="AH202" s="1">
        <v>100</v>
      </c>
      <c r="AI202" s="1">
        <v>100</v>
      </c>
      <c r="AJ202" s="1">
        <v>100</v>
      </c>
      <c r="AK202" s="1">
        <v>97.137225577706403</v>
      </c>
      <c r="AL202" s="1">
        <v>100.15695163798615</v>
      </c>
      <c r="AM202" s="1">
        <v>108.06561148645895</v>
      </c>
      <c r="AN202" s="1">
        <v>105.46964960170939</v>
      </c>
      <c r="AO202" s="1">
        <v>98.210220186454748</v>
      </c>
      <c r="AP202" s="1">
        <v>100</v>
      </c>
      <c r="AQ202" s="1">
        <v>100</v>
      </c>
      <c r="AR202" s="1">
        <v>96.578945423208708</v>
      </c>
      <c r="AS202" s="1">
        <v>100</v>
      </c>
      <c r="AT202" s="1">
        <v>106.94420055657852</v>
      </c>
      <c r="AU202" s="1">
        <v>100</v>
      </c>
      <c r="AV202" s="1">
        <v>99.900323214082661</v>
      </c>
      <c r="AW202" s="1">
        <v>100</v>
      </c>
      <c r="AX202" s="1">
        <v>100</v>
      </c>
      <c r="AY202" s="1">
        <v>100</v>
      </c>
      <c r="AZ202" s="1">
        <v>100</v>
      </c>
      <c r="BA202" s="1">
        <v>100</v>
      </c>
      <c r="BB202" s="1">
        <v>100</v>
      </c>
      <c r="BC202" s="1">
        <v>100</v>
      </c>
      <c r="BD202" s="1">
        <v>100</v>
      </c>
      <c r="BE202" s="1">
        <v>100</v>
      </c>
      <c r="BF202" s="1">
        <v>100</v>
      </c>
      <c r="BG202" s="1">
        <v>100</v>
      </c>
      <c r="BH202" s="1">
        <v>100</v>
      </c>
    </row>
    <row r="203" spans="1:60" x14ac:dyDescent="0.25">
      <c r="A203">
        <v>190</v>
      </c>
      <c r="B203" s="1">
        <v>96.598262359508567</v>
      </c>
      <c r="C203" s="1">
        <v>94.353173132071191</v>
      </c>
      <c r="D203" s="1">
        <v>99.900323214082661</v>
      </c>
      <c r="E203" s="1">
        <v>115.46826639223708</v>
      </c>
      <c r="F203" s="1">
        <v>100</v>
      </c>
      <c r="G203" s="1">
        <v>100</v>
      </c>
      <c r="H203" s="1">
        <v>100.79779325216231</v>
      </c>
      <c r="I203" s="1">
        <v>89.97073964991985</v>
      </c>
      <c r="J203" s="1">
        <v>99.873960030431505</v>
      </c>
      <c r="K203" s="1">
        <v>102.50838506337927</v>
      </c>
      <c r="L203" s="1">
        <v>96.580563777062693</v>
      </c>
      <c r="M203" s="1">
        <v>96.715943522481638</v>
      </c>
      <c r="N203" s="1">
        <v>100</v>
      </c>
      <c r="O203" s="1">
        <v>100</v>
      </c>
      <c r="P203" s="1">
        <v>90.169934884882707</v>
      </c>
      <c r="Q203" s="1">
        <v>100</v>
      </c>
      <c r="R203" s="1">
        <v>98.539127000430625</v>
      </c>
      <c r="S203" s="1">
        <v>100</v>
      </c>
      <c r="T203" s="1">
        <v>111.00542309373387</v>
      </c>
      <c r="U203" s="1">
        <v>98.778848255775031</v>
      </c>
      <c r="V203" s="1">
        <v>100.09033585419948</v>
      </c>
      <c r="W203" s="1">
        <v>100</v>
      </c>
      <c r="X203" s="1">
        <v>98.938308797866256</v>
      </c>
      <c r="Y203" s="1">
        <v>100</v>
      </c>
      <c r="Z203" s="1">
        <v>96.320382403943185</v>
      </c>
      <c r="AA203" s="1">
        <v>98.539127000430625</v>
      </c>
      <c r="AB203" s="1">
        <v>91.441665743661673</v>
      </c>
      <c r="AC203" s="1">
        <v>101.78077976073585</v>
      </c>
      <c r="AD203" s="1">
        <v>109.88587193387652</v>
      </c>
      <c r="AE203" s="1">
        <v>92.57157399213736</v>
      </c>
      <c r="AF203" s="1">
        <v>107.39519561982664</v>
      </c>
      <c r="AG203" s="1">
        <v>100</v>
      </c>
      <c r="AH203" s="1">
        <v>100</v>
      </c>
      <c r="AI203" s="1">
        <v>100</v>
      </c>
      <c r="AJ203" s="1">
        <v>100</v>
      </c>
      <c r="AK203" s="1">
        <v>96.450113158684488</v>
      </c>
      <c r="AL203" s="1">
        <v>100.15695163798615</v>
      </c>
      <c r="AM203" s="1">
        <v>108.06561148645895</v>
      </c>
      <c r="AN203" s="1">
        <v>105.46964960170939</v>
      </c>
      <c r="AO203" s="1">
        <v>98.210220186454748</v>
      </c>
      <c r="AP203" s="1">
        <v>100</v>
      </c>
      <c r="AQ203" s="1">
        <v>100</v>
      </c>
      <c r="AR203" s="1">
        <v>96.578945423208708</v>
      </c>
      <c r="AS203" s="1">
        <v>100</v>
      </c>
      <c r="AT203" s="1">
        <v>106.94420055657852</v>
      </c>
      <c r="AU203" s="1">
        <v>100</v>
      </c>
      <c r="AV203" s="1">
        <v>99.900323214082661</v>
      </c>
      <c r="AW203" s="1">
        <v>100</v>
      </c>
      <c r="AX203" s="1">
        <v>100</v>
      </c>
      <c r="AY203" s="1">
        <v>100</v>
      </c>
      <c r="AZ203" s="1">
        <v>100</v>
      </c>
      <c r="BA203" s="1">
        <v>100</v>
      </c>
      <c r="BB203" s="1">
        <v>100</v>
      </c>
      <c r="BC203" s="1">
        <v>100</v>
      </c>
      <c r="BD203" s="1">
        <v>100</v>
      </c>
      <c r="BE203" s="1">
        <v>100</v>
      </c>
      <c r="BF203" s="1">
        <v>100</v>
      </c>
      <c r="BG203" s="1">
        <v>100</v>
      </c>
      <c r="BH203" s="1">
        <v>100</v>
      </c>
    </row>
    <row r="204" spans="1:60" x14ac:dyDescent="0.25">
      <c r="A204">
        <v>191</v>
      </c>
      <c r="B204" s="1">
        <v>96.598262359508567</v>
      </c>
      <c r="C204" s="1">
        <v>94.353173132071191</v>
      </c>
      <c r="D204" s="1">
        <v>99.900323214082661</v>
      </c>
      <c r="E204" s="1">
        <v>115.46826639223708</v>
      </c>
      <c r="F204" s="1">
        <v>100</v>
      </c>
      <c r="G204" s="1">
        <v>100</v>
      </c>
      <c r="H204" s="1">
        <v>100.79779325216231</v>
      </c>
      <c r="I204" s="1">
        <v>89.97073964991985</v>
      </c>
      <c r="J204" s="1">
        <v>99.873960030431505</v>
      </c>
      <c r="K204" s="1">
        <v>103.01716491835256</v>
      </c>
      <c r="L204" s="1">
        <v>97.120570992246073</v>
      </c>
      <c r="M204" s="1">
        <v>96.715943522481638</v>
      </c>
      <c r="N204" s="1">
        <v>100</v>
      </c>
      <c r="O204" s="1">
        <v>100</v>
      </c>
      <c r="P204" s="1">
        <v>90.169934884882707</v>
      </c>
      <c r="Q204" s="1">
        <v>100</v>
      </c>
      <c r="R204" s="1">
        <v>98.539127000430625</v>
      </c>
      <c r="S204" s="1">
        <v>100</v>
      </c>
      <c r="T204" s="1">
        <v>111.00542309373387</v>
      </c>
      <c r="U204" s="1">
        <v>98.778848255775031</v>
      </c>
      <c r="V204" s="1">
        <v>100.09033585419948</v>
      </c>
      <c r="W204" s="1">
        <v>100</v>
      </c>
      <c r="X204" s="1">
        <v>98.938308797866256</v>
      </c>
      <c r="Y204" s="1">
        <v>100</v>
      </c>
      <c r="Z204" s="1">
        <v>96.320382403943185</v>
      </c>
      <c r="AA204" s="1">
        <v>98.539127000430625</v>
      </c>
      <c r="AB204" s="1">
        <v>91.441665743661673</v>
      </c>
      <c r="AC204" s="1">
        <v>101.78077976073585</v>
      </c>
      <c r="AD204" s="1">
        <v>109.88587193387652</v>
      </c>
      <c r="AE204" s="1">
        <v>92.057940496793833</v>
      </c>
      <c r="AF204" s="1">
        <v>107.39519561982664</v>
      </c>
      <c r="AG204" s="1">
        <v>100</v>
      </c>
      <c r="AH204" s="1">
        <v>100</v>
      </c>
      <c r="AI204" s="1">
        <v>100</v>
      </c>
      <c r="AJ204" s="1">
        <v>100</v>
      </c>
      <c r="AK204" s="1">
        <v>95.914959583871322</v>
      </c>
      <c r="AL204" s="1">
        <v>100.15695163798615</v>
      </c>
      <c r="AM204" s="1">
        <v>108.06561148645895</v>
      </c>
      <c r="AN204" s="1">
        <v>105.46964960170939</v>
      </c>
      <c r="AO204" s="1">
        <v>98.210220186454748</v>
      </c>
      <c r="AP204" s="1">
        <v>100</v>
      </c>
      <c r="AQ204" s="1">
        <v>100</v>
      </c>
      <c r="AR204" s="1">
        <v>96.578945423208708</v>
      </c>
      <c r="AS204" s="1">
        <v>100</v>
      </c>
      <c r="AT204" s="1">
        <v>106.94420055657852</v>
      </c>
      <c r="AU204" s="1">
        <v>100</v>
      </c>
      <c r="AV204" s="1">
        <v>99.900323214082661</v>
      </c>
      <c r="AW204" s="1">
        <v>100</v>
      </c>
      <c r="AX204" s="1">
        <v>100</v>
      </c>
      <c r="AY204" s="1">
        <v>100</v>
      </c>
      <c r="AZ204" s="1">
        <v>100</v>
      </c>
      <c r="BA204" s="1">
        <v>100</v>
      </c>
      <c r="BB204" s="1">
        <v>100</v>
      </c>
      <c r="BC204" s="1">
        <v>100</v>
      </c>
      <c r="BD204" s="1">
        <v>100</v>
      </c>
      <c r="BE204" s="1">
        <v>100</v>
      </c>
      <c r="BF204" s="1">
        <v>100</v>
      </c>
      <c r="BG204" s="1">
        <v>100</v>
      </c>
      <c r="BH204" s="1">
        <v>100</v>
      </c>
    </row>
    <row r="205" spans="1:60" x14ac:dyDescent="0.25">
      <c r="A205">
        <v>192</v>
      </c>
      <c r="B205" s="1">
        <v>96.598262359508567</v>
      </c>
      <c r="C205" s="1">
        <v>94.353173132071191</v>
      </c>
      <c r="D205" s="1">
        <v>99.900323214082661</v>
      </c>
      <c r="E205" s="1">
        <v>115.46826639223708</v>
      </c>
      <c r="F205" s="1">
        <v>100</v>
      </c>
      <c r="G205" s="1">
        <v>100</v>
      </c>
      <c r="H205" s="1">
        <v>100.79779325216231</v>
      </c>
      <c r="I205" s="1">
        <v>92.825361887902346</v>
      </c>
      <c r="J205" s="1">
        <v>99.873960030431505</v>
      </c>
      <c r="K205" s="1">
        <v>103.01716491835256</v>
      </c>
      <c r="L205" s="1">
        <v>97.120570992246073</v>
      </c>
      <c r="M205" s="1">
        <v>96.715943522481638</v>
      </c>
      <c r="N205" s="1">
        <v>100</v>
      </c>
      <c r="O205" s="1">
        <v>100</v>
      </c>
      <c r="P205" s="1">
        <v>90.169934884882707</v>
      </c>
      <c r="Q205" s="1">
        <v>100</v>
      </c>
      <c r="R205" s="1">
        <v>98.539127000430625</v>
      </c>
      <c r="S205" s="1">
        <v>100</v>
      </c>
      <c r="T205" s="1">
        <v>111.00542309373387</v>
      </c>
      <c r="U205" s="1">
        <v>98.778848255775031</v>
      </c>
      <c r="V205" s="1">
        <v>97.58578626469442</v>
      </c>
      <c r="W205" s="1">
        <v>100</v>
      </c>
      <c r="X205" s="1">
        <v>98.938308797866256</v>
      </c>
      <c r="Y205" s="1">
        <v>100</v>
      </c>
      <c r="Z205" s="1">
        <v>96.320382403943185</v>
      </c>
      <c r="AA205" s="1">
        <v>98.539127000430625</v>
      </c>
      <c r="AB205" s="1">
        <v>91.441665743661673</v>
      </c>
      <c r="AC205" s="1">
        <v>101.78077976073585</v>
      </c>
      <c r="AD205" s="1">
        <v>112.22313758643413</v>
      </c>
      <c r="AE205" s="1">
        <v>92.057940496793833</v>
      </c>
      <c r="AF205" s="1">
        <v>104.70785731879158</v>
      </c>
      <c r="AG205" s="1">
        <v>100</v>
      </c>
      <c r="AH205" s="1">
        <v>100</v>
      </c>
      <c r="AI205" s="1">
        <v>100</v>
      </c>
      <c r="AJ205" s="1">
        <v>100</v>
      </c>
      <c r="AK205" s="1">
        <v>95.914959583871322</v>
      </c>
      <c r="AL205" s="1">
        <v>100.15695163798615</v>
      </c>
      <c r="AM205" s="1">
        <v>108.06561148645895</v>
      </c>
      <c r="AN205" s="1">
        <v>105.46964960170939</v>
      </c>
      <c r="AO205" s="1">
        <v>98.210220186454748</v>
      </c>
      <c r="AP205" s="1">
        <v>100</v>
      </c>
      <c r="AQ205" s="1">
        <v>100</v>
      </c>
      <c r="AR205" s="1">
        <v>96.578945423208708</v>
      </c>
      <c r="AS205" s="1">
        <v>100</v>
      </c>
      <c r="AT205" s="1">
        <v>106.94420055657852</v>
      </c>
      <c r="AU205" s="1">
        <v>100</v>
      </c>
      <c r="AV205" s="1">
        <v>99.900323214082661</v>
      </c>
      <c r="AW205" s="1">
        <v>100</v>
      </c>
      <c r="AX205" s="1">
        <v>100</v>
      </c>
      <c r="AY205" s="1">
        <v>100</v>
      </c>
      <c r="AZ205" s="1">
        <v>100</v>
      </c>
      <c r="BA205" s="1">
        <v>100</v>
      </c>
      <c r="BB205" s="1">
        <v>100</v>
      </c>
      <c r="BC205" s="1">
        <v>100</v>
      </c>
      <c r="BD205" s="1">
        <v>100</v>
      </c>
      <c r="BE205" s="1">
        <v>100</v>
      </c>
      <c r="BF205" s="1">
        <v>100</v>
      </c>
      <c r="BG205" s="1">
        <v>100</v>
      </c>
      <c r="BH205" s="1">
        <v>100</v>
      </c>
    </row>
    <row r="206" spans="1:60" x14ac:dyDescent="0.25">
      <c r="A206">
        <v>193</v>
      </c>
      <c r="B206" s="1">
        <v>96.598262359508567</v>
      </c>
      <c r="C206" s="1">
        <v>94.353173132071191</v>
      </c>
      <c r="D206" s="1">
        <v>99.900323214082661</v>
      </c>
      <c r="E206" s="1">
        <v>115.46826639223708</v>
      </c>
      <c r="F206" s="1">
        <v>100</v>
      </c>
      <c r="G206" s="1">
        <v>100</v>
      </c>
      <c r="H206" s="1">
        <v>100.79779325216231</v>
      </c>
      <c r="I206" s="1">
        <v>93.849229804733312</v>
      </c>
      <c r="J206" s="1">
        <v>99.873960030431505</v>
      </c>
      <c r="K206" s="1">
        <v>103.01716491835256</v>
      </c>
      <c r="L206" s="1">
        <v>97.120570992246073</v>
      </c>
      <c r="M206" s="1">
        <v>96.715943522481638</v>
      </c>
      <c r="N206" s="1">
        <v>100</v>
      </c>
      <c r="O206" s="1">
        <v>100</v>
      </c>
      <c r="P206" s="1">
        <v>90.169934884882707</v>
      </c>
      <c r="Q206" s="1">
        <v>100</v>
      </c>
      <c r="R206" s="1">
        <v>98.539127000430625</v>
      </c>
      <c r="S206" s="1">
        <v>100</v>
      </c>
      <c r="T206" s="1">
        <v>111.00542309373387</v>
      </c>
      <c r="U206" s="1">
        <v>98.778848255775031</v>
      </c>
      <c r="V206" s="1">
        <v>96.6833377131926</v>
      </c>
      <c r="W206" s="1">
        <v>100</v>
      </c>
      <c r="X206" s="1">
        <v>98.938308797866256</v>
      </c>
      <c r="Y206" s="1">
        <v>100</v>
      </c>
      <c r="Z206" s="1">
        <v>96.320382403943185</v>
      </c>
      <c r="AA206" s="1">
        <v>98.539127000430625</v>
      </c>
      <c r="AB206" s="1">
        <v>91.441665743661673</v>
      </c>
      <c r="AC206" s="1">
        <v>101.78077976073585</v>
      </c>
      <c r="AD206" s="1">
        <v>113.07002987575412</v>
      </c>
      <c r="AE206" s="1">
        <v>92.057940496793833</v>
      </c>
      <c r="AF206" s="1">
        <v>103.73954566414245</v>
      </c>
      <c r="AG206" s="1">
        <v>100</v>
      </c>
      <c r="AH206" s="1">
        <v>100</v>
      </c>
      <c r="AI206" s="1">
        <v>100</v>
      </c>
      <c r="AJ206" s="1">
        <v>100</v>
      </c>
      <c r="AK206" s="1">
        <v>95.914959583871322</v>
      </c>
      <c r="AL206" s="1">
        <v>100.15695163798615</v>
      </c>
      <c r="AM206" s="1">
        <v>108.06561148645895</v>
      </c>
      <c r="AN206" s="1">
        <v>105.46964960170939</v>
      </c>
      <c r="AO206" s="1">
        <v>98.210220186454748</v>
      </c>
      <c r="AP206" s="1">
        <v>100</v>
      </c>
      <c r="AQ206" s="1">
        <v>100</v>
      </c>
      <c r="AR206" s="1">
        <v>96.578945423208708</v>
      </c>
      <c r="AS206" s="1">
        <v>100</v>
      </c>
      <c r="AT206" s="1">
        <v>106.94420055657852</v>
      </c>
      <c r="AU206" s="1">
        <v>100</v>
      </c>
      <c r="AV206" s="1">
        <v>99.900323214082661</v>
      </c>
      <c r="AW206" s="1">
        <v>100</v>
      </c>
      <c r="AX206" s="1">
        <v>100</v>
      </c>
      <c r="AY206" s="1">
        <v>100</v>
      </c>
      <c r="AZ206" s="1">
        <v>100</v>
      </c>
      <c r="BA206" s="1">
        <v>100</v>
      </c>
      <c r="BB206" s="1">
        <v>100</v>
      </c>
      <c r="BC206" s="1">
        <v>100</v>
      </c>
      <c r="BD206" s="1">
        <v>100</v>
      </c>
      <c r="BE206" s="1">
        <v>100</v>
      </c>
      <c r="BF206" s="1">
        <v>100</v>
      </c>
      <c r="BG206" s="1">
        <v>100</v>
      </c>
      <c r="BH206" s="1">
        <v>100</v>
      </c>
    </row>
    <row r="207" spans="1:60" x14ac:dyDescent="0.25">
      <c r="A207">
        <v>194</v>
      </c>
      <c r="B207" s="1">
        <v>96.598262359508567</v>
      </c>
      <c r="C207" s="1">
        <v>94.353173132071191</v>
      </c>
      <c r="D207" s="1">
        <v>99.900323214082661</v>
      </c>
      <c r="E207" s="1">
        <v>116.86188663297433</v>
      </c>
      <c r="F207" s="1">
        <v>100</v>
      </c>
      <c r="G207" s="1">
        <v>100</v>
      </c>
      <c r="H207" s="1">
        <v>100.79779325216231</v>
      </c>
      <c r="I207" s="1">
        <v>95.563883335101934</v>
      </c>
      <c r="J207" s="1">
        <v>99.873960030431505</v>
      </c>
      <c r="K207" s="1">
        <v>103.01716491835256</v>
      </c>
      <c r="L207" s="1">
        <v>97.120570992246073</v>
      </c>
      <c r="M207" s="1">
        <v>96.715943522481638</v>
      </c>
      <c r="N207" s="1">
        <v>100</v>
      </c>
      <c r="O207" s="1">
        <v>100</v>
      </c>
      <c r="P207" s="1">
        <v>90.169934884882707</v>
      </c>
      <c r="Q207" s="1">
        <v>100</v>
      </c>
      <c r="R207" s="1">
        <v>98.539127000430625</v>
      </c>
      <c r="S207" s="1">
        <v>100</v>
      </c>
      <c r="T207" s="1">
        <v>109.35623835953749</v>
      </c>
      <c r="U207" s="1">
        <v>98.778848255775031</v>
      </c>
      <c r="V207" s="1">
        <v>96.6833377131926</v>
      </c>
      <c r="W207" s="1">
        <v>100</v>
      </c>
      <c r="X207" s="1">
        <v>98.938308797866256</v>
      </c>
      <c r="Y207" s="1">
        <v>100</v>
      </c>
      <c r="Z207" s="1">
        <v>96.320382403943185</v>
      </c>
      <c r="AA207" s="1">
        <v>98.539127000430625</v>
      </c>
      <c r="AB207" s="1">
        <v>91.441665743661673</v>
      </c>
      <c r="AC207" s="1">
        <v>101.78077976073585</v>
      </c>
      <c r="AD207" s="1">
        <v>113.07002987575412</v>
      </c>
      <c r="AE207" s="1">
        <v>92.057940496793833</v>
      </c>
      <c r="AF207" s="1">
        <v>103.73954566414245</v>
      </c>
      <c r="AG207" s="1">
        <v>100</v>
      </c>
      <c r="AH207" s="1">
        <v>100</v>
      </c>
      <c r="AI207" s="1">
        <v>100</v>
      </c>
      <c r="AJ207" s="1">
        <v>100</v>
      </c>
      <c r="AK207" s="1">
        <v>95.914959583871322</v>
      </c>
      <c r="AL207" s="1">
        <v>100.15695163798615</v>
      </c>
      <c r="AM207" s="1">
        <v>108.06561148645895</v>
      </c>
      <c r="AN207" s="1">
        <v>105.46964960170939</v>
      </c>
      <c r="AO207" s="1">
        <v>96.751131149545259</v>
      </c>
      <c r="AP207" s="1">
        <v>100</v>
      </c>
      <c r="AQ207" s="1">
        <v>100</v>
      </c>
      <c r="AR207" s="1">
        <v>96.578945423208708</v>
      </c>
      <c r="AS207" s="1">
        <v>100</v>
      </c>
      <c r="AT207" s="1">
        <v>106.94420055657852</v>
      </c>
      <c r="AU207" s="1">
        <v>100</v>
      </c>
      <c r="AV207" s="1">
        <v>99.900323214082661</v>
      </c>
      <c r="AW207" s="1">
        <v>100</v>
      </c>
      <c r="AX207" s="1">
        <v>100</v>
      </c>
      <c r="AY207" s="1">
        <v>100</v>
      </c>
      <c r="AZ207" s="1">
        <v>100</v>
      </c>
      <c r="BA207" s="1">
        <v>100</v>
      </c>
      <c r="BB207" s="1">
        <v>100</v>
      </c>
      <c r="BC207" s="1">
        <v>100</v>
      </c>
      <c r="BD207" s="1">
        <v>100</v>
      </c>
      <c r="BE207" s="1">
        <v>100</v>
      </c>
      <c r="BF207" s="1">
        <v>100</v>
      </c>
      <c r="BG207" s="1">
        <v>100</v>
      </c>
      <c r="BH207" s="1">
        <v>100</v>
      </c>
    </row>
    <row r="208" spans="1:60" x14ac:dyDescent="0.25">
      <c r="A208">
        <v>195</v>
      </c>
      <c r="B208" s="1">
        <v>96.598262359508567</v>
      </c>
      <c r="C208" s="1">
        <v>94.353173132071191</v>
      </c>
      <c r="D208" s="1">
        <v>99.900323214082661</v>
      </c>
      <c r="E208" s="1">
        <v>117.94051927770261</v>
      </c>
      <c r="F208" s="1">
        <v>100</v>
      </c>
      <c r="G208" s="1">
        <v>100</v>
      </c>
      <c r="H208" s="1">
        <v>100.79779325216231</v>
      </c>
      <c r="I208" s="1">
        <v>96.882907232496876</v>
      </c>
      <c r="J208" s="1">
        <v>99.873960030431505</v>
      </c>
      <c r="K208" s="1">
        <v>103.01716491835256</v>
      </c>
      <c r="L208" s="1">
        <v>97.120570992246073</v>
      </c>
      <c r="M208" s="1">
        <v>96.715943522481638</v>
      </c>
      <c r="N208" s="1">
        <v>100</v>
      </c>
      <c r="O208" s="1">
        <v>100</v>
      </c>
      <c r="P208" s="1">
        <v>90.169934884882707</v>
      </c>
      <c r="Q208" s="1">
        <v>100</v>
      </c>
      <c r="R208" s="1">
        <v>98.539127000430625</v>
      </c>
      <c r="S208" s="1">
        <v>100</v>
      </c>
      <c r="T208" s="1">
        <v>108.08409219150259</v>
      </c>
      <c r="U208" s="1">
        <v>98.778848255775031</v>
      </c>
      <c r="V208" s="1">
        <v>96.6833377131926</v>
      </c>
      <c r="W208" s="1">
        <v>100</v>
      </c>
      <c r="X208" s="1">
        <v>98.938308797866256</v>
      </c>
      <c r="Y208" s="1">
        <v>100</v>
      </c>
      <c r="Z208" s="1">
        <v>96.320382403943185</v>
      </c>
      <c r="AA208" s="1">
        <v>98.539127000430625</v>
      </c>
      <c r="AB208" s="1">
        <v>91.441665743661673</v>
      </c>
      <c r="AC208" s="1">
        <v>101.78077976073585</v>
      </c>
      <c r="AD208" s="1">
        <v>113.07002987575412</v>
      </c>
      <c r="AE208" s="1">
        <v>92.057940496793833</v>
      </c>
      <c r="AF208" s="1">
        <v>103.73954566414245</v>
      </c>
      <c r="AG208" s="1">
        <v>100</v>
      </c>
      <c r="AH208" s="1">
        <v>100</v>
      </c>
      <c r="AI208" s="1">
        <v>100</v>
      </c>
      <c r="AJ208" s="1">
        <v>100</v>
      </c>
      <c r="AK208" s="1">
        <v>95.914959583871322</v>
      </c>
      <c r="AL208" s="1">
        <v>100.15695163798615</v>
      </c>
      <c r="AM208" s="1">
        <v>108.06561148645895</v>
      </c>
      <c r="AN208" s="1">
        <v>105.46964960170939</v>
      </c>
      <c r="AO208" s="1">
        <v>95.625620775456937</v>
      </c>
      <c r="AP208" s="1">
        <v>100</v>
      </c>
      <c r="AQ208" s="1">
        <v>100</v>
      </c>
      <c r="AR208" s="1">
        <v>96.578945423208708</v>
      </c>
      <c r="AS208" s="1">
        <v>100</v>
      </c>
      <c r="AT208" s="1">
        <v>106.94420055657852</v>
      </c>
      <c r="AU208" s="1">
        <v>100</v>
      </c>
      <c r="AV208" s="1">
        <v>99.900323214082661</v>
      </c>
      <c r="AW208" s="1">
        <v>100</v>
      </c>
      <c r="AX208" s="1">
        <v>100</v>
      </c>
      <c r="AY208" s="1">
        <v>100</v>
      </c>
      <c r="AZ208" s="1">
        <v>100</v>
      </c>
      <c r="BA208" s="1">
        <v>100</v>
      </c>
      <c r="BB208" s="1">
        <v>100</v>
      </c>
      <c r="BC208" s="1">
        <v>100</v>
      </c>
      <c r="BD208" s="1">
        <v>100</v>
      </c>
      <c r="BE208" s="1">
        <v>100</v>
      </c>
      <c r="BF208" s="1">
        <v>100</v>
      </c>
      <c r="BG208" s="1">
        <v>100</v>
      </c>
      <c r="BH208" s="1">
        <v>100</v>
      </c>
    </row>
    <row r="209" spans="1:60" x14ac:dyDescent="0.25">
      <c r="A209">
        <v>196</v>
      </c>
      <c r="B209" s="1">
        <v>96.598262359508567</v>
      </c>
      <c r="C209" s="1">
        <v>94.353173132071191</v>
      </c>
      <c r="D209" s="1">
        <v>99.900323214082661</v>
      </c>
      <c r="E209" s="1">
        <v>117.94051927770261</v>
      </c>
      <c r="F209" s="1">
        <v>100</v>
      </c>
      <c r="G209" s="1">
        <v>100</v>
      </c>
      <c r="H209" s="1">
        <v>100.79779325216231</v>
      </c>
      <c r="I209" s="1">
        <v>96.882907232496876</v>
      </c>
      <c r="J209" s="1">
        <v>99.873960030431505</v>
      </c>
      <c r="K209" s="1">
        <v>102.80760729539756</v>
      </c>
      <c r="L209" s="1">
        <v>97.120570992246073</v>
      </c>
      <c r="M209" s="1">
        <v>96.715943522481638</v>
      </c>
      <c r="N209" s="1">
        <v>100</v>
      </c>
      <c r="O209" s="1">
        <v>100</v>
      </c>
      <c r="P209" s="1">
        <v>90.169934884882707</v>
      </c>
      <c r="Q209" s="1">
        <v>100</v>
      </c>
      <c r="R209" s="1">
        <v>98.539127000430625</v>
      </c>
      <c r="S209" s="1">
        <v>100</v>
      </c>
      <c r="T209" s="1">
        <v>108.27405182420809</v>
      </c>
      <c r="U209" s="1">
        <v>98.778848255775031</v>
      </c>
      <c r="V209" s="1">
        <v>96.6833377131926</v>
      </c>
      <c r="W209" s="1">
        <v>100</v>
      </c>
      <c r="X209" s="1">
        <v>98.938308797866256</v>
      </c>
      <c r="Y209" s="1">
        <v>100</v>
      </c>
      <c r="Z209" s="1">
        <v>96.320382403943185</v>
      </c>
      <c r="AA209" s="1">
        <v>98.539127000430625</v>
      </c>
      <c r="AB209" s="1">
        <v>91.441665743661673</v>
      </c>
      <c r="AC209" s="1">
        <v>101.78077976073585</v>
      </c>
      <c r="AD209" s="1">
        <v>113.07002987575412</v>
      </c>
      <c r="AE209" s="1">
        <v>92.057940496793833</v>
      </c>
      <c r="AF209" s="1">
        <v>103.73954566414245</v>
      </c>
      <c r="AG209" s="1">
        <v>100</v>
      </c>
      <c r="AH209" s="1">
        <v>100</v>
      </c>
      <c r="AI209" s="1">
        <v>100</v>
      </c>
      <c r="AJ209" s="1">
        <v>100</v>
      </c>
      <c r="AK209" s="1">
        <v>95.71984927432095</v>
      </c>
      <c r="AL209" s="1">
        <v>100.15695163798615</v>
      </c>
      <c r="AM209" s="1">
        <v>108.06561148645895</v>
      </c>
      <c r="AN209" s="1">
        <v>105.46964960170939</v>
      </c>
      <c r="AO209" s="1">
        <v>95.840329075256804</v>
      </c>
      <c r="AP209" s="1">
        <v>100</v>
      </c>
      <c r="AQ209" s="1">
        <v>100</v>
      </c>
      <c r="AR209" s="1">
        <v>96.578945423208708</v>
      </c>
      <c r="AS209" s="1">
        <v>100</v>
      </c>
      <c r="AT209" s="1">
        <v>106.94420055657852</v>
      </c>
      <c r="AU209" s="1">
        <v>100</v>
      </c>
      <c r="AV209" s="1">
        <v>99.900323214082661</v>
      </c>
      <c r="AW209" s="1">
        <v>100</v>
      </c>
      <c r="AX209" s="1">
        <v>100</v>
      </c>
      <c r="AY209" s="1">
        <v>100</v>
      </c>
      <c r="AZ209" s="1">
        <v>100</v>
      </c>
      <c r="BA209" s="1">
        <v>100</v>
      </c>
      <c r="BB209" s="1">
        <v>100</v>
      </c>
      <c r="BC209" s="1">
        <v>100</v>
      </c>
      <c r="BD209" s="1">
        <v>100</v>
      </c>
      <c r="BE209" s="1">
        <v>100</v>
      </c>
      <c r="BF209" s="1">
        <v>100</v>
      </c>
      <c r="BG209" s="1">
        <v>100</v>
      </c>
      <c r="BH209" s="1">
        <v>100</v>
      </c>
    </row>
    <row r="210" spans="1:60" x14ac:dyDescent="0.25">
      <c r="A210">
        <v>197</v>
      </c>
      <c r="B210" s="1">
        <v>96.598262359508567</v>
      </c>
      <c r="C210" s="1">
        <v>94.353173132071191</v>
      </c>
      <c r="D210" s="1">
        <v>99.900323214082661</v>
      </c>
      <c r="E210" s="1">
        <v>117.94051927770261</v>
      </c>
      <c r="F210" s="1">
        <v>100</v>
      </c>
      <c r="G210" s="1">
        <v>100</v>
      </c>
      <c r="H210" s="1">
        <v>100.79779325216231</v>
      </c>
      <c r="I210" s="1">
        <v>96.882907232496876</v>
      </c>
      <c r="J210" s="1">
        <v>99.873960030431505</v>
      </c>
      <c r="K210" s="1">
        <v>102.99188158362618</v>
      </c>
      <c r="L210" s="1">
        <v>97.120570992246073</v>
      </c>
      <c r="M210" s="1">
        <v>96.715943522481638</v>
      </c>
      <c r="N210" s="1">
        <v>100</v>
      </c>
      <c r="O210" s="1">
        <v>100</v>
      </c>
      <c r="P210" s="1">
        <v>90.169934884882707</v>
      </c>
      <c r="Q210" s="1">
        <v>100</v>
      </c>
      <c r="R210" s="1">
        <v>98.539127000430625</v>
      </c>
      <c r="S210" s="1">
        <v>100</v>
      </c>
      <c r="T210" s="1">
        <v>108.07131431798709</v>
      </c>
      <c r="U210" s="1">
        <v>98.778848255775031</v>
      </c>
      <c r="V210" s="1">
        <v>96.6833377131926</v>
      </c>
      <c r="W210" s="1">
        <v>100</v>
      </c>
      <c r="X210" s="1">
        <v>98.938308797866256</v>
      </c>
      <c r="Y210" s="1">
        <v>100</v>
      </c>
      <c r="Z210" s="1">
        <v>96.320382403943185</v>
      </c>
      <c r="AA210" s="1">
        <v>98.539127000430625</v>
      </c>
      <c r="AB210" s="1">
        <v>91.441665743661673</v>
      </c>
      <c r="AC210" s="1">
        <v>101.78077976073585</v>
      </c>
      <c r="AD210" s="1">
        <v>113.07002987575412</v>
      </c>
      <c r="AE210" s="1">
        <v>92.057940496793833</v>
      </c>
      <c r="AF210" s="1">
        <v>103.73954566414245</v>
      </c>
      <c r="AG210" s="1">
        <v>100</v>
      </c>
      <c r="AH210" s="1">
        <v>100</v>
      </c>
      <c r="AI210" s="1">
        <v>100</v>
      </c>
      <c r="AJ210" s="1">
        <v>100</v>
      </c>
      <c r="AK210" s="1">
        <v>95.917768502176742</v>
      </c>
      <c r="AL210" s="1">
        <v>100.15695163798615</v>
      </c>
      <c r="AM210" s="1">
        <v>108.06561148645895</v>
      </c>
      <c r="AN210" s="1">
        <v>105.46964960170939</v>
      </c>
      <c r="AO210" s="1">
        <v>95.660873065393389</v>
      </c>
      <c r="AP210" s="1">
        <v>100</v>
      </c>
      <c r="AQ210" s="1">
        <v>100</v>
      </c>
      <c r="AR210" s="1">
        <v>96.578945423208708</v>
      </c>
      <c r="AS210" s="1">
        <v>100</v>
      </c>
      <c r="AT210" s="1">
        <v>106.94420055657852</v>
      </c>
      <c r="AU210" s="1">
        <v>100</v>
      </c>
      <c r="AV210" s="1">
        <v>99.900323214082661</v>
      </c>
      <c r="AW210" s="1">
        <v>100</v>
      </c>
      <c r="AX210" s="1">
        <v>100</v>
      </c>
      <c r="AY210" s="1">
        <v>100</v>
      </c>
      <c r="AZ210" s="1">
        <v>100</v>
      </c>
      <c r="BA210" s="1">
        <v>100</v>
      </c>
      <c r="BB210" s="1">
        <v>100</v>
      </c>
      <c r="BC210" s="1">
        <v>100</v>
      </c>
      <c r="BD210" s="1">
        <v>100</v>
      </c>
      <c r="BE210" s="1">
        <v>100</v>
      </c>
      <c r="BF210" s="1">
        <v>100</v>
      </c>
      <c r="BG210" s="1">
        <v>100</v>
      </c>
      <c r="BH210" s="1">
        <v>100</v>
      </c>
    </row>
    <row r="211" spans="1:60" x14ac:dyDescent="0.25">
      <c r="A211">
        <v>198</v>
      </c>
      <c r="B211" s="1">
        <v>96.87575027990971</v>
      </c>
      <c r="C211" s="1">
        <v>94.353173132071191</v>
      </c>
      <c r="D211" s="1">
        <v>99.900323214082661</v>
      </c>
      <c r="E211" s="1">
        <v>117.94051927770261</v>
      </c>
      <c r="F211" s="1">
        <v>100</v>
      </c>
      <c r="G211" s="1">
        <v>100</v>
      </c>
      <c r="H211" s="1">
        <v>100.79779325216231</v>
      </c>
      <c r="I211" s="1">
        <v>96.882907232496876</v>
      </c>
      <c r="J211" s="1">
        <v>99.873960030431505</v>
      </c>
      <c r="K211" s="1">
        <v>102.99188158362618</v>
      </c>
      <c r="L211" s="1">
        <v>96.848552533857116</v>
      </c>
      <c r="M211" s="1">
        <v>96.715943522481638</v>
      </c>
      <c r="N211" s="1">
        <v>100</v>
      </c>
      <c r="O211" s="1">
        <v>100</v>
      </c>
      <c r="P211" s="1">
        <v>90.169934884882707</v>
      </c>
      <c r="Q211" s="1">
        <v>100</v>
      </c>
      <c r="R211" s="1">
        <v>98.539127000430625</v>
      </c>
      <c r="S211" s="1">
        <v>100</v>
      </c>
      <c r="T211" s="1">
        <v>108.07131431798709</v>
      </c>
      <c r="U211" s="1">
        <v>98.778848255775031</v>
      </c>
      <c r="V211" s="1">
        <v>96.6833377131926</v>
      </c>
      <c r="W211" s="1">
        <v>100</v>
      </c>
      <c r="X211" s="1">
        <v>98.938308797866256</v>
      </c>
      <c r="Y211" s="1">
        <v>100</v>
      </c>
      <c r="Z211" s="1">
        <v>96.320382403943185</v>
      </c>
      <c r="AA211" s="1">
        <v>98.539127000430625</v>
      </c>
      <c r="AB211" s="1">
        <v>91.18555294805121</v>
      </c>
      <c r="AC211" s="1">
        <v>101.78077976073585</v>
      </c>
      <c r="AD211" s="1">
        <v>113.07002987575412</v>
      </c>
      <c r="AE211" s="1">
        <v>92.057940496793833</v>
      </c>
      <c r="AF211" s="1">
        <v>103.73954566414245</v>
      </c>
      <c r="AG211" s="1">
        <v>100</v>
      </c>
      <c r="AH211" s="1">
        <v>100</v>
      </c>
      <c r="AI211" s="1">
        <v>100</v>
      </c>
      <c r="AJ211" s="1">
        <v>100</v>
      </c>
      <c r="AK211" s="1">
        <v>95.917768502176742</v>
      </c>
      <c r="AL211" s="1">
        <v>100.15695163798615</v>
      </c>
      <c r="AM211" s="1">
        <v>108.06561148645895</v>
      </c>
      <c r="AN211" s="1">
        <v>105.46964960170939</v>
      </c>
      <c r="AO211" s="1">
        <v>95.660873065393389</v>
      </c>
      <c r="AP211" s="1">
        <v>100</v>
      </c>
      <c r="AQ211" s="1">
        <v>100</v>
      </c>
      <c r="AR211" s="1">
        <v>96.578945423208708</v>
      </c>
      <c r="AS211" s="1">
        <v>100</v>
      </c>
      <c r="AT211" s="1">
        <v>107.1948438901768</v>
      </c>
      <c r="AU211" s="1">
        <v>100</v>
      </c>
      <c r="AV211" s="1">
        <v>99.900323214082661</v>
      </c>
      <c r="AW211" s="1">
        <v>100</v>
      </c>
      <c r="AX211" s="1">
        <v>100</v>
      </c>
      <c r="AY211" s="1">
        <v>100</v>
      </c>
      <c r="AZ211" s="1">
        <v>100</v>
      </c>
      <c r="BA211" s="1">
        <v>100</v>
      </c>
      <c r="BB211" s="1">
        <v>100</v>
      </c>
      <c r="BC211" s="1">
        <v>100</v>
      </c>
      <c r="BD211" s="1">
        <v>100</v>
      </c>
      <c r="BE211" s="1">
        <v>100</v>
      </c>
      <c r="BF211" s="1">
        <v>100</v>
      </c>
      <c r="BG211" s="1">
        <v>100</v>
      </c>
      <c r="BH211" s="1">
        <v>100</v>
      </c>
    </row>
    <row r="212" spans="1:60" x14ac:dyDescent="0.25">
      <c r="A212">
        <v>199</v>
      </c>
      <c r="B212" s="1">
        <v>98.218271980747275</v>
      </c>
      <c r="C212" s="1">
        <v>94.353173132071191</v>
      </c>
      <c r="D212" s="1">
        <v>99.900323214082661</v>
      </c>
      <c r="E212" s="1">
        <v>117.94051927770261</v>
      </c>
      <c r="F212" s="1">
        <v>100</v>
      </c>
      <c r="G212" s="1">
        <v>100</v>
      </c>
      <c r="H212" s="1">
        <v>100.79779325216231</v>
      </c>
      <c r="I212" s="1">
        <v>96.882907232496876</v>
      </c>
      <c r="J212" s="1">
        <v>99.873960030431505</v>
      </c>
      <c r="K212" s="1">
        <v>102.99188158362618</v>
      </c>
      <c r="L212" s="1">
        <v>95.53216320473669</v>
      </c>
      <c r="M212" s="1">
        <v>96.715943522481638</v>
      </c>
      <c r="N212" s="1">
        <v>100</v>
      </c>
      <c r="O212" s="1">
        <v>100</v>
      </c>
      <c r="P212" s="1">
        <v>90.169934884882707</v>
      </c>
      <c r="Q212" s="1">
        <v>100</v>
      </c>
      <c r="R212" s="1">
        <v>98.539127000430625</v>
      </c>
      <c r="S212" s="1">
        <v>100</v>
      </c>
      <c r="T212" s="1">
        <v>108.07131431798709</v>
      </c>
      <c r="U212" s="1">
        <v>98.778848255775031</v>
      </c>
      <c r="V212" s="1">
        <v>96.6833377131926</v>
      </c>
      <c r="W212" s="1">
        <v>100</v>
      </c>
      <c r="X212" s="1">
        <v>98.938308797866256</v>
      </c>
      <c r="Y212" s="1">
        <v>100</v>
      </c>
      <c r="Z212" s="1">
        <v>96.320382403943185</v>
      </c>
      <c r="AA212" s="1">
        <v>98.539127000430625</v>
      </c>
      <c r="AB212" s="1">
        <v>89.94613650113223</v>
      </c>
      <c r="AC212" s="1">
        <v>101.78077976073585</v>
      </c>
      <c r="AD212" s="1">
        <v>113.07002987575412</v>
      </c>
      <c r="AE212" s="1">
        <v>92.057940496793833</v>
      </c>
      <c r="AF212" s="1">
        <v>103.73954566414245</v>
      </c>
      <c r="AG212" s="1">
        <v>100</v>
      </c>
      <c r="AH212" s="1">
        <v>100</v>
      </c>
      <c r="AI212" s="1">
        <v>100</v>
      </c>
      <c r="AJ212" s="1">
        <v>100</v>
      </c>
      <c r="AK212" s="1">
        <v>95.917768502176742</v>
      </c>
      <c r="AL212" s="1">
        <v>100.15695163798615</v>
      </c>
      <c r="AM212" s="1">
        <v>108.06561148645895</v>
      </c>
      <c r="AN212" s="1">
        <v>105.46964960170939</v>
      </c>
      <c r="AO212" s="1">
        <v>95.660873065393389</v>
      </c>
      <c r="AP212" s="1">
        <v>100</v>
      </c>
      <c r="AQ212" s="1">
        <v>100</v>
      </c>
      <c r="AR212" s="1">
        <v>96.578945423208708</v>
      </c>
      <c r="AS212" s="1">
        <v>100</v>
      </c>
      <c r="AT212" s="1">
        <v>108.40812796537864</v>
      </c>
      <c r="AU212" s="1">
        <v>100</v>
      </c>
      <c r="AV212" s="1">
        <v>99.900323214082661</v>
      </c>
      <c r="AW212" s="1">
        <v>100</v>
      </c>
      <c r="AX212" s="1">
        <v>100</v>
      </c>
      <c r="AY212" s="1">
        <v>100</v>
      </c>
      <c r="AZ212" s="1">
        <v>100</v>
      </c>
      <c r="BA212" s="1">
        <v>100</v>
      </c>
      <c r="BB212" s="1">
        <v>100</v>
      </c>
      <c r="BC212" s="1">
        <v>100</v>
      </c>
      <c r="BD212" s="1">
        <v>100</v>
      </c>
      <c r="BE212" s="1">
        <v>100</v>
      </c>
      <c r="BF212" s="1">
        <v>100</v>
      </c>
      <c r="BG212" s="1">
        <v>100</v>
      </c>
      <c r="BH212" s="1">
        <v>100</v>
      </c>
    </row>
    <row r="213" spans="1:60" x14ac:dyDescent="0.25">
      <c r="A213">
        <v>200</v>
      </c>
      <c r="B213" s="1">
        <v>98.218271980747275</v>
      </c>
      <c r="C213" s="1">
        <v>94.353173132071191</v>
      </c>
      <c r="D213" s="1">
        <v>99.900323214082661</v>
      </c>
      <c r="E213" s="1">
        <v>116.50111594359602</v>
      </c>
      <c r="F213" s="1">
        <v>100</v>
      </c>
      <c r="G213" s="1">
        <v>100</v>
      </c>
      <c r="H213" s="1">
        <v>100.79779325216231</v>
      </c>
      <c r="I213" s="1">
        <v>96.882907232496876</v>
      </c>
      <c r="J213" s="1">
        <v>99.873960030431505</v>
      </c>
      <c r="K213" s="1">
        <v>104.27797767048624</v>
      </c>
      <c r="L213" s="1">
        <v>95.53216320473669</v>
      </c>
      <c r="M213" s="1">
        <v>96.715943522481638</v>
      </c>
      <c r="N213" s="1">
        <v>100</v>
      </c>
      <c r="O213" s="1">
        <v>100</v>
      </c>
      <c r="P213" s="1">
        <v>90.169934884882707</v>
      </c>
      <c r="Q213" s="1">
        <v>100</v>
      </c>
      <c r="R213" s="1">
        <v>98.539127000430625</v>
      </c>
      <c r="S213" s="1">
        <v>100</v>
      </c>
      <c r="T213" s="1">
        <v>108.07131431798709</v>
      </c>
      <c r="U213" s="1">
        <v>98.778848255775031</v>
      </c>
      <c r="V213" s="1">
        <v>96.6833377131926</v>
      </c>
      <c r="W213" s="1">
        <v>100</v>
      </c>
      <c r="X213" s="1">
        <v>98.938308797866256</v>
      </c>
      <c r="Y213" s="1">
        <v>100</v>
      </c>
      <c r="Z213" s="1">
        <v>96.320382403943185</v>
      </c>
      <c r="AA213" s="1">
        <v>98.539127000430625</v>
      </c>
      <c r="AB213" s="1">
        <v>89.94613650113223</v>
      </c>
      <c r="AC213" s="1">
        <v>101.78077976073585</v>
      </c>
      <c r="AD213" s="1">
        <v>113.07002987575412</v>
      </c>
      <c r="AE213" s="1">
        <v>90.934420715012422</v>
      </c>
      <c r="AF213" s="1">
        <v>105.0163726931704</v>
      </c>
      <c r="AG213" s="1">
        <v>100</v>
      </c>
      <c r="AH213" s="1">
        <v>100</v>
      </c>
      <c r="AI213" s="1">
        <v>100</v>
      </c>
      <c r="AJ213" s="1">
        <v>100</v>
      </c>
      <c r="AK213" s="1">
        <v>95.917768502176742</v>
      </c>
      <c r="AL213" s="1">
        <v>100.15695163798615</v>
      </c>
      <c r="AM213" s="1">
        <v>108.06561148645895</v>
      </c>
      <c r="AN213" s="1">
        <v>105.46964960170939</v>
      </c>
      <c r="AO213" s="1">
        <v>95.660873065393389</v>
      </c>
      <c r="AP213" s="1">
        <v>100</v>
      </c>
      <c r="AQ213" s="1">
        <v>100</v>
      </c>
      <c r="AR213" s="1">
        <v>96.578945423208708</v>
      </c>
      <c r="AS213" s="1">
        <v>100</v>
      </c>
      <c r="AT213" s="1">
        <v>108.40812796537864</v>
      </c>
      <c r="AU213" s="1">
        <v>100</v>
      </c>
      <c r="AV213" s="1">
        <v>99.900323214082661</v>
      </c>
      <c r="AW213" s="1">
        <v>100</v>
      </c>
      <c r="AX213" s="1">
        <v>100</v>
      </c>
      <c r="AY213" s="1">
        <v>100</v>
      </c>
      <c r="AZ213" s="1">
        <v>100</v>
      </c>
      <c r="BA213" s="1">
        <v>100</v>
      </c>
      <c r="BB213" s="1">
        <v>100</v>
      </c>
      <c r="BC213" s="1">
        <v>100</v>
      </c>
      <c r="BD213" s="1">
        <v>100</v>
      </c>
      <c r="BE213" s="1">
        <v>100</v>
      </c>
      <c r="BF213" s="1">
        <v>100</v>
      </c>
      <c r="BG213" s="1">
        <v>100</v>
      </c>
      <c r="BH213" s="1">
        <v>100</v>
      </c>
    </row>
    <row r="214" spans="1:60" x14ac:dyDescent="0.25">
      <c r="A214">
        <v>201</v>
      </c>
      <c r="B214" s="1">
        <v>98.218271980747275</v>
      </c>
      <c r="C214" s="1">
        <v>94.353173132071191</v>
      </c>
      <c r="D214" s="1">
        <v>99.900323214082661</v>
      </c>
      <c r="E214" s="1">
        <v>116.47661404435885</v>
      </c>
      <c r="F214" s="1">
        <v>100</v>
      </c>
      <c r="G214" s="1">
        <v>100</v>
      </c>
      <c r="H214" s="1">
        <v>100.79779325216231</v>
      </c>
      <c r="I214" s="1">
        <v>96.882907232496876</v>
      </c>
      <c r="J214" s="1">
        <v>99.873960030431505</v>
      </c>
      <c r="K214" s="1">
        <v>104.29986800164178</v>
      </c>
      <c r="L214" s="1">
        <v>95.53216320473669</v>
      </c>
      <c r="M214" s="1">
        <v>96.715943522481638</v>
      </c>
      <c r="N214" s="1">
        <v>100</v>
      </c>
      <c r="O214" s="1">
        <v>100</v>
      </c>
      <c r="P214" s="1">
        <v>90.169934884882707</v>
      </c>
      <c r="Q214" s="1">
        <v>100</v>
      </c>
      <c r="R214" s="1">
        <v>98.539127000430625</v>
      </c>
      <c r="S214" s="1">
        <v>100</v>
      </c>
      <c r="T214" s="1">
        <v>108.07131431798709</v>
      </c>
      <c r="U214" s="1">
        <v>98.778848255775031</v>
      </c>
      <c r="V214" s="1">
        <v>96.6833377131926</v>
      </c>
      <c r="W214" s="1">
        <v>100</v>
      </c>
      <c r="X214" s="1">
        <v>98.938308797866256</v>
      </c>
      <c r="Y214" s="1">
        <v>100</v>
      </c>
      <c r="Z214" s="1">
        <v>96.320382403943185</v>
      </c>
      <c r="AA214" s="1">
        <v>98.539127000430625</v>
      </c>
      <c r="AB214" s="1">
        <v>89.94613650113223</v>
      </c>
      <c r="AC214" s="1">
        <v>101.78077976073585</v>
      </c>
      <c r="AD214" s="1">
        <v>113.07002987575412</v>
      </c>
      <c r="AE214" s="1">
        <v>90.915295868048489</v>
      </c>
      <c r="AF214" s="1">
        <v>105.03810910821595</v>
      </c>
      <c r="AG214" s="1">
        <v>100</v>
      </c>
      <c r="AH214" s="1">
        <v>100</v>
      </c>
      <c r="AI214" s="1">
        <v>100</v>
      </c>
      <c r="AJ214" s="1">
        <v>100</v>
      </c>
      <c r="AK214" s="1">
        <v>95.917768502176742</v>
      </c>
      <c r="AL214" s="1">
        <v>100.15695163798615</v>
      </c>
      <c r="AM214" s="1">
        <v>108.06561148645895</v>
      </c>
      <c r="AN214" s="1">
        <v>105.46964960170939</v>
      </c>
      <c r="AO214" s="1">
        <v>95.660873065393389</v>
      </c>
      <c r="AP214" s="1">
        <v>100</v>
      </c>
      <c r="AQ214" s="1">
        <v>100</v>
      </c>
      <c r="AR214" s="1">
        <v>96.578945423208708</v>
      </c>
      <c r="AS214" s="1">
        <v>100</v>
      </c>
      <c r="AT214" s="1">
        <v>108.40812796537864</v>
      </c>
      <c r="AU214" s="1">
        <v>100</v>
      </c>
      <c r="AV214" s="1">
        <v>99.900323214082661</v>
      </c>
      <c r="AW214" s="1">
        <v>100</v>
      </c>
      <c r="AX214" s="1">
        <v>100</v>
      </c>
      <c r="AY214" s="1">
        <v>100</v>
      </c>
      <c r="AZ214" s="1">
        <v>100</v>
      </c>
      <c r="BA214" s="1">
        <v>100</v>
      </c>
      <c r="BB214" s="1">
        <v>100</v>
      </c>
      <c r="BC214" s="1">
        <v>100</v>
      </c>
      <c r="BD214" s="1">
        <v>100</v>
      </c>
      <c r="BE214" s="1">
        <v>100</v>
      </c>
      <c r="BF214" s="1">
        <v>100</v>
      </c>
      <c r="BG214" s="1">
        <v>100</v>
      </c>
      <c r="BH214" s="1">
        <v>100</v>
      </c>
    </row>
    <row r="215" spans="1:60" x14ac:dyDescent="0.25">
      <c r="A215">
        <v>202</v>
      </c>
      <c r="B215" s="1">
        <v>98.218271980747275</v>
      </c>
      <c r="C215" s="1">
        <v>94.353173132071191</v>
      </c>
      <c r="D215" s="1">
        <v>99.900323214082661</v>
      </c>
      <c r="E215" s="1">
        <v>116.47661404435885</v>
      </c>
      <c r="F215" s="1">
        <v>100</v>
      </c>
      <c r="G215" s="1">
        <v>100</v>
      </c>
      <c r="H215" s="1">
        <v>100.79779325216231</v>
      </c>
      <c r="I215" s="1">
        <v>96.882907232496876</v>
      </c>
      <c r="J215" s="1">
        <v>99.873960030431505</v>
      </c>
      <c r="K215" s="1">
        <v>105.03372971919799</v>
      </c>
      <c r="L215" s="1">
        <v>95.53216320473669</v>
      </c>
      <c r="M215" s="1">
        <v>96.715943522481638</v>
      </c>
      <c r="N215" s="1">
        <v>100</v>
      </c>
      <c r="O215" s="1">
        <v>100</v>
      </c>
      <c r="P215" s="1">
        <v>90.169934884882707</v>
      </c>
      <c r="Q215" s="1">
        <v>100</v>
      </c>
      <c r="R215" s="1">
        <v>98.539127000430625</v>
      </c>
      <c r="S215" s="1">
        <v>100</v>
      </c>
      <c r="T215" s="1">
        <v>107.30657878530327</v>
      </c>
      <c r="U215" s="1">
        <v>98.778848255775031</v>
      </c>
      <c r="V215" s="1">
        <v>96.6833377131926</v>
      </c>
      <c r="W215" s="1">
        <v>100</v>
      </c>
      <c r="X215" s="1">
        <v>98.938308797866256</v>
      </c>
      <c r="Y215" s="1">
        <v>100</v>
      </c>
      <c r="Z215" s="1">
        <v>96.320382403943185</v>
      </c>
      <c r="AA215" s="1">
        <v>98.539127000430625</v>
      </c>
      <c r="AB215" s="1">
        <v>89.94613650113223</v>
      </c>
      <c r="AC215" s="1">
        <v>101.78077976073585</v>
      </c>
      <c r="AD215" s="1">
        <v>113.07002987575412</v>
      </c>
      <c r="AE215" s="1">
        <v>90.915295868048489</v>
      </c>
      <c r="AF215" s="1">
        <v>105.03810910821595</v>
      </c>
      <c r="AG215" s="1">
        <v>100</v>
      </c>
      <c r="AH215" s="1">
        <v>100</v>
      </c>
      <c r="AI215" s="1">
        <v>100</v>
      </c>
      <c r="AJ215" s="1">
        <v>100</v>
      </c>
      <c r="AK215" s="1">
        <v>96.715761214766104</v>
      </c>
      <c r="AL215" s="1">
        <v>100.15695163798615</v>
      </c>
      <c r="AM215" s="1">
        <v>108.06561148645895</v>
      </c>
      <c r="AN215" s="1">
        <v>105.46964960170939</v>
      </c>
      <c r="AO215" s="1">
        <v>95.660873065393389</v>
      </c>
      <c r="AP215" s="1">
        <v>100</v>
      </c>
      <c r="AQ215" s="1">
        <v>100</v>
      </c>
      <c r="AR215" s="1">
        <v>96.578945423208708</v>
      </c>
      <c r="AS215" s="1">
        <v>100</v>
      </c>
      <c r="AT215" s="1">
        <v>107.64100906791687</v>
      </c>
      <c r="AU215" s="1">
        <v>100</v>
      </c>
      <c r="AV215" s="1">
        <v>99.900323214082661</v>
      </c>
      <c r="AW215" s="1">
        <v>100</v>
      </c>
      <c r="AX215" s="1">
        <v>100</v>
      </c>
      <c r="AY215" s="1">
        <v>100</v>
      </c>
      <c r="AZ215" s="1">
        <v>100</v>
      </c>
      <c r="BA215" s="1">
        <v>100</v>
      </c>
      <c r="BB215" s="1">
        <v>100</v>
      </c>
      <c r="BC215" s="1">
        <v>100</v>
      </c>
      <c r="BD215" s="1">
        <v>100</v>
      </c>
      <c r="BE215" s="1">
        <v>100</v>
      </c>
      <c r="BF215" s="1">
        <v>100</v>
      </c>
      <c r="BG215" s="1">
        <v>100</v>
      </c>
      <c r="BH215" s="1">
        <v>100</v>
      </c>
    </row>
    <row r="216" spans="1:60" x14ac:dyDescent="0.25">
      <c r="A216">
        <v>203</v>
      </c>
      <c r="B216" s="1">
        <v>98.218271980747275</v>
      </c>
      <c r="C216" s="1">
        <v>94.353173132071191</v>
      </c>
      <c r="D216" s="1">
        <v>99.900323214082661</v>
      </c>
      <c r="E216" s="1">
        <v>116.47661404435885</v>
      </c>
      <c r="F216" s="1">
        <v>100</v>
      </c>
      <c r="G216" s="1">
        <v>100</v>
      </c>
      <c r="H216" s="1">
        <v>100.79779325216231</v>
      </c>
      <c r="I216" s="1">
        <v>96.882907232496876</v>
      </c>
      <c r="J216" s="1">
        <v>99.873960030431505</v>
      </c>
      <c r="K216" s="1">
        <v>106.19713868811519</v>
      </c>
      <c r="L216" s="1">
        <v>95.53216320473669</v>
      </c>
      <c r="M216" s="1">
        <v>96.715943522481638</v>
      </c>
      <c r="N216" s="1">
        <v>100</v>
      </c>
      <c r="O216" s="1">
        <v>100</v>
      </c>
      <c r="P216" s="1">
        <v>90.169934884882707</v>
      </c>
      <c r="Q216" s="1">
        <v>100</v>
      </c>
      <c r="R216" s="1">
        <v>98.539127000430625</v>
      </c>
      <c r="S216" s="1">
        <v>100</v>
      </c>
      <c r="T216" s="1">
        <v>106.09502869705604</v>
      </c>
      <c r="U216" s="1">
        <v>98.778848255775031</v>
      </c>
      <c r="V216" s="1">
        <v>96.6833377131926</v>
      </c>
      <c r="W216" s="1">
        <v>100</v>
      </c>
      <c r="X216" s="1">
        <v>98.938308797866256</v>
      </c>
      <c r="Y216" s="1">
        <v>100</v>
      </c>
      <c r="Z216" s="1">
        <v>96.320382403943185</v>
      </c>
      <c r="AA216" s="1">
        <v>98.539127000430625</v>
      </c>
      <c r="AB216" s="1">
        <v>89.94613650113223</v>
      </c>
      <c r="AC216" s="1">
        <v>101.78077976073585</v>
      </c>
      <c r="AD216" s="1">
        <v>113.07002987575412</v>
      </c>
      <c r="AE216" s="1">
        <v>90.915295868048489</v>
      </c>
      <c r="AF216" s="1">
        <v>105.03810910821595</v>
      </c>
      <c r="AG216" s="1">
        <v>100</v>
      </c>
      <c r="AH216" s="1">
        <v>100</v>
      </c>
      <c r="AI216" s="1">
        <v>100</v>
      </c>
      <c r="AJ216" s="1">
        <v>100</v>
      </c>
      <c r="AK216" s="1">
        <v>97.979228323532269</v>
      </c>
      <c r="AL216" s="1">
        <v>100.15695163798615</v>
      </c>
      <c r="AM216" s="1">
        <v>108.06561148645895</v>
      </c>
      <c r="AN216" s="1">
        <v>105.46964960170939</v>
      </c>
      <c r="AO216" s="1">
        <v>95.660873065393389</v>
      </c>
      <c r="AP216" s="1">
        <v>100</v>
      </c>
      <c r="AQ216" s="1">
        <v>100</v>
      </c>
      <c r="AR216" s="1">
        <v>96.578945423208708</v>
      </c>
      <c r="AS216" s="1">
        <v>100</v>
      </c>
      <c r="AT216" s="1">
        <v>106.42568307848073</v>
      </c>
      <c r="AU216" s="1">
        <v>100</v>
      </c>
      <c r="AV216" s="1">
        <v>99.900323214082661</v>
      </c>
      <c r="AW216" s="1">
        <v>100</v>
      </c>
      <c r="AX216" s="1">
        <v>100</v>
      </c>
      <c r="AY216" s="1">
        <v>100</v>
      </c>
      <c r="AZ216" s="1">
        <v>100</v>
      </c>
      <c r="BA216" s="1">
        <v>100</v>
      </c>
      <c r="BB216" s="1">
        <v>100</v>
      </c>
      <c r="BC216" s="1">
        <v>100</v>
      </c>
      <c r="BD216" s="1">
        <v>100</v>
      </c>
      <c r="BE216" s="1">
        <v>100</v>
      </c>
      <c r="BF216" s="1">
        <v>100</v>
      </c>
      <c r="BG216" s="1">
        <v>100</v>
      </c>
      <c r="BH216" s="1">
        <v>100</v>
      </c>
    </row>
    <row r="217" spans="1:60" x14ac:dyDescent="0.25">
      <c r="A217">
        <v>204</v>
      </c>
      <c r="B217" s="1">
        <v>98.218271980747275</v>
      </c>
      <c r="C217" s="1">
        <v>94.353173132071191</v>
      </c>
      <c r="D217" s="1">
        <v>99.900323214082661</v>
      </c>
      <c r="E217" s="1">
        <v>116.47661404435885</v>
      </c>
      <c r="F217" s="1">
        <v>100</v>
      </c>
      <c r="G217" s="1">
        <v>100</v>
      </c>
      <c r="H217" s="1">
        <v>100.79779325216231</v>
      </c>
      <c r="I217" s="1">
        <v>96.882907232496876</v>
      </c>
      <c r="J217" s="1">
        <v>99.873960030431505</v>
      </c>
      <c r="K217" s="1">
        <v>106.31539029111089</v>
      </c>
      <c r="L217" s="1">
        <v>95.53216320473669</v>
      </c>
      <c r="M217" s="1">
        <v>96.715943522481638</v>
      </c>
      <c r="N217" s="1">
        <v>100</v>
      </c>
      <c r="O217" s="1">
        <v>100</v>
      </c>
      <c r="P217" s="1">
        <v>90.169934884882707</v>
      </c>
      <c r="Q217" s="1">
        <v>100</v>
      </c>
      <c r="R217" s="1">
        <v>98.539127000430625</v>
      </c>
      <c r="S217" s="1">
        <v>100</v>
      </c>
      <c r="T217" s="1">
        <v>106.09502869705604</v>
      </c>
      <c r="U217" s="1">
        <v>98.778848255775031</v>
      </c>
      <c r="V217" s="1">
        <v>96.6833377131926</v>
      </c>
      <c r="W217" s="1">
        <v>100</v>
      </c>
      <c r="X217" s="1">
        <v>98.938308797866256</v>
      </c>
      <c r="Y217" s="1">
        <v>100</v>
      </c>
      <c r="Z217" s="1">
        <v>96.320382403943185</v>
      </c>
      <c r="AA217" s="1">
        <v>98.539127000430625</v>
      </c>
      <c r="AB217" s="1">
        <v>89.94613650113223</v>
      </c>
      <c r="AC217" s="1">
        <v>101.78077976073585</v>
      </c>
      <c r="AD217" s="1">
        <v>113.07002987575412</v>
      </c>
      <c r="AE217" s="1">
        <v>90.915295868048489</v>
      </c>
      <c r="AF217" s="1">
        <v>105.03810910821595</v>
      </c>
      <c r="AG217" s="1">
        <v>100</v>
      </c>
      <c r="AH217" s="1">
        <v>100</v>
      </c>
      <c r="AI217" s="1">
        <v>100</v>
      </c>
      <c r="AJ217" s="1">
        <v>100</v>
      </c>
      <c r="AK217" s="1">
        <v>97.979228323532269</v>
      </c>
      <c r="AL217" s="1">
        <v>100.15695163798615</v>
      </c>
      <c r="AM217" s="1">
        <v>108.06561148645895</v>
      </c>
      <c r="AN217" s="1">
        <v>105.46964960170939</v>
      </c>
      <c r="AO217" s="1">
        <v>95.660873065393389</v>
      </c>
      <c r="AP217" s="1">
        <v>100.12557981883425</v>
      </c>
      <c r="AQ217" s="1">
        <v>99.878084289085024</v>
      </c>
      <c r="AR217" s="1">
        <v>96.578945423208708</v>
      </c>
      <c r="AS217" s="1">
        <v>100</v>
      </c>
      <c r="AT217" s="1">
        <v>106.42568307848073</v>
      </c>
      <c r="AU217" s="1">
        <v>99.878084289085024</v>
      </c>
      <c r="AV217" s="1">
        <v>99.900323214082661</v>
      </c>
      <c r="AW217" s="1">
        <v>100</v>
      </c>
      <c r="AX217" s="1">
        <v>100</v>
      </c>
      <c r="AY217" s="1">
        <v>100</v>
      </c>
      <c r="AZ217" s="1">
        <v>100</v>
      </c>
      <c r="BA217" s="1">
        <v>100</v>
      </c>
      <c r="BB217" s="1">
        <v>100</v>
      </c>
      <c r="BC217" s="1">
        <v>100</v>
      </c>
      <c r="BD217" s="1">
        <v>100</v>
      </c>
      <c r="BE217" s="1">
        <v>100</v>
      </c>
      <c r="BF217" s="1">
        <v>100</v>
      </c>
      <c r="BG217" s="1">
        <v>100</v>
      </c>
      <c r="BH217" s="1">
        <v>100</v>
      </c>
    </row>
    <row r="218" spans="1:60" x14ac:dyDescent="0.25">
      <c r="A218">
        <v>205</v>
      </c>
      <c r="B218" s="1">
        <v>98.218271980747275</v>
      </c>
      <c r="C218" s="1">
        <v>94.353173132071191</v>
      </c>
      <c r="D218" s="1">
        <v>99.900323214082661</v>
      </c>
      <c r="E218" s="1">
        <v>116.47661404435885</v>
      </c>
      <c r="F218" s="1">
        <v>100</v>
      </c>
      <c r="G218" s="1">
        <v>100</v>
      </c>
      <c r="H218" s="1">
        <v>100.79779325216231</v>
      </c>
      <c r="I218" s="1">
        <v>96.882907232496876</v>
      </c>
      <c r="J218" s="1">
        <v>99.873960030431505</v>
      </c>
      <c r="K218" s="1">
        <v>107.45826609977151</v>
      </c>
      <c r="L218" s="1">
        <v>95.53216320473669</v>
      </c>
      <c r="M218" s="1">
        <v>96.715943522481638</v>
      </c>
      <c r="N218" s="1">
        <v>100</v>
      </c>
      <c r="O218" s="1">
        <v>100</v>
      </c>
      <c r="P218" s="1">
        <v>90.169934884882707</v>
      </c>
      <c r="Q218" s="1">
        <v>100</v>
      </c>
      <c r="R218" s="1">
        <v>98.539127000430625</v>
      </c>
      <c r="S218" s="1">
        <v>100</v>
      </c>
      <c r="T218" s="1">
        <v>106.09502869705604</v>
      </c>
      <c r="U218" s="1">
        <v>98.778848255775031</v>
      </c>
      <c r="V218" s="1">
        <v>96.6833377131926</v>
      </c>
      <c r="W218" s="1">
        <v>100</v>
      </c>
      <c r="X218" s="1">
        <v>98.938308797866256</v>
      </c>
      <c r="Y218" s="1">
        <v>100</v>
      </c>
      <c r="Z218" s="1">
        <v>96.320382403943185</v>
      </c>
      <c r="AA218" s="1">
        <v>98.539127000430625</v>
      </c>
      <c r="AB218" s="1">
        <v>89.94613650113223</v>
      </c>
      <c r="AC218" s="1">
        <v>101.78077976073585</v>
      </c>
      <c r="AD218" s="1">
        <v>113.07002987575412</v>
      </c>
      <c r="AE218" s="1">
        <v>90.915295868048489</v>
      </c>
      <c r="AF218" s="1">
        <v>105.03810910821595</v>
      </c>
      <c r="AG218" s="1">
        <v>100</v>
      </c>
      <c r="AH218" s="1">
        <v>100</v>
      </c>
      <c r="AI218" s="1">
        <v>100</v>
      </c>
      <c r="AJ218" s="1">
        <v>100</v>
      </c>
      <c r="AK218" s="1">
        <v>97.979228323532269</v>
      </c>
      <c r="AL218" s="1">
        <v>100.15695163798615</v>
      </c>
      <c r="AM218" s="1">
        <v>108.06561148645895</v>
      </c>
      <c r="AN218" s="1">
        <v>105.46964960170939</v>
      </c>
      <c r="AO218" s="1">
        <v>95.660873065393389</v>
      </c>
      <c r="AP218" s="1">
        <v>101.33910874792383</v>
      </c>
      <c r="AQ218" s="1">
        <v>98.699881920209918</v>
      </c>
      <c r="AR218" s="1">
        <v>96.578945423208708</v>
      </c>
      <c r="AS218" s="1">
        <v>100</v>
      </c>
      <c r="AT218" s="1">
        <v>106.42568307848073</v>
      </c>
      <c r="AU218" s="1">
        <v>98.699881920209918</v>
      </c>
      <c r="AV218" s="1">
        <v>99.900323214082661</v>
      </c>
      <c r="AW218" s="1">
        <v>100</v>
      </c>
      <c r="AX218" s="1">
        <v>100</v>
      </c>
      <c r="AY218" s="1">
        <v>100</v>
      </c>
      <c r="AZ218" s="1">
        <v>100</v>
      </c>
      <c r="BA218" s="1">
        <v>100</v>
      </c>
      <c r="BB218" s="1">
        <v>100</v>
      </c>
      <c r="BC218" s="1">
        <v>100</v>
      </c>
      <c r="BD218" s="1">
        <v>100</v>
      </c>
      <c r="BE218" s="1">
        <v>100</v>
      </c>
      <c r="BF218" s="1">
        <v>100</v>
      </c>
      <c r="BG218" s="1">
        <v>100</v>
      </c>
      <c r="BH218" s="1">
        <v>100</v>
      </c>
    </row>
    <row r="219" spans="1:60" x14ac:dyDescent="0.25">
      <c r="A219">
        <v>206</v>
      </c>
      <c r="B219" s="1">
        <v>98.218271980747275</v>
      </c>
      <c r="C219" s="1">
        <v>94.353173132071191</v>
      </c>
      <c r="D219" s="1">
        <v>99.900323214082661</v>
      </c>
      <c r="E219" s="1">
        <v>116.47661404435885</v>
      </c>
      <c r="F219" s="1">
        <v>100</v>
      </c>
      <c r="G219" s="1">
        <v>100</v>
      </c>
      <c r="H219" s="1">
        <v>100.79779325216231</v>
      </c>
      <c r="I219" s="1">
        <v>96.882907232496876</v>
      </c>
      <c r="J219" s="1">
        <v>99.873960030431505</v>
      </c>
      <c r="K219" s="1">
        <v>107.45826609977151</v>
      </c>
      <c r="L219" s="1">
        <v>95.137243849780631</v>
      </c>
      <c r="M219" s="1">
        <v>96.715943522481638</v>
      </c>
      <c r="N219" s="1">
        <v>100</v>
      </c>
      <c r="O219" s="1">
        <v>100</v>
      </c>
      <c r="P219" s="1">
        <v>90.169934884882707</v>
      </c>
      <c r="Q219" s="1">
        <v>100</v>
      </c>
      <c r="R219" s="1">
        <v>98.539127000430625</v>
      </c>
      <c r="S219" s="1">
        <v>100</v>
      </c>
      <c r="T219" s="1">
        <v>106.09502869705604</v>
      </c>
      <c r="U219" s="1">
        <v>98.778848255775031</v>
      </c>
      <c r="V219" s="1">
        <v>96.6833377131926</v>
      </c>
      <c r="W219" s="1">
        <v>100</v>
      </c>
      <c r="X219" s="1">
        <v>98.938308797866256</v>
      </c>
      <c r="Y219" s="1">
        <v>100</v>
      </c>
      <c r="Z219" s="1">
        <v>96.320382403943185</v>
      </c>
      <c r="AA219" s="1">
        <v>98.539127000430625</v>
      </c>
      <c r="AB219" s="1">
        <v>89.94613650113223</v>
      </c>
      <c r="AC219" s="1">
        <v>101.78077976073585</v>
      </c>
      <c r="AD219" s="1">
        <v>113.07002987575412</v>
      </c>
      <c r="AE219" s="1">
        <v>91.310215223004548</v>
      </c>
      <c r="AF219" s="1">
        <v>105.03810910821595</v>
      </c>
      <c r="AG219" s="1">
        <v>100</v>
      </c>
      <c r="AH219" s="1">
        <v>100</v>
      </c>
      <c r="AI219" s="1">
        <v>100</v>
      </c>
      <c r="AJ219" s="1">
        <v>100</v>
      </c>
      <c r="AK219" s="1">
        <v>97.979228323532269</v>
      </c>
      <c r="AL219" s="1">
        <v>100.15695163798615</v>
      </c>
      <c r="AM219" s="1">
        <v>108.06561148645895</v>
      </c>
      <c r="AN219" s="1">
        <v>105.46964960170939</v>
      </c>
      <c r="AO219" s="1">
        <v>95.660873065393389</v>
      </c>
      <c r="AP219" s="1">
        <v>101.33910874792383</v>
      </c>
      <c r="AQ219" s="1">
        <v>98.699881920209918</v>
      </c>
      <c r="AR219" s="1">
        <v>96.578945423208708</v>
      </c>
      <c r="AS219" s="1">
        <v>100</v>
      </c>
      <c r="AT219" s="1">
        <v>106.42568307848073</v>
      </c>
      <c r="AU219" s="1">
        <v>98.699881920209918</v>
      </c>
      <c r="AV219" s="1">
        <v>99.900323214082661</v>
      </c>
      <c r="AW219" s="1">
        <v>100</v>
      </c>
      <c r="AX219" s="1">
        <v>100</v>
      </c>
      <c r="AY219" s="1">
        <v>100</v>
      </c>
      <c r="AZ219" s="1">
        <v>100</v>
      </c>
      <c r="BA219" s="1">
        <v>100</v>
      </c>
      <c r="BB219" s="1">
        <v>100</v>
      </c>
      <c r="BC219" s="1">
        <v>100</v>
      </c>
      <c r="BD219" s="1">
        <v>100</v>
      </c>
      <c r="BE219" s="1">
        <v>100</v>
      </c>
      <c r="BF219" s="1">
        <v>100</v>
      </c>
      <c r="BG219" s="1">
        <v>100</v>
      </c>
      <c r="BH219" s="1">
        <v>100</v>
      </c>
    </row>
    <row r="220" spans="1:60" x14ac:dyDescent="0.25">
      <c r="A220">
        <v>207</v>
      </c>
      <c r="B220" s="1">
        <v>98.218271980747275</v>
      </c>
      <c r="C220" s="1">
        <v>94.353173132071191</v>
      </c>
      <c r="D220" s="1">
        <v>99.900323214082661</v>
      </c>
      <c r="E220" s="1">
        <v>116.47661404435885</v>
      </c>
      <c r="F220" s="1">
        <v>100</v>
      </c>
      <c r="G220" s="1">
        <v>100</v>
      </c>
      <c r="H220" s="1">
        <v>100.79779325216231</v>
      </c>
      <c r="I220" s="1">
        <v>96.580412901782537</v>
      </c>
      <c r="J220" s="1">
        <v>99.873960030431505</v>
      </c>
      <c r="K220" s="1">
        <v>107.73419333842328</v>
      </c>
      <c r="L220" s="1">
        <v>95.448905838665183</v>
      </c>
      <c r="M220" s="1">
        <v>96.715943522481638</v>
      </c>
      <c r="N220" s="1">
        <v>100</v>
      </c>
      <c r="O220" s="1">
        <v>100</v>
      </c>
      <c r="P220" s="1">
        <v>90.169934884882707</v>
      </c>
      <c r="Q220" s="1">
        <v>100</v>
      </c>
      <c r="R220" s="1">
        <v>98.539127000430625</v>
      </c>
      <c r="S220" s="1">
        <v>100</v>
      </c>
      <c r="T220" s="1">
        <v>106.09502869705604</v>
      </c>
      <c r="U220" s="1">
        <v>98.778848255775031</v>
      </c>
      <c r="V220" s="1">
        <v>96.6833377131926</v>
      </c>
      <c r="W220" s="1">
        <v>100</v>
      </c>
      <c r="X220" s="1">
        <v>98.938308797866256</v>
      </c>
      <c r="Y220" s="1">
        <v>100</v>
      </c>
      <c r="Z220" s="1">
        <v>96.320382403943185</v>
      </c>
      <c r="AA220" s="1">
        <v>98.539127000430625</v>
      </c>
      <c r="AB220" s="1">
        <v>89.94613650113223</v>
      </c>
      <c r="AC220" s="1">
        <v>101.78077976073585</v>
      </c>
      <c r="AD220" s="1">
        <v>113.07002987575412</v>
      </c>
      <c r="AE220" s="1">
        <v>91.025120326182545</v>
      </c>
      <c r="AF220" s="1">
        <v>105.03810910821595</v>
      </c>
      <c r="AG220" s="1">
        <v>100</v>
      </c>
      <c r="AH220" s="1">
        <v>100</v>
      </c>
      <c r="AI220" s="1">
        <v>100</v>
      </c>
      <c r="AJ220" s="1">
        <v>100</v>
      </c>
      <c r="AK220" s="1">
        <v>97.979228323532269</v>
      </c>
      <c r="AL220" s="1">
        <v>100.15695163798615</v>
      </c>
      <c r="AM220" s="1">
        <v>108.06561148645895</v>
      </c>
      <c r="AN220" s="1">
        <v>105.46964960170939</v>
      </c>
      <c r="AO220" s="1">
        <v>95.660873065393389</v>
      </c>
      <c r="AP220" s="1">
        <v>101.33910874792383</v>
      </c>
      <c r="AQ220" s="1">
        <v>98.699881920209918</v>
      </c>
      <c r="AR220" s="1">
        <v>96.578945423208708</v>
      </c>
      <c r="AS220" s="1">
        <v>100</v>
      </c>
      <c r="AT220" s="1">
        <v>106.42568307848073</v>
      </c>
      <c r="AU220" s="1">
        <v>98.699881920209918</v>
      </c>
      <c r="AV220" s="1">
        <v>99.900323214082661</v>
      </c>
      <c r="AW220" s="1">
        <v>100</v>
      </c>
      <c r="AX220" s="1">
        <v>100</v>
      </c>
      <c r="AY220" s="1">
        <v>100</v>
      </c>
      <c r="AZ220" s="1">
        <v>100</v>
      </c>
      <c r="BA220" s="1">
        <v>100</v>
      </c>
      <c r="BB220" s="1">
        <v>100</v>
      </c>
      <c r="BC220" s="1">
        <v>100</v>
      </c>
      <c r="BD220" s="1">
        <v>100</v>
      </c>
      <c r="BE220" s="1">
        <v>100</v>
      </c>
      <c r="BF220" s="1">
        <v>100</v>
      </c>
      <c r="BG220" s="1">
        <v>100</v>
      </c>
      <c r="BH220" s="1">
        <v>100</v>
      </c>
    </row>
    <row r="221" spans="1:60" x14ac:dyDescent="0.25">
      <c r="A221">
        <v>208</v>
      </c>
      <c r="B221" s="1">
        <v>98.218271980747275</v>
      </c>
      <c r="C221" s="1">
        <v>94.353173132071191</v>
      </c>
      <c r="D221" s="1">
        <v>99.900323214082661</v>
      </c>
      <c r="E221" s="1">
        <v>116.47661404435885</v>
      </c>
      <c r="F221" s="1">
        <v>100</v>
      </c>
      <c r="G221" s="1">
        <v>100</v>
      </c>
      <c r="H221" s="1">
        <v>100.79779325216231</v>
      </c>
      <c r="I221" s="1">
        <v>96.339887223435241</v>
      </c>
      <c r="J221" s="1">
        <v>99.873960030431505</v>
      </c>
      <c r="K221" s="1">
        <v>107.95367660115656</v>
      </c>
      <c r="L221" s="1">
        <v>95.69663892742183</v>
      </c>
      <c r="M221" s="1">
        <v>96.715943522481638</v>
      </c>
      <c r="N221" s="1">
        <v>100</v>
      </c>
      <c r="O221" s="1">
        <v>100</v>
      </c>
      <c r="P221" s="1">
        <v>90.169934884882707</v>
      </c>
      <c r="Q221" s="1">
        <v>100</v>
      </c>
      <c r="R221" s="1">
        <v>98.539127000430625</v>
      </c>
      <c r="S221" s="1">
        <v>100</v>
      </c>
      <c r="T221" s="1">
        <v>106.09502869705604</v>
      </c>
      <c r="U221" s="1">
        <v>98.778848255775031</v>
      </c>
      <c r="V221" s="1">
        <v>96.6833377131926</v>
      </c>
      <c r="W221" s="1">
        <v>100</v>
      </c>
      <c r="X221" s="1">
        <v>98.938308797866256</v>
      </c>
      <c r="Y221" s="1">
        <v>100</v>
      </c>
      <c r="Z221" s="1">
        <v>96.320382403943185</v>
      </c>
      <c r="AA221" s="1">
        <v>98.539127000430625</v>
      </c>
      <c r="AB221" s="1">
        <v>89.94613650113223</v>
      </c>
      <c r="AC221" s="1">
        <v>101.78077976073585</v>
      </c>
      <c r="AD221" s="1">
        <v>113.07002987575412</v>
      </c>
      <c r="AE221" s="1">
        <v>90.798429653039904</v>
      </c>
      <c r="AF221" s="1">
        <v>105.03810910821595</v>
      </c>
      <c r="AG221" s="1">
        <v>100</v>
      </c>
      <c r="AH221" s="1">
        <v>100</v>
      </c>
      <c r="AI221" s="1">
        <v>100</v>
      </c>
      <c r="AJ221" s="1">
        <v>100</v>
      </c>
      <c r="AK221" s="1">
        <v>97.979228323532269</v>
      </c>
      <c r="AL221" s="1">
        <v>100.15695163798615</v>
      </c>
      <c r="AM221" s="1">
        <v>108.06561148645895</v>
      </c>
      <c r="AN221" s="1">
        <v>105.46964960170939</v>
      </c>
      <c r="AO221" s="1">
        <v>95.660873065393389</v>
      </c>
      <c r="AP221" s="1">
        <v>101.33910874792383</v>
      </c>
      <c r="AQ221" s="1">
        <v>98.699881920209918</v>
      </c>
      <c r="AR221" s="1">
        <v>96.578945423208708</v>
      </c>
      <c r="AS221" s="1">
        <v>100</v>
      </c>
      <c r="AT221" s="1">
        <v>106.42568307848073</v>
      </c>
      <c r="AU221" s="1">
        <v>98.699881920209918</v>
      </c>
      <c r="AV221" s="1">
        <v>99.900323214082661</v>
      </c>
      <c r="AW221" s="1">
        <v>100</v>
      </c>
      <c r="AX221" s="1">
        <v>100</v>
      </c>
      <c r="AY221" s="1">
        <v>100</v>
      </c>
      <c r="AZ221" s="1">
        <v>100</v>
      </c>
      <c r="BA221" s="1">
        <v>100</v>
      </c>
      <c r="BB221" s="1">
        <v>100</v>
      </c>
      <c r="BC221" s="1">
        <v>100</v>
      </c>
      <c r="BD221" s="1">
        <v>100</v>
      </c>
      <c r="BE221" s="1">
        <v>100</v>
      </c>
      <c r="BF221" s="1">
        <v>100</v>
      </c>
      <c r="BG221" s="1">
        <v>100</v>
      </c>
      <c r="BH221" s="1">
        <v>100</v>
      </c>
    </row>
    <row r="222" spans="1:60" x14ac:dyDescent="0.25">
      <c r="A222">
        <v>209</v>
      </c>
      <c r="B222" s="1">
        <v>98.218271980747275</v>
      </c>
      <c r="C222" s="1">
        <v>94.353173132071191</v>
      </c>
      <c r="D222" s="1">
        <v>99.900323214082661</v>
      </c>
      <c r="E222" s="1">
        <v>114.77748784532551</v>
      </c>
      <c r="F222" s="1">
        <v>100</v>
      </c>
      <c r="G222" s="1">
        <v>100</v>
      </c>
      <c r="H222" s="1">
        <v>100.79779325216231</v>
      </c>
      <c r="I222" s="1">
        <v>96.339887223435241</v>
      </c>
      <c r="J222" s="1">
        <v>101.51510995088091</v>
      </c>
      <c r="K222" s="1">
        <v>107.95367660115656</v>
      </c>
      <c r="L222" s="1">
        <v>95.69663892742183</v>
      </c>
      <c r="M222" s="1">
        <v>96.715943522481638</v>
      </c>
      <c r="N222" s="1">
        <v>100</v>
      </c>
      <c r="O222" s="1">
        <v>100</v>
      </c>
      <c r="P222" s="1">
        <v>90.169934884882707</v>
      </c>
      <c r="Q222" s="1">
        <v>100</v>
      </c>
      <c r="R222" s="1">
        <v>98.539127000430625</v>
      </c>
      <c r="S222" s="1">
        <v>98.541229745581163</v>
      </c>
      <c r="T222" s="1">
        <v>106.09502869705604</v>
      </c>
      <c r="U222" s="1">
        <v>98.778848255775031</v>
      </c>
      <c r="V222" s="1">
        <v>96.6833377131926</v>
      </c>
      <c r="W222" s="1">
        <v>100</v>
      </c>
      <c r="X222" s="1">
        <v>98.938308797866256</v>
      </c>
      <c r="Y222" s="1">
        <v>100</v>
      </c>
      <c r="Z222" s="1">
        <v>96.320382403943185</v>
      </c>
      <c r="AA222" s="1">
        <v>98.539127000430625</v>
      </c>
      <c r="AB222" s="1">
        <v>89.94613650113223</v>
      </c>
      <c r="AC222" s="1">
        <v>101.78077976073585</v>
      </c>
      <c r="AD222" s="1">
        <v>113.07002987575412</v>
      </c>
      <c r="AE222" s="1">
        <v>90.798429653039904</v>
      </c>
      <c r="AF222" s="1">
        <v>105.03810910821595</v>
      </c>
      <c r="AG222" s="1">
        <v>100</v>
      </c>
      <c r="AH222" s="1">
        <v>100</v>
      </c>
      <c r="AI222" s="1">
        <v>100</v>
      </c>
      <c r="AJ222" s="1">
        <v>100</v>
      </c>
      <c r="AK222" s="1">
        <v>97.979228323532269</v>
      </c>
      <c r="AL222" s="1">
        <v>100.15695163798615</v>
      </c>
      <c r="AM222" s="1">
        <v>109.58235801946171</v>
      </c>
      <c r="AN222" s="1">
        <v>105.46964960170939</v>
      </c>
      <c r="AO222" s="1">
        <v>95.660873065393389</v>
      </c>
      <c r="AP222" s="1">
        <v>101.33910874792383</v>
      </c>
      <c r="AQ222" s="1">
        <v>98.699881920209918</v>
      </c>
      <c r="AR222" s="1">
        <v>96.578945423208708</v>
      </c>
      <c r="AS222" s="1">
        <v>100</v>
      </c>
      <c r="AT222" s="1">
        <v>106.42568307848073</v>
      </c>
      <c r="AU222" s="1">
        <v>98.699881920209918</v>
      </c>
      <c r="AV222" s="1">
        <v>99.900323214082661</v>
      </c>
      <c r="AW222" s="1">
        <v>100</v>
      </c>
      <c r="AX222" s="1">
        <v>100</v>
      </c>
      <c r="AY222" s="1">
        <v>100</v>
      </c>
      <c r="AZ222" s="1">
        <v>100</v>
      </c>
      <c r="BA222" s="1">
        <v>100</v>
      </c>
      <c r="BB222" s="1">
        <v>100</v>
      </c>
      <c r="BC222" s="1">
        <v>100</v>
      </c>
      <c r="BD222" s="1">
        <v>100</v>
      </c>
      <c r="BE222" s="1">
        <v>100</v>
      </c>
      <c r="BF222" s="1">
        <v>100</v>
      </c>
      <c r="BG222" s="1">
        <v>100</v>
      </c>
      <c r="BH222" s="1">
        <v>100</v>
      </c>
    </row>
    <row r="223" spans="1:60" x14ac:dyDescent="0.25">
      <c r="A223">
        <v>210</v>
      </c>
      <c r="B223" s="1">
        <v>98.218271980747275</v>
      </c>
      <c r="C223" s="1">
        <v>94.353173132071191</v>
      </c>
      <c r="D223" s="1">
        <v>99.900323214082661</v>
      </c>
      <c r="E223" s="1">
        <v>114.91814596969184</v>
      </c>
      <c r="F223" s="1">
        <v>100</v>
      </c>
      <c r="G223" s="1">
        <v>100</v>
      </c>
      <c r="H223" s="1">
        <v>100.79779325216231</v>
      </c>
      <c r="I223" s="1">
        <v>96.339887223435241</v>
      </c>
      <c r="J223" s="1">
        <v>101.36868217240638</v>
      </c>
      <c r="K223" s="1">
        <v>107.95367660115656</v>
      </c>
      <c r="L223" s="1">
        <v>95.69663892742183</v>
      </c>
      <c r="M223" s="1">
        <v>96.715943522481638</v>
      </c>
      <c r="N223" s="1">
        <v>100</v>
      </c>
      <c r="O223" s="1">
        <v>100</v>
      </c>
      <c r="P223" s="1">
        <v>90.169934884882707</v>
      </c>
      <c r="Q223" s="1">
        <v>100</v>
      </c>
      <c r="R223" s="1">
        <v>98.539127000430625</v>
      </c>
      <c r="S223" s="1">
        <v>98.705063566221369</v>
      </c>
      <c r="T223" s="1">
        <v>106.09502869705604</v>
      </c>
      <c r="U223" s="1">
        <v>98.778848255775031</v>
      </c>
      <c r="V223" s="1">
        <v>96.6833377131926</v>
      </c>
      <c r="W223" s="1">
        <v>100</v>
      </c>
      <c r="X223" s="1">
        <v>98.938308797866256</v>
      </c>
      <c r="Y223" s="1">
        <v>100</v>
      </c>
      <c r="Z223" s="1">
        <v>96.320382403943185</v>
      </c>
      <c r="AA223" s="1">
        <v>98.539127000430625</v>
      </c>
      <c r="AB223" s="1">
        <v>89.94613650113223</v>
      </c>
      <c r="AC223" s="1">
        <v>101.78077976073585</v>
      </c>
      <c r="AD223" s="1">
        <v>113.07002987575412</v>
      </c>
      <c r="AE223" s="1">
        <v>90.798429653039904</v>
      </c>
      <c r="AF223" s="1">
        <v>105.03810910821595</v>
      </c>
      <c r="AG223" s="1">
        <v>100</v>
      </c>
      <c r="AH223" s="1">
        <v>100</v>
      </c>
      <c r="AI223" s="1">
        <v>100</v>
      </c>
      <c r="AJ223" s="1">
        <v>100</v>
      </c>
      <c r="AK223" s="1">
        <v>97.979228323532269</v>
      </c>
      <c r="AL223" s="1">
        <v>100.15695163798615</v>
      </c>
      <c r="AM223" s="1">
        <v>109.42429385292971</v>
      </c>
      <c r="AN223" s="1">
        <v>105.46964960170939</v>
      </c>
      <c r="AO223" s="1">
        <v>95.660873065393389</v>
      </c>
      <c r="AP223" s="1">
        <v>101.33910874792383</v>
      </c>
      <c r="AQ223" s="1">
        <v>98.699881920209918</v>
      </c>
      <c r="AR223" s="1">
        <v>96.578945423208708</v>
      </c>
      <c r="AS223" s="1">
        <v>100</v>
      </c>
      <c r="AT223" s="1">
        <v>106.42568307848073</v>
      </c>
      <c r="AU223" s="1">
        <v>98.699881920209918</v>
      </c>
      <c r="AV223" s="1">
        <v>99.900323214082661</v>
      </c>
      <c r="AW223" s="1">
        <v>100</v>
      </c>
      <c r="AX223" s="1">
        <v>100</v>
      </c>
      <c r="AY223" s="1">
        <v>100</v>
      </c>
      <c r="AZ223" s="1">
        <v>100</v>
      </c>
      <c r="BA223" s="1">
        <v>100</v>
      </c>
      <c r="BB223" s="1">
        <v>100</v>
      </c>
      <c r="BC223" s="1">
        <v>100</v>
      </c>
      <c r="BD223" s="1">
        <v>100</v>
      </c>
      <c r="BE223" s="1">
        <v>100</v>
      </c>
      <c r="BF223" s="1">
        <v>100</v>
      </c>
      <c r="BG223" s="1">
        <v>100</v>
      </c>
      <c r="BH223" s="1">
        <v>100</v>
      </c>
    </row>
    <row r="224" spans="1:60" x14ac:dyDescent="0.25">
      <c r="A224">
        <v>211</v>
      </c>
      <c r="B224" s="1">
        <v>98.218271980747275</v>
      </c>
      <c r="C224" s="1">
        <v>94.353173132071191</v>
      </c>
      <c r="D224" s="1">
        <v>99.900323214082661</v>
      </c>
      <c r="E224" s="1">
        <v>114.91814596969184</v>
      </c>
      <c r="F224" s="1">
        <v>100</v>
      </c>
      <c r="G224" s="1">
        <v>100</v>
      </c>
      <c r="H224" s="1">
        <v>100.79779325216231</v>
      </c>
      <c r="I224" s="1">
        <v>96.339887223435241</v>
      </c>
      <c r="J224" s="1">
        <v>101.36868217240638</v>
      </c>
      <c r="K224" s="1">
        <v>107.40190849132541</v>
      </c>
      <c r="L224" s="1">
        <v>95.69663892742183</v>
      </c>
      <c r="M224" s="1">
        <v>96.715943522481638</v>
      </c>
      <c r="N224" s="1">
        <v>100</v>
      </c>
      <c r="O224" s="1">
        <v>100</v>
      </c>
      <c r="P224" s="1">
        <v>90.169934884882707</v>
      </c>
      <c r="Q224" s="1">
        <v>100</v>
      </c>
      <c r="R224" s="1">
        <v>98.539127000430625</v>
      </c>
      <c r="S224" s="1">
        <v>98.705063566221369</v>
      </c>
      <c r="T224" s="1">
        <v>106.09502869705604</v>
      </c>
      <c r="U224" s="1">
        <v>98.778848255775031</v>
      </c>
      <c r="V224" s="1">
        <v>97.193095892364298</v>
      </c>
      <c r="W224" s="1">
        <v>100</v>
      </c>
      <c r="X224" s="1">
        <v>98.938308797866256</v>
      </c>
      <c r="Y224" s="1">
        <v>100</v>
      </c>
      <c r="Z224" s="1">
        <v>96.320382403943185</v>
      </c>
      <c r="AA224" s="1">
        <v>98.539127000430625</v>
      </c>
      <c r="AB224" s="1">
        <v>89.94613650113223</v>
      </c>
      <c r="AC224" s="1">
        <v>101.78077976073585</v>
      </c>
      <c r="AD224" s="1">
        <v>113.07002987575412</v>
      </c>
      <c r="AE224" s="1">
        <v>91.341226729787238</v>
      </c>
      <c r="AF224" s="1">
        <v>105.03810910821595</v>
      </c>
      <c r="AG224" s="1">
        <v>100</v>
      </c>
      <c r="AH224" s="1">
        <v>100</v>
      </c>
      <c r="AI224" s="1">
        <v>100</v>
      </c>
      <c r="AJ224" s="1">
        <v>100</v>
      </c>
      <c r="AK224" s="1">
        <v>97.478441177444367</v>
      </c>
      <c r="AL224" s="1">
        <v>100.15695163798615</v>
      </c>
      <c r="AM224" s="1">
        <v>109.42429385292971</v>
      </c>
      <c r="AN224" s="1">
        <v>105.46964960170939</v>
      </c>
      <c r="AO224" s="1">
        <v>95.660873065393389</v>
      </c>
      <c r="AP224" s="1">
        <v>101.33910874792383</v>
      </c>
      <c r="AQ224" s="1">
        <v>98.699881920209918</v>
      </c>
      <c r="AR224" s="1">
        <v>96.578945423208708</v>
      </c>
      <c r="AS224" s="1">
        <v>100</v>
      </c>
      <c r="AT224" s="1">
        <v>106.42568307848073</v>
      </c>
      <c r="AU224" s="1">
        <v>98.699881920209918</v>
      </c>
      <c r="AV224" s="1">
        <v>99.900323214082661</v>
      </c>
      <c r="AW224" s="1">
        <v>100</v>
      </c>
      <c r="AX224" s="1">
        <v>100</v>
      </c>
      <c r="AY224" s="1">
        <v>100</v>
      </c>
      <c r="AZ224" s="1">
        <v>100</v>
      </c>
      <c r="BA224" s="1">
        <v>100</v>
      </c>
      <c r="BB224" s="1">
        <v>100</v>
      </c>
      <c r="BC224" s="1">
        <v>100</v>
      </c>
      <c r="BD224" s="1">
        <v>100</v>
      </c>
      <c r="BE224" s="1">
        <v>100</v>
      </c>
      <c r="BF224" s="1">
        <v>100</v>
      </c>
      <c r="BG224" s="1">
        <v>100</v>
      </c>
      <c r="BH224" s="1">
        <v>100</v>
      </c>
    </row>
    <row r="225" spans="1:60" x14ac:dyDescent="0.25">
      <c r="A225">
        <v>212</v>
      </c>
      <c r="B225" s="1">
        <v>98.218271980747275</v>
      </c>
      <c r="C225" s="1">
        <v>94.353173132071191</v>
      </c>
      <c r="D225" s="1">
        <v>99.900323214082661</v>
      </c>
      <c r="E225" s="1">
        <v>114.91814596969184</v>
      </c>
      <c r="F225" s="1">
        <v>100</v>
      </c>
      <c r="G225" s="1">
        <v>100</v>
      </c>
      <c r="H225" s="1">
        <v>100.79779325216231</v>
      </c>
      <c r="I225" s="1">
        <v>96.339887223435241</v>
      </c>
      <c r="J225" s="1">
        <v>101.36868217240638</v>
      </c>
      <c r="K225" s="1">
        <v>106.16590636000029</v>
      </c>
      <c r="L225" s="1">
        <v>95.69663892742183</v>
      </c>
      <c r="M225" s="1">
        <v>96.715943522481638</v>
      </c>
      <c r="N225" s="1">
        <v>100</v>
      </c>
      <c r="O225" s="1">
        <v>100</v>
      </c>
      <c r="P225" s="1">
        <v>90.169934884882707</v>
      </c>
      <c r="Q225" s="1">
        <v>100</v>
      </c>
      <c r="R225" s="1">
        <v>98.539127000430625</v>
      </c>
      <c r="S225" s="1">
        <v>98.705063566221369</v>
      </c>
      <c r="T225" s="1">
        <v>106.09502869705604</v>
      </c>
      <c r="U225" s="1">
        <v>98.778848255775031</v>
      </c>
      <c r="V225" s="1">
        <v>98.335405797553292</v>
      </c>
      <c r="W225" s="1">
        <v>100</v>
      </c>
      <c r="X225" s="1">
        <v>98.938308797866256</v>
      </c>
      <c r="Y225" s="1">
        <v>100</v>
      </c>
      <c r="Z225" s="1">
        <v>96.320382403943185</v>
      </c>
      <c r="AA225" s="1">
        <v>98.539127000430625</v>
      </c>
      <c r="AB225" s="1">
        <v>89.94613650113223</v>
      </c>
      <c r="AC225" s="1">
        <v>101.78077976073585</v>
      </c>
      <c r="AD225" s="1">
        <v>113.07002987575412</v>
      </c>
      <c r="AE225" s="1">
        <v>92.556719888011116</v>
      </c>
      <c r="AF225" s="1">
        <v>105.03810910821595</v>
      </c>
      <c r="AG225" s="1">
        <v>100</v>
      </c>
      <c r="AH225" s="1">
        <v>100</v>
      </c>
      <c r="AI225" s="1">
        <v>100</v>
      </c>
      <c r="AJ225" s="1">
        <v>100</v>
      </c>
      <c r="AK225" s="1">
        <v>96.356640245356616</v>
      </c>
      <c r="AL225" s="1">
        <v>100.15695163798615</v>
      </c>
      <c r="AM225" s="1">
        <v>109.42429385292971</v>
      </c>
      <c r="AN225" s="1">
        <v>105.46964960170939</v>
      </c>
      <c r="AO225" s="1">
        <v>95.660873065393389</v>
      </c>
      <c r="AP225" s="1">
        <v>101.33910874792383</v>
      </c>
      <c r="AQ225" s="1">
        <v>98.699881920209918</v>
      </c>
      <c r="AR225" s="1">
        <v>96.578945423208708</v>
      </c>
      <c r="AS225" s="1">
        <v>100</v>
      </c>
      <c r="AT225" s="1">
        <v>106.42568307848073</v>
      </c>
      <c r="AU225" s="1">
        <v>98.699881920209918</v>
      </c>
      <c r="AV225" s="1">
        <v>99.900323214082661</v>
      </c>
      <c r="AW225" s="1">
        <v>100</v>
      </c>
      <c r="AX225" s="1">
        <v>100</v>
      </c>
      <c r="AY225" s="1">
        <v>100</v>
      </c>
      <c r="AZ225" s="1">
        <v>100</v>
      </c>
      <c r="BA225" s="1">
        <v>100</v>
      </c>
      <c r="BB225" s="1">
        <v>100</v>
      </c>
      <c r="BC225" s="1">
        <v>100</v>
      </c>
      <c r="BD225" s="1">
        <v>100</v>
      </c>
      <c r="BE225" s="1">
        <v>100</v>
      </c>
      <c r="BF225" s="1">
        <v>100</v>
      </c>
      <c r="BG225" s="1">
        <v>100</v>
      </c>
      <c r="BH225" s="1">
        <v>100</v>
      </c>
    </row>
    <row r="226" spans="1:60" x14ac:dyDescent="0.25">
      <c r="A226">
        <v>213</v>
      </c>
      <c r="B226" s="1">
        <v>98.218271980747275</v>
      </c>
      <c r="C226" s="1">
        <v>94.353173132071191</v>
      </c>
      <c r="D226" s="1">
        <v>99.900323214082661</v>
      </c>
      <c r="E226" s="1">
        <v>114.91814596969184</v>
      </c>
      <c r="F226" s="1">
        <v>100</v>
      </c>
      <c r="G226" s="1">
        <v>100</v>
      </c>
      <c r="H226" s="1">
        <v>100.79779325216231</v>
      </c>
      <c r="I226" s="1">
        <v>96.339887223435241</v>
      </c>
      <c r="J226" s="1">
        <v>101.36868217240638</v>
      </c>
      <c r="K226" s="1">
        <v>106.16590636000029</v>
      </c>
      <c r="L226" s="1">
        <v>95.69663892742183</v>
      </c>
      <c r="M226" s="1">
        <v>96.715943522481638</v>
      </c>
      <c r="N226" s="1">
        <v>100</v>
      </c>
      <c r="O226" s="1">
        <v>100</v>
      </c>
      <c r="P226" s="1">
        <v>90.169934884882707</v>
      </c>
      <c r="Q226" s="1">
        <v>100</v>
      </c>
      <c r="R226" s="1">
        <v>98.539127000430625</v>
      </c>
      <c r="S226" s="1">
        <v>98.705063566221369</v>
      </c>
      <c r="T226" s="1">
        <v>106.09502869705604</v>
      </c>
      <c r="U226" s="1">
        <v>98.778848255775031</v>
      </c>
      <c r="V226" s="1">
        <v>100.73257565141</v>
      </c>
      <c r="W226" s="1">
        <v>100</v>
      </c>
      <c r="X226" s="1">
        <v>98.938308797866256</v>
      </c>
      <c r="Y226" s="1">
        <v>100</v>
      </c>
      <c r="Z226" s="1">
        <v>93.897678237757574</v>
      </c>
      <c r="AA226" s="1">
        <v>98.539127000430625</v>
      </c>
      <c r="AB226" s="1">
        <v>89.94613650113223</v>
      </c>
      <c r="AC226" s="1">
        <v>101.78077976073585</v>
      </c>
      <c r="AD226" s="1">
        <v>113.07002987575412</v>
      </c>
      <c r="AE226" s="1">
        <v>90.228681467848247</v>
      </c>
      <c r="AF226" s="1">
        <v>105.03810910821595</v>
      </c>
      <c r="AG226" s="1">
        <v>100</v>
      </c>
      <c r="AH226" s="1">
        <v>100</v>
      </c>
      <c r="AI226" s="1">
        <v>100</v>
      </c>
      <c r="AJ226" s="1">
        <v>100</v>
      </c>
      <c r="AK226" s="1">
        <v>96.356640245356616</v>
      </c>
      <c r="AL226" s="1">
        <v>102.51052437047792</v>
      </c>
      <c r="AM226" s="1">
        <v>109.42429385292971</v>
      </c>
      <c r="AN226" s="1">
        <v>105.46964960170939</v>
      </c>
      <c r="AO226" s="1">
        <v>95.660873065393389</v>
      </c>
      <c r="AP226" s="1">
        <v>101.33910874792383</v>
      </c>
      <c r="AQ226" s="1">
        <v>98.699881920209918</v>
      </c>
      <c r="AR226" s="1">
        <v>96.578945423208708</v>
      </c>
      <c r="AS226" s="1">
        <v>100</v>
      </c>
      <c r="AT226" s="1">
        <v>106.42568307848073</v>
      </c>
      <c r="AU226" s="1">
        <v>98.699881920209918</v>
      </c>
      <c r="AV226" s="1">
        <v>99.900323214082661</v>
      </c>
      <c r="AW226" s="1">
        <v>100</v>
      </c>
      <c r="AX226" s="1">
        <v>100</v>
      </c>
      <c r="AY226" s="1">
        <v>100</v>
      </c>
      <c r="AZ226" s="1">
        <v>100</v>
      </c>
      <c r="BA226" s="1">
        <v>100</v>
      </c>
      <c r="BB226" s="1">
        <v>100</v>
      </c>
      <c r="BC226" s="1">
        <v>100</v>
      </c>
      <c r="BD226" s="1">
        <v>100</v>
      </c>
      <c r="BE226" s="1">
        <v>100</v>
      </c>
      <c r="BF226" s="1">
        <v>100</v>
      </c>
      <c r="BG226" s="1">
        <v>100</v>
      </c>
      <c r="BH226" s="1">
        <v>100</v>
      </c>
    </row>
    <row r="227" spans="1:60" x14ac:dyDescent="0.25">
      <c r="A227">
        <v>214</v>
      </c>
      <c r="B227" s="1">
        <v>98.218271980747275</v>
      </c>
      <c r="C227" s="1">
        <v>94.353173132071191</v>
      </c>
      <c r="D227" s="1">
        <v>99.900323214082661</v>
      </c>
      <c r="E227" s="1">
        <v>114.91814596969184</v>
      </c>
      <c r="F227" s="1">
        <v>100</v>
      </c>
      <c r="G227" s="1">
        <v>100</v>
      </c>
      <c r="H227" s="1">
        <v>100.79779325216231</v>
      </c>
      <c r="I227" s="1">
        <v>96.339887223435241</v>
      </c>
      <c r="J227" s="1">
        <v>101.36868217240638</v>
      </c>
      <c r="K227" s="1">
        <v>106.16590636000029</v>
      </c>
      <c r="L227" s="1">
        <v>95.69663892742183</v>
      </c>
      <c r="M227" s="1">
        <v>96.715943522481638</v>
      </c>
      <c r="N227" s="1">
        <v>100</v>
      </c>
      <c r="O227" s="1">
        <v>100</v>
      </c>
      <c r="P227" s="1">
        <v>90.169934884882707</v>
      </c>
      <c r="Q227" s="1">
        <v>100</v>
      </c>
      <c r="R227" s="1">
        <v>98.539127000430625</v>
      </c>
      <c r="S227" s="1">
        <v>98.705063566221369</v>
      </c>
      <c r="T227" s="1">
        <v>106.09502869705604</v>
      </c>
      <c r="U227" s="1">
        <v>98.778848255775031</v>
      </c>
      <c r="V227" s="1">
        <v>101.86920004154166</v>
      </c>
      <c r="W227" s="1">
        <v>100</v>
      </c>
      <c r="X227" s="1">
        <v>98.938308797866256</v>
      </c>
      <c r="Y227" s="1">
        <v>100</v>
      </c>
      <c r="Z227" s="1">
        <v>92.748458137533518</v>
      </c>
      <c r="AA227" s="1">
        <v>98.539127000430625</v>
      </c>
      <c r="AB227" s="1">
        <v>89.94613650113223</v>
      </c>
      <c r="AC227" s="1">
        <v>101.78077976073585</v>
      </c>
      <c r="AD227" s="1">
        <v>113.07002987575412</v>
      </c>
      <c r="AE227" s="1">
        <v>89.124366469803178</v>
      </c>
      <c r="AF227" s="1">
        <v>105.03810910821595</v>
      </c>
      <c r="AG227" s="1">
        <v>100</v>
      </c>
      <c r="AH227" s="1">
        <v>100</v>
      </c>
      <c r="AI227" s="1">
        <v>100</v>
      </c>
      <c r="AJ227" s="1">
        <v>100</v>
      </c>
      <c r="AK227" s="1">
        <v>96.356640245356616</v>
      </c>
      <c r="AL227" s="1">
        <v>103.62743507861541</v>
      </c>
      <c r="AM227" s="1">
        <v>109.42429385292971</v>
      </c>
      <c r="AN227" s="1">
        <v>105.46964960170939</v>
      </c>
      <c r="AO227" s="1">
        <v>95.660873065393389</v>
      </c>
      <c r="AP227" s="1">
        <v>101.33910874792383</v>
      </c>
      <c r="AQ227" s="1">
        <v>98.699881920209918</v>
      </c>
      <c r="AR227" s="1">
        <v>96.578945423208708</v>
      </c>
      <c r="AS227" s="1">
        <v>100</v>
      </c>
      <c r="AT227" s="1">
        <v>106.42568307848073</v>
      </c>
      <c r="AU227" s="1">
        <v>98.699881920209918</v>
      </c>
      <c r="AV227" s="1">
        <v>99.900323214082661</v>
      </c>
      <c r="AW227" s="1">
        <v>100</v>
      </c>
      <c r="AX227" s="1">
        <v>100</v>
      </c>
      <c r="AY227" s="1">
        <v>100</v>
      </c>
      <c r="AZ227" s="1">
        <v>100</v>
      </c>
      <c r="BA227" s="1">
        <v>100</v>
      </c>
      <c r="BB227" s="1">
        <v>100</v>
      </c>
      <c r="BC227" s="1">
        <v>100</v>
      </c>
      <c r="BD227" s="1">
        <v>100</v>
      </c>
      <c r="BE227" s="1">
        <v>100</v>
      </c>
      <c r="BF227" s="1">
        <v>100</v>
      </c>
      <c r="BG227" s="1">
        <v>100</v>
      </c>
      <c r="BH227" s="1">
        <v>100</v>
      </c>
    </row>
    <row r="228" spans="1:60" x14ac:dyDescent="0.25">
      <c r="A228">
        <v>215</v>
      </c>
      <c r="B228" s="1">
        <v>98.218271980747275</v>
      </c>
      <c r="C228" s="1">
        <v>94.353173132071191</v>
      </c>
      <c r="D228" s="1">
        <v>99.900323214082661</v>
      </c>
      <c r="E228" s="1">
        <v>114.44185653138463</v>
      </c>
      <c r="F228" s="1">
        <v>100</v>
      </c>
      <c r="G228" s="1">
        <v>100</v>
      </c>
      <c r="H228" s="1">
        <v>100.79779325216231</v>
      </c>
      <c r="I228" s="1">
        <v>96.339887223435241</v>
      </c>
      <c r="J228" s="1">
        <v>101.82829103389732</v>
      </c>
      <c r="K228" s="1">
        <v>106.16590636000029</v>
      </c>
      <c r="L228" s="1">
        <v>95.69663892742183</v>
      </c>
      <c r="M228" s="1">
        <v>96.715943522481638</v>
      </c>
      <c r="N228" s="1">
        <v>100</v>
      </c>
      <c r="O228" s="1">
        <v>100</v>
      </c>
      <c r="P228" s="1">
        <v>90.169934884882707</v>
      </c>
      <c r="Q228" s="1">
        <v>100</v>
      </c>
      <c r="R228" s="1">
        <v>98.539127000430625</v>
      </c>
      <c r="S228" s="1">
        <v>98.295970825581151</v>
      </c>
      <c r="T228" s="1">
        <v>106.09502869705604</v>
      </c>
      <c r="U228" s="1">
        <v>98.778848255775031</v>
      </c>
      <c r="V228" s="1">
        <v>101.86920004154166</v>
      </c>
      <c r="W228" s="1">
        <v>100</v>
      </c>
      <c r="X228" s="1">
        <v>98.938308797866256</v>
      </c>
      <c r="Y228" s="1">
        <v>100</v>
      </c>
      <c r="Z228" s="1">
        <v>92.748458137533518</v>
      </c>
      <c r="AA228" s="1">
        <v>98.539127000430625</v>
      </c>
      <c r="AB228" s="1">
        <v>89.94613650113223</v>
      </c>
      <c r="AC228" s="1">
        <v>101.78077976073585</v>
      </c>
      <c r="AD228" s="1">
        <v>113.07002987575412</v>
      </c>
      <c r="AE228" s="1">
        <v>89.124366469803178</v>
      </c>
      <c r="AF228" s="1">
        <v>105.03810910821595</v>
      </c>
      <c r="AG228" s="1">
        <v>100</v>
      </c>
      <c r="AH228" s="1">
        <v>100</v>
      </c>
      <c r="AI228" s="1">
        <v>100</v>
      </c>
      <c r="AJ228" s="1">
        <v>100</v>
      </c>
      <c r="AK228" s="1">
        <v>96.356640245356616</v>
      </c>
      <c r="AL228" s="1">
        <v>103.62743507861541</v>
      </c>
      <c r="AM228" s="1">
        <v>109.8500671703862</v>
      </c>
      <c r="AN228" s="1">
        <v>105.46964960170939</v>
      </c>
      <c r="AO228" s="1">
        <v>95.660873065393389</v>
      </c>
      <c r="AP228" s="1">
        <v>101.33910874792383</v>
      </c>
      <c r="AQ228" s="1">
        <v>98.699881920209918</v>
      </c>
      <c r="AR228" s="1">
        <v>96.578945423208708</v>
      </c>
      <c r="AS228" s="1">
        <v>100</v>
      </c>
      <c r="AT228" s="1">
        <v>106.42568307848073</v>
      </c>
      <c r="AU228" s="1">
        <v>98.699881920209918</v>
      </c>
      <c r="AV228" s="1">
        <v>99.900323214082661</v>
      </c>
      <c r="AW228" s="1">
        <v>100</v>
      </c>
      <c r="AX228" s="1">
        <v>100</v>
      </c>
      <c r="AY228" s="1">
        <v>100</v>
      </c>
      <c r="AZ228" s="1">
        <v>100</v>
      </c>
      <c r="BA228" s="1">
        <v>100</v>
      </c>
      <c r="BB228" s="1">
        <v>100</v>
      </c>
      <c r="BC228" s="1">
        <v>100</v>
      </c>
      <c r="BD228" s="1">
        <v>100</v>
      </c>
      <c r="BE228" s="1">
        <v>100</v>
      </c>
      <c r="BF228" s="1">
        <v>100</v>
      </c>
      <c r="BG228" s="1">
        <v>100</v>
      </c>
      <c r="BH228" s="1">
        <v>100</v>
      </c>
    </row>
    <row r="229" spans="1:60" x14ac:dyDescent="0.25">
      <c r="A229">
        <v>216</v>
      </c>
      <c r="B229" s="1">
        <v>98.218271980747275</v>
      </c>
      <c r="C229" s="1">
        <v>94.353173132071191</v>
      </c>
      <c r="D229" s="1">
        <v>99.900323214082661</v>
      </c>
      <c r="E229" s="1">
        <v>111.23463743978623</v>
      </c>
      <c r="F229" s="1">
        <v>100</v>
      </c>
      <c r="G229" s="1">
        <v>100</v>
      </c>
      <c r="H229" s="1">
        <v>100.79779325216231</v>
      </c>
      <c r="I229" s="1">
        <v>96.339887223435241</v>
      </c>
      <c r="J229" s="1">
        <v>104.92223413021168</v>
      </c>
      <c r="K229" s="1">
        <v>106.16590636000029</v>
      </c>
      <c r="L229" s="1">
        <v>95.69663892742183</v>
      </c>
      <c r="M229" s="1">
        <v>96.715943522481638</v>
      </c>
      <c r="N229" s="1">
        <v>100</v>
      </c>
      <c r="O229" s="1">
        <v>100</v>
      </c>
      <c r="P229" s="1">
        <v>90.169934884882707</v>
      </c>
      <c r="Q229" s="1">
        <v>100</v>
      </c>
      <c r="R229" s="1">
        <v>98.539127000430625</v>
      </c>
      <c r="S229" s="1">
        <v>95.541238214505867</v>
      </c>
      <c r="T229" s="1">
        <v>106.09502869705604</v>
      </c>
      <c r="U229" s="1">
        <v>98.778848255775031</v>
      </c>
      <c r="V229" s="1">
        <v>101.86920004154166</v>
      </c>
      <c r="W229" s="1">
        <v>100</v>
      </c>
      <c r="X229" s="1">
        <v>98.938308797866256</v>
      </c>
      <c r="Y229" s="1">
        <v>100</v>
      </c>
      <c r="Z229" s="1">
        <v>92.748458137533518</v>
      </c>
      <c r="AA229" s="1">
        <v>98.539127000430625</v>
      </c>
      <c r="AB229" s="1">
        <v>89.94613650113223</v>
      </c>
      <c r="AC229" s="1">
        <v>101.78077976073585</v>
      </c>
      <c r="AD229" s="1">
        <v>113.07002987575412</v>
      </c>
      <c r="AE229" s="1">
        <v>89.124366469803178</v>
      </c>
      <c r="AF229" s="1">
        <v>105.03810910821595</v>
      </c>
      <c r="AG229" s="1">
        <v>100</v>
      </c>
      <c r="AH229" s="1">
        <v>100</v>
      </c>
      <c r="AI229" s="1">
        <v>100</v>
      </c>
      <c r="AJ229" s="1">
        <v>100</v>
      </c>
      <c r="AK229" s="1">
        <v>96.356640245356616</v>
      </c>
      <c r="AL229" s="1">
        <v>103.62743507861541</v>
      </c>
      <c r="AM229" s="1">
        <v>112.71807577674551</v>
      </c>
      <c r="AN229" s="1">
        <v>105.46964960170939</v>
      </c>
      <c r="AO229" s="1">
        <v>95.660873065393389</v>
      </c>
      <c r="AP229" s="1">
        <v>101.33910874792383</v>
      </c>
      <c r="AQ229" s="1">
        <v>98.699881920209918</v>
      </c>
      <c r="AR229" s="1">
        <v>96.578945423208708</v>
      </c>
      <c r="AS229" s="1">
        <v>100</v>
      </c>
      <c r="AT229" s="1">
        <v>106.42568307848073</v>
      </c>
      <c r="AU229" s="1">
        <v>98.699881920209918</v>
      </c>
      <c r="AV229" s="1">
        <v>99.900323214082661</v>
      </c>
      <c r="AW229" s="1">
        <v>100</v>
      </c>
      <c r="AX229" s="1">
        <v>100</v>
      </c>
      <c r="AY229" s="1">
        <v>100</v>
      </c>
      <c r="AZ229" s="1">
        <v>100</v>
      </c>
      <c r="BA229" s="1">
        <v>100</v>
      </c>
      <c r="BB229" s="1">
        <v>100</v>
      </c>
      <c r="BC229" s="1">
        <v>100</v>
      </c>
      <c r="BD229" s="1">
        <v>100</v>
      </c>
      <c r="BE229" s="1">
        <v>100</v>
      </c>
      <c r="BF229" s="1">
        <v>100</v>
      </c>
      <c r="BG229" s="1">
        <v>100</v>
      </c>
      <c r="BH229" s="1">
        <v>100</v>
      </c>
    </row>
    <row r="230" spans="1:60" x14ac:dyDescent="0.25">
      <c r="A230">
        <v>217</v>
      </c>
      <c r="B230" s="1">
        <v>98.218271980747275</v>
      </c>
      <c r="C230" s="1">
        <v>94.353173132071191</v>
      </c>
      <c r="D230" s="1">
        <v>99.900323214082661</v>
      </c>
      <c r="E230" s="1">
        <v>111.23463743978623</v>
      </c>
      <c r="F230" s="1">
        <v>100</v>
      </c>
      <c r="G230" s="1">
        <v>100</v>
      </c>
      <c r="H230" s="1">
        <v>100.79779325216231</v>
      </c>
      <c r="I230" s="1">
        <v>95.722103246174782</v>
      </c>
      <c r="J230" s="1">
        <v>104.92223413021168</v>
      </c>
      <c r="K230" s="1">
        <v>106.16590636000029</v>
      </c>
      <c r="L230" s="1">
        <v>95.69663892742183</v>
      </c>
      <c r="M230" s="1">
        <v>96.715943522481638</v>
      </c>
      <c r="N230" s="1">
        <v>100</v>
      </c>
      <c r="O230" s="1">
        <v>100</v>
      </c>
      <c r="P230" s="1">
        <v>90.169934884882707</v>
      </c>
      <c r="Q230" s="1">
        <v>100</v>
      </c>
      <c r="R230" s="1">
        <v>98.539127000430625</v>
      </c>
      <c r="S230" s="1">
        <v>95.541238214505867</v>
      </c>
      <c r="T230" s="1">
        <v>106.09502869705604</v>
      </c>
      <c r="U230" s="1">
        <v>98.778848255775031</v>
      </c>
      <c r="V230" s="1">
        <v>101.86920004154166</v>
      </c>
      <c r="W230" s="1">
        <v>100</v>
      </c>
      <c r="X230" s="1">
        <v>98.938308797866256</v>
      </c>
      <c r="Y230" s="1">
        <v>100</v>
      </c>
      <c r="Z230" s="1">
        <v>92.748458137533518</v>
      </c>
      <c r="AA230" s="1">
        <v>98.539127000430625</v>
      </c>
      <c r="AB230" s="1">
        <v>90.64220728565077</v>
      </c>
      <c r="AC230" s="1">
        <v>101.78077976073585</v>
      </c>
      <c r="AD230" s="1">
        <v>113.07002987575412</v>
      </c>
      <c r="AE230" s="1">
        <v>89.124366469803178</v>
      </c>
      <c r="AF230" s="1">
        <v>105.03810910821595</v>
      </c>
      <c r="AG230" s="1">
        <v>100</v>
      </c>
      <c r="AH230" s="1">
        <v>100</v>
      </c>
      <c r="AI230" s="1">
        <v>100</v>
      </c>
      <c r="AJ230" s="1">
        <v>100</v>
      </c>
      <c r="AK230" s="1">
        <v>96.356640245356616</v>
      </c>
      <c r="AL230" s="1">
        <v>104.23160788045361</v>
      </c>
      <c r="AM230" s="1">
        <v>112.71807577674551</v>
      </c>
      <c r="AN230" s="1">
        <v>105.46964960170939</v>
      </c>
      <c r="AO230" s="1">
        <v>95.660873065393389</v>
      </c>
      <c r="AP230" s="1">
        <v>101.33910874792383</v>
      </c>
      <c r="AQ230" s="1">
        <v>98.699881920209918</v>
      </c>
      <c r="AR230" s="1">
        <v>96.578945423208708</v>
      </c>
      <c r="AS230" s="1">
        <v>100</v>
      </c>
      <c r="AT230" s="1">
        <v>105.74322346938445</v>
      </c>
      <c r="AU230" s="1">
        <v>98.699881920209918</v>
      </c>
      <c r="AV230" s="1">
        <v>99.900323214082661</v>
      </c>
      <c r="AW230" s="1">
        <v>100</v>
      </c>
      <c r="AX230" s="1">
        <v>100</v>
      </c>
      <c r="AY230" s="1">
        <v>100</v>
      </c>
      <c r="AZ230" s="1">
        <v>100</v>
      </c>
      <c r="BA230" s="1">
        <v>100</v>
      </c>
      <c r="BB230" s="1">
        <v>100</v>
      </c>
      <c r="BC230" s="1">
        <v>100</v>
      </c>
      <c r="BD230" s="1">
        <v>100</v>
      </c>
      <c r="BE230" s="1">
        <v>100</v>
      </c>
      <c r="BF230" s="1">
        <v>100</v>
      </c>
      <c r="BG230" s="1">
        <v>100</v>
      </c>
      <c r="BH230" s="1">
        <v>100</v>
      </c>
    </row>
    <row r="231" spans="1:60" x14ac:dyDescent="0.25">
      <c r="A231">
        <v>218</v>
      </c>
      <c r="B231" s="1">
        <v>98.218271980747275</v>
      </c>
      <c r="C231" s="1">
        <v>94.353173132071191</v>
      </c>
      <c r="D231" s="1">
        <v>99.900323214082661</v>
      </c>
      <c r="E231" s="1">
        <v>111.23463743978623</v>
      </c>
      <c r="F231" s="1">
        <v>100</v>
      </c>
      <c r="G231" s="1">
        <v>100</v>
      </c>
      <c r="H231" s="1">
        <v>100.79779325216231</v>
      </c>
      <c r="I231" s="1">
        <v>95.630354838947454</v>
      </c>
      <c r="J231" s="1">
        <v>104.92223413021168</v>
      </c>
      <c r="K231" s="1">
        <v>106.16590636000029</v>
      </c>
      <c r="L231" s="1">
        <v>95.69663892742183</v>
      </c>
      <c r="M231" s="1">
        <v>96.715943522481638</v>
      </c>
      <c r="N231" s="1">
        <v>100</v>
      </c>
      <c r="O231" s="1">
        <v>100</v>
      </c>
      <c r="P231" s="1">
        <v>90.169934884882707</v>
      </c>
      <c r="Q231" s="1">
        <v>100</v>
      </c>
      <c r="R231" s="1">
        <v>98.539127000430625</v>
      </c>
      <c r="S231" s="1">
        <v>95.541238214505867</v>
      </c>
      <c r="T231" s="1">
        <v>106.09502869705604</v>
      </c>
      <c r="U231" s="1">
        <v>98.778848255775031</v>
      </c>
      <c r="V231" s="1">
        <v>101.86920004154166</v>
      </c>
      <c r="W231" s="1">
        <v>100</v>
      </c>
      <c r="X231" s="1">
        <v>98.938308797866256</v>
      </c>
      <c r="Y231" s="1">
        <v>100</v>
      </c>
      <c r="Z231" s="1">
        <v>92.748458137533518</v>
      </c>
      <c r="AA231" s="1">
        <v>98.539127000430625</v>
      </c>
      <c r="AB231" s="1">
        <v>90.745491170070792</v>
      </c>
      <c r="AC231" s="1">
        <v>101.78077976073585</v>
      </c>
      <c r="AD231" s="1">
        <v>113.07002987575412</v>
      </c>
      <c r="AE231" s="1">
        <v>89.124366469803178</v>
      </c>
      <c r="AF231" s="1">
        <v>105.03810910821595</v>
      </c>
      <c r="AG231" s="1">
        <v>100</v>
      </c>
      <c r="AH231" s="1">
        <v>100</v>
      </c>
      <c r="AI231" s="1">
        <v>100</v>
      </c>
      <c r="AJ231" s="1">
        <v>100</v>
      </c>
      <c r="AK231" s="1">
        <v>96.356640245356616</v>
      </c>
      <c r="AL231" s="1">
        <v>104.32142592558637</v>
      </c>
      <c r="AM231" s="1">
        <v>112.71807577674551</v>
      </c>
      <c r="AN231" s="1">
        <v>105.46964960170939</v>
      </c>
      <c r="AO231" s="1">
        <v>95.660873065393389</v>
      </c>
      <c r="AP231" s="1">
        <v>101.33910874792383</v>
      </c>
      <c r="AQ231" s="1">
        <v>98.699881920209918</v>
      </c>
      <c r="AR231" s="1">
        <v>96.578945423208708</v>
      </c>
      <c r="AS231" s="1">
        <v>100</v>
      </c>
      <c r="AT231" s="1">
        <v>105.64186994705901</v>
      </c>
      <c r="AU231" s="1">
        <v>98.699881920209918</v>
      </c>
      <c r="AV231" s="1">
        <v>99.900323214082661</v>
      </c>
      <c r="AW231" s="1">
        <v>100</v>
      </c>
      <c r="AX231" s="1">
        <v>100</v>
      </c>
      <c r="AY231" s="1">
        <v>100</v>
      </c>
      <c r="AZ231" s="1">
        <v>100</v>
      </c>
      <c r="BA231" s="1">
        <v>100</v>
      </c>
      <c r="BB231" s="1">
        <v>100</v>
      </c>
      <c r="BC231" s="1">
        <v>100</v>
      </c>
      <c r="BD231" s="1">
        <v>100</v>
      </c>
      <c r="BE231" s="1">
        <v>100</v>
      </c>
      <c r="BF231" s="1">
        <v>100</v>
      </c>
      <c r="BG231" s="1">
        <v>100</v>
      </c>
      <c r="BH231" s="1">
        <v>100</v>
      </c>
    </row>
    <row r="232" spans="1:60" x14ac:dyDescent="0.25">
      <c r="A232">
        <v>219</v>
      </c>
      <c r="B232" s="1">
        <v>98.218271980747275</v>
      </c>
      <c r="C232" s="1">
        <v>94.353173132071191</v>
      </c>
      <c r="D232" s="1">
        <v>99.900323214082661</v>
      </c>
      <c r="E232" s="1">
        <v>111.23463743978623</v>
      </c>
      <c r="F232" s="1">
        <v>100</v>
      </c>
      <c r="G232" s="1">
        <v>100</v>
      </c>
      <c r="H232" s="1">
        <v>100.79779325216231</v>
      </c>
      <c r="I232" s="1">
        <v>95.037491452161717</v>
      </c>
      <c r="J232" s="1">
        <v>104.92223413021168</v>
      </c>
      <c r="K232" s="1">
        <v>106.16590636000029</v>
      </c>
      <c r="L232" s="1">
        <v>95.69663892742183</v>
      </c>
      <c r="M232" s="1">
        <v>96.715943522481638</v>
      </c>
      <c r="N232" s="1">
        <v>100</v>
      </c>
      <c r="O232" s="1">
        <v>100</v>
      </c>
      <c r="P232" s="1">
        <v>90.169934884882707</v>
      </c>
      <c r="Q232" s="1">
        <v>100</v>
      </c>
      <c r="R232" s="1">
        <v>98.539127000430625</v>
      </c>
      <c r="S232" s="1">
        <v>95.541238214505867</v>
      </c>
      <c r="T232" s="1">
        <v>106.09502869705604</v>
      </c>
      <c r="U232" s="1">
        <v>99.383451360824822</v>
      </c>
      <c r="V232" s="1">
        <v>101.23765873807695</v>
      </c>
      <c r="W232" s="1">
        <v>100</v>
      </c>
      <c r="X232" s="1">
        <v>98.938308797866256</v>
      </c>
      <c r="Y232" s="1">
        <v>100</v>
      </c>
      <c r="Z232" s="1">
        <v>92.748458137533518</v>
      </c>
      <c r="AA232" s="1">
        <v>98.539127000430625</v>
      </c>
      <c r="AB232" s="1">
        <v>90.745491170070792</v>
      </c>
      <c r="AC232" s="1">
        <v>101.78077976073585</v>
      </c>
      <c r="AD232" s="1">
        <v>113.07002987575412</v>
      </c>
      <c r="AE232" s="1">
        <v>89.124366469803178</v>
      </c>
      <c r="AF232" s="1">
        <v>105.03810910821595</v>
      </c>
      <c r="AG232" s="1">
        <v>100</v>
      </c>
      <c r="AH232" s="1">
        <v>100</v>
      </c>
      <c r="AI232" s="1">
        <v>100</v>
      </c>
      <c r="AJ232" s="1">
        <v>100</v>
      </c>
      <c r="AK232" s="1">
        <v>96.976441830557292</v>
      </c>
      <c r="AL232" s="1">
        <v>104.32142592558637</v>
      </c>
      <c r="AM232" s="1">
        <v>112.71807577674551</v>
      </c>
      <c r="AN232" s="1">
        <v>105.46964960170939</v>
      </c>
      <c r="AO232" s="1">
        <v>95.660873065393389</v>
      </c>
      <c r="AP232" s="1">
        <v>101.33910874792383</v>
      </c>
      <c r="AQ232" s="1">
        <v>98.699881920209918</v>
      </c>
      <c r="AR232" s="1">
        <v>96.578945423208708</v>
      </c>
      <c r="AS232" s="1">
        <v>100</v>
      </c>
      <c r="AT232" s="1">
        <v>105.64186994705901</v>
      </c>
      <c r="AU232" s="1">
        <v>98.699881920209918</v>
      </c>
      <c r="AV232" s="1">
        <v>99.900323214082661</v>
      </c>
      <c r="AW232" s="1">
        <v>100</v>
      </c>
      <c r="AX232" s="1">
        <v>100</v>
      </c>
      <c r="AY232" s="1">
        <v>100</v>
      </c>
      <c r="AZ232" s="1">
        <v>100</v>
      </c>
      <c r="BA232" s="1">
        <v>100</v>
      </c>
      <c r="BB232" s="1">
        <v>100</v>
      </c>
      <c r="BC232" s="1">
        <v>100</v>
      </c>
      <c r="BD232" s="1">
        <v>100</v>
      </c>
      <c r="BE232" s="1">
        <v>100</v>
      </c>
      <c r="BF232" s="1">
        <v>100</v>
      </c>
      <c r="BG232" s="1">
        <v>100</v>
      </c>
      <c r="BH232" s="1">
        <v>100</v>
      </c>
    </row>
    <row r="233" spans="1:60" x14ac:dyDescent="0.25">
      <c r="A233">
        <v>220</v>
      </c>
      <c r="B233" s="1">
        <v>98.218271980747275</v>
      </c>
      <c r="C233" s="1">
        <v>94.353173132071191</v>
      </c>
      <c r="D233" s="1">
        <v>99.900323214082661</v>
      </c>
      <c r="E233" s="1">
        <v>111.23463743978623</v>
      </c>
      <c r="F233" s="1">
        <v>100</v>
      </c>
      <c r="G233" s="1">
        <v>100</v>
      </c>
      <c r="H233" s="1">
        <v>100.79779325216231</v>
      </c>
      <c r="I233" s="1">
        <v>95.331368708307579</v>
      </c>
      <c r="J233" s="1">
        <v>104.92223413021168</v>
      </c>
      <c r="K233" s="1">
        <v>106.16590636000029</v>
      </c>
      <c r="L233" s="1">
        <v>95.69663892742183</v>
      </c>
      <c r="M233" s="1">
        <v>96.715943522481638</v>
      </c>
      <c r="N233" s="1">
        <v>100</v>
      </c>
      <c r="O233" s="1">
        <v>100</v>
      </c>
      <c r="P233" s="1">
        <v>90.169934884882707</v>
      </c>
      <c r="Q233" s="1">
        <v>100</v>
      </c>
      <c r="R233" s="1">
        <v>98.539127000430625</v>
      </c>
      <c r="S233" s="1">
        <v>95.541238214505867</v>
      </c>
      <c r="T233" s="1">
        <v>106.09502869705604</v>
      </c>
      <c r="U233" s="1">
        <v>99.095081087380791</v>
      </c>
      <c r="V233" s="1">
        <v>101.51353786810706</v>
      </c>
      <c r="W233" s="1">
        <v>100</v>
      </c>
      <c r="X233" s="1">
        <v>98.938308797866256</v>
      </c>
      <c r="Y233" s="1">
        <v>100</v>
      </c>
      <c r="Z233" s="1">
        <v>92.748458137533518</v>
      </c>
      <c r="AA233" s="1">
        <v>98.539127000430625</v>
      </c>
      <c r="AB233" s="1">
        <v>90.745491170070792</v>
      </c>
      <c r="AC233" s="1">
        <v>101.78077976073585</v>
      </c>
      <c r="AD233" s="1">
        <v>113.07002987575412</v>
      </c>
      <c r="AE233" s="1">
        <v>89.124366469803178</v>
      </c>
      <c r="AF233" s="1">
        <v>105.03810910821595</v>
      </c>
      <c r="AG233" s="1">
        <v>100</v>
      </c>
      <c r="AH233" s="1">
        <v>100</v>
      </c>
      <c r="AI233" s="1">
        <v>100</v>
      </c>
      <c r="AJ233" s="1">
        <v>100</v>
      </c>
      <c r="AK233" s="1">
        <v>96.69505571782534</v>
      </c>
      <c r="AL233" s="1">
        <v>104.32142592558637</v>
      </c>
      <c r="AM233" s="1">
        <v>112.71807577674551</v>
      </c>
      <c r="AN233" s="1">
        <v>105.46964960170939</v>
      </c>
      <c r="AO233" s="1">
        <v>95.660873065393389</v>
      </c>
      <c r="AP233" s="1">
        <v>101.33910874792383</v>
      </c>
      <c r="AQ233" s="1">
        <v>98.699881920209918</v>
      </c>
      <c r="AR233" s="1">
        <v>96.578945423208708</v>
      </c>
      <c r="AS233" s="1">
        <v>100</v>
      </c>
      <c r="AT233" s="1">
        <v>105.64186994705901</v>
      </c>
      <c r="AU233" s="1">
        <v>98.699881920209918</v>
      </c>
      <c r="AV233" s="1">
        <v>99.900323214082661</v>
      </c>
      <c r="AW233" s="1">
        <v>100</v>
      </c>
      <c r="AX233" s="1">
        <v>100</v>
      </c>
      <c r="AY233" s="1">
        <v>100</v>
      </c>
      <c r="AZ233" s="1">
        <v>100</v>
      </c>
      <c r="BA233" s="1">
        <v>100</v>
      </c>
      <c r="BB233" s="1">
        <v>100</v>
      </c>
      <c r="BC233" s="1">
        <v>100</v>
      </c>
      <c r="BD233" s="1">
        <v>100</v>
      </c>
      <c r="BE233" s="1">
        <v>100</v>
      </c>
      <c r="BF233" s="1">
        <v>100</v>
      </c>
      <c r="BG233" s="1">
        <v>100</v>
      </c>
      <c r="BH233" s="1">
        <v>100</v>
      </c>
    </row>
    <row r="234" spans="1:60" x14ac:dyDescent="0.25">
      <c r="A234">
        <v>221</v>
      </c>
      <c r="B234" s="1">
        <v>98.218271980747275</v>
      </c>
      <c r="C234" s="1">
        <v>94.353173132071191</v>
      </c>
      <c r="D234" s="1">
        <v>99.900323214082661</v>
      </c>
      <c r="E234" s="1">
        <v>111.23463743978623</v>
      </c>
      <c r="F234" s="1">
        <v>100</v>
      </c>
      <c r="G234" s="1">
        <v>100</v>
      </c>
      <c r="H234" s="1">
        <v>100.79779325216231</v>
      </c>
      <c r="I234" s="1">
        <v>95.331368708307579</v>
      </c>
      <c r="J234" s="1">
        <v>104.92223413021168</v>
      </c>
      <c r="K234" s="1">
        <v>106.16590636000029</v>
      </c>
      <c r="L234" s="1">
        <v>95.69663892742183</v>
      </c>
      <c r="M234" s="1">
        <v>96.715943522481638</v>
      </c>
      <c r="N234" s="1">
        <v>100</v>
      </c>
      <c r="O234" s="1">
        <v>100</v>
      </c>
      <c r="P234" s="1">
        <v>90.169934884882707</v>
      </c>
      <c r="Q234" s="1">
        <v>100</v>
      </c>
      <c r="R234" s="1">
        <v>98.539127000430625</v>
      </c>
      <c r="S234" s="1">
        <v>95.541238214505867</v>
      </c>
      <c r="T234" s="1">
        <v>106.09502869705604</v>
      </c>
      <c r="U234" s="1">
        <v>99.095081087380791</v>
      </c>
      <c r="V234" s="1">
        <v>101.51353786810706</v>
      </c>
      <c r="W234" s="1">
        <v>100</v>
      </c>
      <c r="X234" s="1">
        <v>98.938308797866256</v>
      </c>
      <c r="Y234" s="1">
        <v>100</v>
      </c>
      <c r="Z234" s="1">
        <v>92.748458137533518</v>
      </c>
      <c r="AA234" s="1">
        <v>98.539127000430625</v>
      </c>
      <c r="AB234" s="1">
        <v>90.745491170070792</v>
      </c>
      <c r="AC234" s="1">
        <v>101.78077976073585</v>
      </c>
      <c r="AD234" s="1">
        <v>113.07002987575412</v>
      </c>
      <c r="AE234" s="1">
        <v>89.124366469803178</v>
      </c>
      <c r="AF234" s="1">
        <v>105.03810910821595</v>
      </c>
      <c r="AG234" s="1">
        <v>100</v>
      </c>
      <c r="AH234" s="1">
        <v>100</v>
      </c>
      <c r="AI234" s="1">
        <v>100</v>
      </c>
      <c r="AJ234" s="1">
        <v>100.54969049388924</v>
      </c>
      <c r="AK234" s="1">
        <v>96.69505571782534</v>
      </c>
      <c r="AL234" s="1">
        <v>104.32142592558637</v>
      </c>
      <c r="AM234" s="1">
        <v>112.71807577674551</v>
      </c>
      <c r="AN234" s="1">
        <v>105.46964960170939</v>
      </c>
      <c r="AO234" s="1">
        <v>95.660873065393389</v>
      </c>
      <c r="AP234" s="1">
        <v>100.77849773069538</v>
      </c>
      <c r="AQ234" s="1">
        <v>99.256813178074665</v>
      </c>
      <c r="AR234" s="1">
        <v>96.578945423208708</v>
      </c>
      <c r="AS234" s="1">
        <v>100</v>
      </c>
      <c r="AT234" s="1">
        <v>105.64186994705901</v>
      </c>
      <c r="AU234" s="1">
        <v>98.15387118568438</v>
      </c>
      <c r="AV234" s="1">
        <v>99.900323214082661</v>
      </c>
      <c r="AW234" s="1">
        <v>100</v>
      </c>
      <c r="AX234" s="1">
        <v>100</v>
      </c>
      <c r="AY234" s="1">
        <v>100</v>
      </c>
      <c r="AZ234" s="1">
        <v>100</v>
      </c>
      <c r="BA234" s="1">
        <v>100</v>
      </c>
      <c r="BB234" s="1">
        <v>100</v>
      </c>
      <c r="BC234" s="1">
        <v>100</v>
      </c>
      <c r="BD234" s="1">
        <v>100</v>
      </c>
      <c r="BE234" s="1">
        <v>100</v>
      </c>
      <c r="BF234" s="1">
        <v>100</v>
      </c>
      <c r="BG234" s="1">
        <v>100</v>
      </c>
      <c r="BH234" s="1">
        <v>100</v>
      </c>
    </row>
    <row r="235" spans="1:60" x14ac:dyDescent="0.25">
      <c r="A235">
        <v>222</v>
      </c>
      <c r="B235" s="1">
        <v>98.218271980747275</v>
      </c>
      <c r="C235" s="1">
        <v>94.353173132071191</v>
      </c>
      <c r="D235" s="1">
        <v>99.900323214082661</v>
      </c>
      <c r="E235" s="1">
        <v>111.23463743978623</v>
      </c>
      <c r="F235" s="1">
        <v>100</v>
      </c>
      <c r="G235" s="1">
        <v>100</v>
      </c>
      <c r="H235" s="1">
        <v>100.79779325216231</v>
      </c>
      <c r="I235" s="1">
        <v>95.331368708307579</v>
      </c>
      <c r="J235" s="1">
        <v>104.92223413021168</v>
      </c>
      <c r="K235" s="1">
        <v>106.16590636000029</v>
      </c>
      <c r="L235" s="1">
        <v>95.69663892742183</v>
      </c>
      <c r="M235" s="1">
        <v>96.715943522481638</v>
      </c>
      <c r="N235" s="1">
        <v>100</v>
      </c>
      <c r="O235" s="1">
        <v>100</v>
      </c>
      <c r="P235" s="1">
        <v>90.169934884882707</v>
      </c>
      <c r="Q235" s="1">
        <v>100</v>
      </c>
      <c r="R235" s="1">
        <v>98.539127000430625</v>
      </c>
      <c r="S235" s="1">
        <v>95.541238214505867</v>
      </c>
      <c r="T235" s="1">
        <v>106.09502869705604</v>
      </c>
      <c r="U235" s="1">
        <v>99.095081087380791</v>
      </c>
      <c r="V235" s="1">
        <v>101.51353786810706</v>
      </c>
      <c r="W235" s="1">
        <v>100</v>
      </c>
      <c r="X235" s="1">
        <v>98.938308797866256</v>
      </c>
      <c r="Y235" s="1">
        <v>100</v>
      </c>
      <c r="Z235" s="1">
        <v>92.748458137533518</v>
      </c>
      <c r="AA235" s="1">
        <v>98.539127000430625</v>
      </c>
      <c r="AB235" s="1">
        <v>90.745491170070792</v>
      </c>
      <c r="AC235" s="1">
        <v>101.78077976073585</v>
      </c>
      <c r="AD235" s="1">
        <v>113.07002987575412</v>
      </c>
      <c r="AE235" s="1">
        <v>89.124366469803178</v>
      </c>
      <c r="AF235" s="1">
        <v>105.03810910821595</v>
      </c>
      <c r="AG235" s="1">
        <v>100</v>
      </c>
      <c r="AH235" s="1">
        <v>100</v>
      </c>
      <c r="AI235" s="1">
        <v>100</v>
      </c>
      <c r="AJ235" s="1">
        <v>100.97287195506495</v>
      </c>
      <c r="AK235" s="1">
        <v>96.69505571782534</v>
      </c>
      <c r="AL235" s="1">
        <v>104.32142592558637</v>
      </c>
      <c r="AM235" s="1">
        <v>112.71807577674551</v>
      </c>
      <c r="AN235" s="1">
        <v>105.46964960170939</v>
      </c>
      <c r="AO235" s="1">
        <v>95.660873065393389</v>
      </c>
      <c r="AP235" s="1">
        <v>100.34694054453996</v>
      </c>
      <c r="AQ235" s="1">
        <v>99.685506822183797</v>
      </c>
      <c r="AR235" s="1">
        <v>96.578945423208708</v>
      </c>
      <c r="AS235" s="1">
        <v>100</v>
      </c>
      <c r="AT235" s="1">
        <v>105.64186994705901</v>
      </c>
      <c r="AU235" s="1">
        <v>97.733553266554964</v>
      </c>
      <c r="AV235" s="1">
        <v>99.900323214082661</v>
      </c>
      <c r="AW235" s="1">
        <v>100</v>
      </c>
      <c r="AX235" s="1">
        <v>100</v>
      </c>
      <c r="AY235" s="1">
        <v>100</v>
      </c>
      <c r="AZ235" s="1">
        <v>100</v>
      </c>
      <c r="BA235" s="1">
        <v>100</v>
      </c>
      <c r="BB235" s="1">
        <v>100</v>
      </c>
      <c r="BC235" s="1">
        <v>100</v>
      </c>
      <c r="BD235" s="1">
        <v>100</v>
      </c>
      <c r="BE235" s="1">
        <v>100</v>
      </c>
      <c r="BF235" s="1">
        <v>100</v>
      </c>
      <c r="BG235" s="1">
        <v>100</v>
      </c>
      <c r="BH235" s="1">
        <v>100</v>
      </c>
    </row>
    <row r="236" spans="1:60" x14ac:dyDescent="0.25">
      <c r="A236">
        <v>223</v>
      </c>
      <c r="B236" s="1">
        <v>98.218271980747275</v>
      </c>
      <c r="C236" s="1">
        <v>94.353173132071191</v>
      </c>
      <c r="D236" s="1">
        <v>99.900323214082661</v>
      </c>
      <c r="E236" s="1">
        <v>111.02575823914968</v>
      </c>
      <c r="F236" s="1">
        <v>100</v>
      </c>
      <c r="G236" s="1">
        <v>100</v>
      </c>
      <c r="H236" s="1">
        <v>100.79779325216231</v>
      </c>
      <c r="I236" s="1">
        <v>95.331368708307579</v>
      </c>
      <c r="J236" s="1">
        <v>104.92223413021168</v>
      </c>
      <c r="K236" s="1">
        <v>106.16590636000029</v>
      </c>
      <c r="L236" s="1">
        <v>95.69663892742183</v>
      </c>
      <c r="M236" s="1">
        <v>96.715943522481638</v>
      </c>
      <c r="N236" s="1">
        <v>100</v>
      </c>
      <c r="O236" s="1">
        <v>100</v>
      </c>
      <c r="P236" s="1">
        <v>90.169934884882707</v>
      </c>
      <c r="Q236" s="1">
        <v>100</v>
      </c>
      <c r="R236" s="1">
        <v>98.539127000430625</v>
      </c>
      <c r="S236" s="1">
        <v>95.541238214505867</v>
      </c>
      <c r="T236" s="1">
        <v>106.09502869705604</v>
      </c>
      <c r="U236" s="1">
        <v>99.095081087380791</v>
      </c>
      <c r="V236" s="1">
        <v>101.51353786810706</v>
      </c>
      <c r="W236" s="1">
        <v>100</v>
      </c>
      <c r="X236" s="1">
        <v>98.938308797866256</v>
      </c>
      <c r="Y236" s="1">
        <v>100</v>
      </c>
      <c r="Z236" s="1">
        <v>92.748458137533518</v>
      </c>
      <c r="AA236" s="1">
        <v>98.539127000430625</v>
      </c>
      <c r="AB236" s="1">
        <v>90.745491170070792</v>
      </c>
      <c r="AC236" s="1">
        <v>101.78077976073585</v>
      </c>
      <c r="AD236" s="1">
        <v>113.07002987575412</v>
      </c>
      <c r="AE236" s="1">
        <v>89.124366469803178</v>
      </c>
      <c r="AF236" s="1">
        <v>105.03810910821595</v>
      </c>
      <c r="AG236" s="1">
        <v>100</v>
      </c>
      <c r="AH236" s="1">
        <v>100</v>
      </c>
      <c r="AI236" s="1">
        <v>100</v>
      </c>
      <c r="AJ236" s="1">
        <v>100.97287195506495</v>
      </c>
      <c r="AK236" s="1">
        <v>96.69505571782534</v>
      </c>
      <c r="AL236" s="1">
        <v>104.32142592558637</v>
      </c>
      <c r="AM236" s="1">
        <v>112.90152872152701</v>
      </c>
      <c r="AN236" s="1">
        <v>105.46964960170939</v>
      </c>
      <c r="AO236" s="1">
        <v>95.660873065393389</v>
      </c>
      <c r="AP236" s="1">
        <v>100.34694054453996</v>
      </c>
      <c r="AQ236" s="1">
        <v>99.685506822183797</v>
      </c>
      <c r="AR236" s="1">
        <v>96.397587049750257</v>
      </c>
      <c r="AS236" s="1">
        <v>100.20678462931349</v>
      </c>
      <c r="AT236" s="1">
        <v>105.64186994705901</v>
      </c>
      <c r="AU236" s="1">
        <v>97.733553266554964</v>
      </c>
      <c r="AV236" s="1">
        <v>99.900323214082661</v>
      </c>
      <c r="AW236" s="1">
        <v>100</v>
      </c>
      <c r="AX236" s="1">
        <v>100</v>
      </c>
      <c r="AY236" s="1">
        <v>100</v>
      </c>
      <c r="AZ236" s="1">
        <v>100</v>
      </c>
      <c r="BA236" s="1">
        <v>100</v>
      </c>
      <c r="BB236" s="1">
        <v>100</v>
      </c>
      <c r="BC236" s="1">
        <v>100</v>
      </c>
      <c r="BD236" s="1">
        <v>100</v>
      </c>
      <c r="BE236" s="1">
        <v>100</v>
      </c>
      <c r="BF236" s="1">
        <v>100</v>
      </c>
      <c r="BG236" s="1">
        <v>100</v>
      </c>
      <c r="BH236" s="1">
        <v>100</v>
      </c>
    </row>
    <row r="237" spans="1:60" x14ac:dyDescent="0.25">
      <c r="A237">
        <v>224</v>
      </c>
      <c r="B237" s="1">
        <v>98.218271980747275</v>
      </c>
      <c r="C237" s="1">
        <v>94.353173132071191</v>
      </c>
      <c r="D237" s="1">
        <v>99.900323214082661</v>
      </c>
      <c r="E237" s="1">
        <v>110.8642661825124</v>
      </c>
      <c r="F237" s="1">
        <v>100</v>
      </c>
      <c r="G237" s="1">
        <v>100</v>
      </c>
      <c r="H237" s="1">
        <v>100.79779325216231</v>
      </c>
      <c r="I237" s="1">
        <v>95.331368708307579</v>
      </c>
      <c r="J237" s="1">
        <v>104.92223413021168</v>
      </c>
      <c r="K237" s="1">
        <v>106.16590636000029</v>
      </c>
      <c r="L237" s="1">
        <v>95.69663892742183</v>
      </c>
      <c r="M237" s="1">
        <v>96.715943522481638</v>
      </c>
      <c r="N237" s="1">
        <v>100</v>
      </c>
      <c r="O237" s="1">
        <v>100</v>
      </c>
      <c r="P237" s="1">
        <v>90.169934884882707</v>
      </c>
      <c r="Q237" s="1">
        <v>100</v>
      </c>
      <c r="R237" s="1">
        <v>98.539127000430625</v>
      </c>
      <c r="S237" s="1">
        <v>95.541238214505867</v>
      </c>
      <c r="T237" s="1">
        <v>106.09502869705604</v>
      </c>
      <c r="U237" s="1">
        <v>99.095081087380791</v>
      </c>
      <c r="V237" s="1">
        <v>101.51353786810706</v>
      </c>
      <c r="W237" s="1">
        <v>100</v>
      </c>
      <c r="X237" s="1">
        <v>98.938308797866256</v>
      </c>
      <c r="Y237" s="1">
        <v>100</v>
      </c>
      <c r="Z237" s="1">
        <v>92.748458137533518</v>
      </c>
      <c r="AA237" s="1">
        <v>98.539127000430625</v>
      </c>
      <c r="AB237" s="1">
        <v>90.745491170070792</v>
      </c>
      <c r="AC237" s="1">
        <v>101.78077976073585</v>
      </c>
      <c r="AD237" s="1">
        <v>113.07002987575412</v>
      </c>
      <c r="AE237" s="1">
        <v>89.124366469803178</v>
      </c>
      <c r="AF237" s="1">
        <v>105.03810910821595</v>
      </c>
      <c r="AG237" s="1">
        <v>100</v>
      </c>
      <c r="AH237" s="1">
        <v>100</v>
      </c>
      <c r="AI237" s="1">
        <v>100</v>
      </c>
      <c r="AJ237" s="1">
        <v>100.97287195506495</v>
      </c>
      <c r="AK237" s="1">
        <v>96.69505571782534</v>
      </c>
      <c r="AL237" s="1">
        <v>104.32142592558637</v>
      </c>
      <c r="AM237" s="1">
        <v>113.04339585282118</v>
      </c>
      <c r="AN237" s="1">
        <v>105.46964960170939</v>
      </c>
      <c r="AO237" s="1">
        <v>95.660873065393389</v>
      </c>
      <c r="AP237" s="1">
        <v>100.34694054453996</v>
      </c>
      <c r="AQ237" s="1">
        <v>99.685506822183797</v>
      </c>
      <c r="AR237" s="1">
        <v>96.25737233890807</v>
      </c>
      <c r="AS237" s="1">
        <v>100.3666242654988</v>
      </c>
      <c r="AT237" s="1">
        <v>105.64186994705901</v>
      </c>
      <c r="AU237" s="1">
        <v>97.733553266554964</v>
      </c>
      <c r="AV237" s="1">
        <v>99.900323214082661</v>
      </c>
      <c r="AW237" s="1">
        <v>100</v>
      </c>
      <c r="AX237" s="1">
        <v>100</v>
      </c>
      <c r="AY237" s="1">
        <v>100</v>
      </c>
      <c r="AZ237" s="1">
        <v>100</v>
      </c>
      <c r="BA237" s="1">
        <v>100</v>
      </c>
      <c r="BB237" s="1">
        <v>100</v>
      </c>
      <c r="BC237" s="1">
        <v>100</v>
      </c>
      <c r="BD237" s="1">
        <v>100</v>
      </c>
      <c r="BE237" s="1">
        <v>100</v>
      </c>
      <c r="BF237" s="1">
        <v>100</v>
      </c>
      <c r="BG237" s="1">
        <v>100</v>
      </c>
      <c r="BH237" s="1">
        <v>100</v>
      </c>
    </row>
    <row r="238" spans="1:60" x14ac:dyDescent="0.25">
      <c r="A238">
        <v>225</v>
      </c>
      <c r="B238" s="1">
        <v>98.218271980747275</v>
      </c>
      <c r="C238" s="1">
        <v>94.353173132071191</v>
      </c>
      <c r="D238" s="1">
        <v>99.900323214082661</v>
      </c>
      <c r="E238" s="1">
        <v>110.8642661825124</v>
      </c>
      <c r="F238" s="1">
        <v>100</v>
      </c>
      <c r="G238" s="1">
        <v>100</v>
      </c>
      <c r="H238" s="1">
        <v>100.79779325216231</v>
      </c>
      <c r="I238" s="1">
        <v>94.891289313533846</v>
      </c>
      <c r="J238" s="1">
        <v>104.92223413021168</v>
      </c>
      <c r="K238" s="1">
        <v>106.16590636000029</v>
      </c>
      <c r="L238" s="1">
        <v>95.69663892742183</v>
      </c>
      <c r="M238" s="1">
        <v>96.715943522481638</v>
      </c>
      <c r="N238" s="1">
        <v>100</v>
      </c>
      <c r="O238" s="1">
        <v>100</v>
      </c>
      <c r="P238" s="1">
        <v>90.169934884882707</v>
      </c>
      <c r="Q238" s="1">
        <v>100</v>
      </c>
      <c r="R238" s="1">
        <v>98.539127000430625</v>
      </c>
      <c r="S238" s="1">
        <v>95.541238214505867</v>
      </c>
      <c r="T238" s="1">
        <v>106.09502869705604</v>
      </c>
      <c r="U238" s="1">
        <v>99.563140677786066</v>
      </c>
      <c r="V238" s="1">
        <v>101.97044641487844</v>
      </c>
      <c r="W238" s="1">
        <v>100</v>
      </c>
      <c r="X238" s="1">
        <v>98.938308797866256</v>
      </c>
      <c r="Y238" s="1">
        <v>100</v>
      </c>
      <c r="Z238" s="1">
        <v>92.748458137533518</v>
      </c>
      <c r="AA238" s="1">
        <v>98.539127000430625</v>
      </c>
      <c r="AB238" s="1">
        <v>90.745491170070792</v>
      </c>
      <c r="AC238" s="1">
        <v>101.78077976073585</v>
      </c>
      <c r="AD238" s="1">
        <v>113.07002987575412</v>
      </c>
      <c r="AE238" s="1">
        <v>89.124366469803178</v>
      </c>
      <c r="AF238" s="1">
        <v>104.55322036581302</v>
      </c>
      <c r="AG238" s="1">
        <v>100</v>
      </c>
      <c r="AH238" s="1">
        <v>100</v>
      </c>
      <c r="AI238" s="1">
        <v>100</v>
      </c>
      <c r="AJ238" s="1">
        <v>100.97287195506495</v>
      </c>
      <c r="AK238" s="1">
        <v>96.69505571782534</v>
      </c>
      <c r="AL238" s="1">
        <v>104.32142592558637</v>
      </c>
      <c r="AM238" s="1">
        <v>113.04339585282118</v>
      </c>
      <c r="AN238" s="1">
        <v>105.46964960170939</v>
      </c>
      <c r="AO238" s="1">
        <v>95.660873065393389</v>
      </c>
      <c r="AP238" s="1">
        <v>100.34694054453996</v>
      </c>
      <c r="AQ238" s="1">
        <v>99.685506822183797</v>
      </c>
      <c r="AR238" s="1">
        <v>96.25737233890807</v>
      </c>
      <c r="AS238" s="1">
        <v>100.3666242654988</v>
      </c>
      <c r="AT238" s="1">
        <v>105.64186994705901</v>
      </c>
      <c r="AU238" s="1">
        <v>97.733553266554964</v>
      </c>
      <c r="AV238" s="1">
        <v>99.900323214082661</v>
      </c>
      <c r="AW238" s="1">
        <v>100</v>
      </c>
      <c r="AX238" s="1">
        <v>100</v>
      </c>
      <c r="AY238" s="1">
        <v>100</v>
      </c>
      <c r="AZ238" s="1">
        <v>100</v>
      </c>
      <c r="BA238" s="1">
        <v>100</v>
      </c>
      <c r="BB238" s="1">
        <v>100</v>
      </c>
      <c r="BC238" s="1">
        <v>100</v>
      </c>
      <c r="BD238" s="1">
        <v>100</v>
      </c>
      <c r="BE238" s="1">
        <v>100</v>
      </c>
      <c r="BF238" s="1">
        <v>100</v>
      </c>
      <c r="BG238" s="1">
        <v>100</v>
      </c>
      <c r="BH238" s="1">
        <v>100</v>
      </c>
    </row>
    <row r="239" spans="1:60" x14ac:dyDescent="0.25">
      <c r="A239">
        <v>226</v>
      </c>
      <c r="B239" s="1">
        <v>98.218271980747275</v>
      </c>
      <c r="C239" s="1">
        <v>94.353173132071191</v>
      </c>
      <c r="D239" s="1">
        <v>99.900323214082661</v>
      </c>
      <c r="E239" s="1">
        <v>112.88081899899511</v>
      </c>
      <c r="F239" s="1">
        <v>100</v>
      </c>
      <c r="G239" s="1">
        <v>100</v>
      </c>
      <c r="H239" s="1">
        <v>100.79779325216231</v>
      </c>
      <c r="I239" s="1">
        <v>94.891289313533846</v>
      </c>
      <c r="J239" s="1">
        <v>104.92223413021168</v>
      </c>
      <c r="K239" s="1">
        <v>106.16590636000029</v>
      </c>
      <c r="L239" s="1">
        <v>95.69663892742183</v>
      </c>
      <c r="M239" s="1">
        <v>96.715943522481638</v>
      </c>
      <c r="N239" s="1">
        <v>100</v>
      </c>
      <c r="O239" s="1">
        <v>100</v>
      </c>
      <c r="P239" s="1">
        <v>90.169934884882707</v>
      </c>
      <c r="Q239" s="1">
        <v>100</v>
      </c>
      <c r="R239" s="1">
        <v>98.539127000430625</v>
      </c>
      <c r="S239" s="1">
        <v>95.541238214505867</v>
      </c>
      <c r="T239" s="1">
        <v>106.09502869705604</v>
      </c>
      <c r="U239" s="1">
        <v>99.563140677786066</v>
      </c>
      <c r="V239" s="1">
        <v>99.844419378267062</v>
      </c>
      <c r="W239" s="1">
        <v>100</v>
      </c>
      <c r="X239" s="1">
        <v>98.938308797866256</v>
      </c>
      <c r="Y239" s="1">
        <v>100</v>
      </c>
      <c r="Z239" s="1">
        <v>92.748458137533518</v>
      </c>
      <c r="AA239" s="1">
        <v>98.539127000430625</v>
      </c>
      <c r="AB239" s="1">
        <v>90.745491170070792</v>
      </c>
      <c r="AC239" s="1">
        <v>101.78077976073585</v>
      </c>
      <c r="AD239" s="1">
        <v>113.07002987575412</v>
      </c>
      <c r="AE239" s="1">
        <v>89.124366469803178</v>
      </c>
      <c r="AF239" s="1">
        <v>104.55322036581302</v>
      </c>
      <c r="AG239" s="1">
        <v>100</v>
      </c>
      <c r="AH239" s="1">
        <v>100</v>
      </c>
      <c r="AI239" s="1">
        <v>100</v>
      </c>
      <c r="AJ239" s="1">
        <v>100.97287195506495</v>
      </c>
      <c r="AK239" s="1">
        <v>99.007104111178947</v>
      </c>
      <c r="AL239" s="1">
        <v>104.32142592558637</v>
      </c>
      <c r="AM239" s="1">
        <v>113.04339585282118</v>
      </c>
      <c r="AN239" s="1">
        <v>105.46964960170939</v>
      </c>
      <c r="AO239" s="1">
        <v>95.660873065393389</v>
      </c>
      <c r="AP239" s="1">
        <v>100.34694054453996</v>
      </c>
      <c r="AQ239" s="1">
        <v>99.685506822183797</v>
      </c>
      <c r="AR239" s="1">
        <v>96.25737233890807</v>
      </c>
      <c r="AS239" s="1">
        <v>100.3666242654988</v>
      </c>
      <c r="AT239" s="1">
        <v>103.43929577383406</v>
      </c>
      <c r="AU239" s="1">
        <v>97.733553266554964</v>
      </c>
      <c r="AV239" s="1">
        <v>99.900323214082661</v>
      </c>
      <c r="AW239" s="1">
        <v>100</v>
      </c>
      <c r="AX239" s="1">
        <v>100</v>
      </c>
      <c r="AY239" s="1">
        <v>100</v>
      </c>
      <c r="AZ239" s="1">
        <v>100</v>
      </c>
      <c r="BA239" s="1">
        <v>100</v>
      </c>
      <c r="BB239" s="1">
        <v>100</v>
      </c>
      <c r="BC239" s="1">
        <v>100</v>
      </c>
      <c r="BD239" s="1">
        <v>100</v>
      </c>
      <c r="BE239" s="1">
        <v>100</v>
      </c>
      <c r="BF239" s="1">
        <v>100</v>
      </c>
      <c r="BG239" s="1">
        <v>100</v>
      </c>
      <c r="BH239" s="1">
        <v>100</v>
      </c>
    </row>
    <row r="240" spans="1:60" x14ac:dyDescent="0.25">
      <c r="A240">
        <v>227</v>
      </c>
      <c r="B240" s="1">
        <v>98.218271980747275</v>
      </c>
      <c r="C240" s="1">
        <v>94.353173132071191</v>
      </c>
      <c r="D240" s="1">
        <v>99.900323214082661</v>
      </c>
      <c r="E240" s="1">
        <v>113.11546114802825</v>
      </c>
      <c r="F240" s="1">
        <v>100</v>
      </c>
      <c r="G240" s="1">
        <v>100</v>
      </c>
      <c r="H240" s="1">
        <v>100.79779325216231</v>
      </c>
      <c r="I240" s="1">
        <v>94.891289313533846</v>
      </c>
      <c r="J240" s="1">
        <v>104.92223413021168</v>
      </c>
      <c r="K240" s="1">
        <v>106.16590636000029</v>
      </c>
      <c r="L240" s="1">
        <v>95.69663892742183</v>
      </c>
      <c r="M240" s="1">
        <v>96.715943522481638</v>
      </c>
      <c r="N240" s="1">
        <v>100</v>
      </c>
      <c r="O240" s="1">
        <v>100</v>
      </c>
      <c r="P240" s="1">
        <v>90.169934884882707</v>
      </c>
      <c r="Q240" s="1">
        <v>100</v>
      </c>
      <c r="R240" s="1">
        <v>98.539127000430625</v>
      </c>
      <c r="S240" s="1">
        <v>95.541238214505867</v>
      </c>
      <c r="T240" s="1">
        <v>106.09502869705604</v>
      </c>
      <c r="U240" s="1">
        <v>99.563140677786066</v>
      </c>
      <c r="V240" s="1">
        <v>99.597777351539676</v>
      </c>
      <c r="W240" s="1">
        <v>100</v>
      </c>
      <c r="X240" s="1">
        <v>98.938308797866256</v>
      </c>
      <c r="Y240" s="1">
        <v>100</v>
      </c>
      <c r="Z240" s="1">
        <v>92.748458137533518</v>
      </c>
      <c r="AA240" s="1">
        <v>98.539127000430625</v>
      </c>
      <c r="AB240" s="1">
        <v>90.745491170070792</v>
      </c>
      <c r="AC240" s="1">
        <v>101.78077976073585</v>
      </c>
      <c r="AD240" s="1">
        <v>113.07002987575412</v>
      </c>
      <c r="AE240" s="1">
        <v>89.124366469803178</v>
      </c>
      <c r="AF240" s="1">
        <v>104.55322036581302</v>
      </c>
      <c r="AG240" s="1">
        <v>100</v>
      </c>
      <c r="AH240" s="1">
        <v>100</v>
      </c>
      <c r="AI240" s="1">
        <v>100</v>
      </c>
      <c r="AJ240" s="1">
        <v>100.97287195506495</v>
      </c>
      <c r="AK240" s="1">
        <v>99.274626307614483</v>
      </c>
      <c r="AL240" s="1">
        <v>104.32142592558637</v>
      </c>
      <c r="AM240" s="1">
        <v>113.04339585282118</v>
      </c>
      <c r="AN240" s="1">
        <v>105.46964960170939</v>
      </c>
      <c r="AO240" s="1">
        <v>95.660873065393389</v>
      </c>
      <c r="AP240" s="1">
        <v>100.34694054453996</v>
      </c>
      <c r="AQ240" s="1">
        <v>99.685506822183797</v>
      </c>
      <c r="AR240" s="1">
        <v>96.25737233890807</v>
      </c>
      <c r="AS240" s="1">
        <v>100.3666242654988</v>
      </c>
      <c r="AT240" s="1">
        <v>103.18377345509278</v>
      </c>
      <c r="AU240" s="1">
        <v>97.733553266554964</v>
      </c>
      <c r="AV240" s="1">
        <v>99.900323214082661</v>
      </c>
      <c r="AW240" s="1">
        <v>100</v>
      </c>
      <c r="AX240" s="1">
        <v>100</v>
      </c>
      <c r="AY240" s="1">
        <v>100</v>
      </c>
      <c r="AZ240" s="1">
        <v>100</v>
      </c>
      <c r="BA240" s="1">
        <v>100</v>
      </c>
      <c r="BB240" s="1">
        <v>100</v>
      </c>
      <c r="BC240" s="1">
        <v>100</v>
      </c>
      <c r="BD240" s="1">
        <v>100</v>
      </c>
      <c r="BE240" s="1">
        <v>100</v>
      </c>
      <c r="BF240" s="1">
        <v>100</v>
      </c>
      <c r="BG240" s="1">
        <v>100</v>
      </c>
      <c r="BH240" s="1">
        <v>100</v>
      </c>
    </row>
    <row r="241" spans="1:60" x14ac:dyDescent="0.25">
      <c r="A241">
        <v>228</v>
      </c>
      <c r="B241" s="1">
        <v>98.218271980747275</v>
      </c>
      <c r="C241" s="1">
        <v>94.353173132071191</v>
      </c>
      <c r="D241" s="1">
        <v>99.900323214082661</v>
      </c>
      <c r="E241" s="1">
        <v>113.11546114802825</v>
      </c>
      <c r="F241" s="1">
        <v>100</v>
      </c>
      <c r="G241" s="1">
        <v>100</v>
      </c>
      <c r="H241" s="1">
        <v>100.79779325216231</v>
      </c>
      <c r="I241" s="1">
        <v>94.891289313533846</v>
      </c>
      <c r="J241" s="1">
        <v>105.4554826676992</v>
      </c>
      <c r="K241" s="1">
        <v>106.16590636000029</v>
      </c>
      <c r="L241" s="1">
        <v>95.69663892742183</v>
      </c>
      <c r="M241" s="1">
        <v>96.715943522481638</v>
      </c>
      <c r="N241" s="1">
        <v>100</v>
      </c>
      <c r="O241" s="1">
        <v>100</v>
      </c>
      <c r="P241" s="1">
        <v>90.169934884882707</v>
      </c>
      <c r="Q241" s="1">
        <v>100</v>
      </c>
      <c r="R241" s="1">
        <v>98.539127000430625</v>
      </c>
      <c r="S241" s="1">
        <v>95.541238214505867</v>
      </c>
      <c r="T241" s="1">
        <v>106.09502869705604</v>
      </c>
      <c r="U241" s="1">
        <v>99.563140677786066</v>
      </c>
      <c r="V241" s="1">
        <v>99.597777351539676</v>
      </c>
      <c r="W241" s="1">
        <v>100</v>
      </c>
      <c r="X241" s="1">
        <v>98.938308797866256</v>
      </c>
      <c r="Y241" s="1">
        <v>100</v>
      </c>
      <c r="Z241" s="1">
        <v>92.748458137533518</v>
      </c>
      <c r="AA241" s="1">
        <v>98.539127000430625</v>
      </c>
      <c r="AB241" s="1">
        <v>90.745491170070792</v>
      </c>
      <c r="AC241" s="1">
        <v>101.78077976073585</v>
      </c>
      <c r="AD241" s="1">
        <v>113.07002987575412</v>
      </c>
      <c r="AE241" s="1">
        <v>89.124366469803178</v>
      </c>
      <c r="AF241" s="1">
        <v>104.55322036581302</v>
      </c>
      <c r="AG241" s="1">
        <v>100</v>
      </c>
      <c r="AH241" s="1">
        <v>100</v>
      </c>
      <c r="AI241" s="1">
        <v>100</v>
      </c>
      <c r="AJ241" s="1">
        <v>100.97287195506495</v>
      </c>
      <c r="AK241" s="1">
        <v>99.274626307614483</v>
      </c>
      <c r="AL241" s="1">
        <v>104.32142592558637</v>
      </c>
      <c r="AM241" s="1">
        <v>112.45304524613479</v>
      </c>
      <c r="AN241" s="1">
        <v>105.46964960170939</v>
      </c>
      <c r="AO241" s="1">
        <v>95.660873065393389</v>
      </c>
      <c r="AP241" s="1">
        <v>100.34694054453996</v>
      </c>
      <c r="AQ241" s="1">
        <v>99.685506822183797</v>
      </c>
      <c r="AR241" s="1">
        <v>96.83862265293979</v>
      </c>
      <c r="AS241" s="1">
        <v>99.842476020665941</v>
      </c>
      <c r="AT241" s="1">
        <v>103.18377345509278</v>
      </c>
      <c r="AU241" s="1">
        <v>97.733553266554964</v>
      </c>
      <c r="AV241" s="1">
        <v>99.900323214082661</v>
      </c>
      <c r="AW241" s="1">
        <v>100</v>
      </c>
      <c r="AX241" s="1">
        <v>100</v>
      </c>
      <c r="AY241" s="1">
        <v>100</v>
      </c>
      <c r="AZ241" s="1">
        <v>100</v>
      </c>
      <c r="BA241" s="1">
        <v>100</v>
      </c>
      <c r="BB241" s="1">
        <v>100</v>
      </c>
      <c r="BC241" s="1">
        <v>100</v>
      </c>
      <c r="BD241" s="1">
        <v>100</v>
      </c>
      <c r="BE241" s="1">
        <v>100</v>
      </c>
      <c r="BF241" s="1">
        <v>100</v>
      </c>
      <c r="BG241" s="1">
        <v>100</v>
      </c>
      <c r="BH241" s="1">
        <v>100</v>
      </c>
    </row>
    <row r="242" spans="1:60" x14ac:dyDescent="0.25">
      <c r="A242">
        <v>229</v>
      </c>
      <c r="B242" s="1">
        <v>98.218271980747275</v>
      </c>
      <c r="C242" s="1">
        <v>94.353173132071191</v>
      </c>
      <c r="D242" s="1">
        <v>99.900323214082661</v>
      </c>
      <c r="E242" s="1">
        <v>113.11546114802825</v>
      </c>
      <c r="F242" s="1">
        <v>100</v>
      </c>
      <c r="G242" s="1">
        <v>100</v>
      </c>
      <c r="H242" s="1">
        <v>100.79779325216231</v>
      </c>
      <c r="I242" s="1">
        <v>94.891289313533846</v>
      </c>
      <c r="J242" s="1">
        <v>106.26521829857197</v>
      </c>
      <c r="K242" s="1">
        <v>106.16590636000029</v>
      </c>
      <c r="L242" s="1">
        <v>95.69663892742183</v>
      </c>
      <c r="M242" s="1">
        <v>96.715943522481638</v>
      </c>
      <c r="N242" s="1">
        <v>100</v>
      </c>
      <c r="O242" s="1">
        <v>100</v>
      </c>
      <c r="P242" s="1">
        <v>90.169934884882707</v>
      </c>
      <c r="Q242" s="1">
        <v>100</v>
      </c>
      <c r="R242" s="1">
        <v>98.539127000430625</v>
      </c>
      <c r="S242" s="1">
        <v>95.541238214505867</v>
      </c>
      <c r="T242" s="1">
        <v>106.09502869705604</v>
      </c>
      <c r="U242" s="1">
        <v>99.563140677786066</v>
      </c>
      <c r="V242" s="1">
        <v>99.597777351539676</v>
      </c>
      <c r="W242" s="1">
        <v>100</v>
      </c>
      <c r="X242" s="1">
        <v>98.938308797866256</v>
      </c>
      <c r="Y242" s="1">
        <v>100</v>
      </c>
      <c r="Z242" s="1">
        <v>92.748458137533518</v>
      </c>
      <c r="AA242" s="1">
        <v>98.539127000430625</v>
      </c>
      <c r="AB242" s="1">
        <v>90.745491170070792</v>
      </c>
      <c r="AC242" s="1">
        <v>101.78077976073585</v>
      </c>
      <c r="AD242" s="1">
        <v>113.07002987575412</v>
      </c>
      <c r="AE242" s="1">
        <v>89.124366469803178</v>
      </c>
      <c r="AF242" s="1">
        <v>104.55322036581302</v>
      </c>
      <c r="AG242" s="1">
        <v>100</v>
      </c>
      <c r="AH242" s="1">
        <v>100</v>
      </c>
      <c r="AI242" s="1">
        <v>100</v>
      </c>
      <c r="AJ242" s="1">
        <v>100.97287195506495</v>
      </c>
      <c r="AK242" s="1">
        <v>99.274626307614483</v>
      </c>
      <c r="AL242" s="1">
        <v>104.32142592558637</v>
      </c>
      <c r="AM242" s="1">
        <v>111.55704472389471</v>
      </c>
      <c r="AN242" s="1">
        <v>105.46964960170939</v>
      </c>
      <c r="AO242" s="1">
        <v>95.660873065393389</v>
      </c>
      <c r="AP242" s="1">
        <v>100.34694054453996</v>
      </c>
      <c r="AQ242" s="1">
        <v>99.685506822183797</v>
      </c>
      <c r="AR242" s="1">
        <v>97.720409892861156</v>
      </c>
      <c r="AS242" s="1">
        <v>99.046953672111897</v>
      </c>
      <c r="AT242" s="1">
        <v>103.18377345509278</v>
      </c>
      <c r="AU242" s="1">
        <v>97.733553266554964</v>
      </c>
      <c r="AV242" s="1">
        <v>99.900323214082661</v>
      </c>
      <c r="AW242" s="1">
        <v>100</v>
      </c>
      <c r="AX242" s="1">
        <v>100</v>
      </c>
      <c r="AY242" s="1">
        <v>100</v>
      </c>
      <c r="AZ242" s="1">
        <v>100</v>
      </c>
      <c r="BA242" s="1">
        <v>100</v>
      </c>
      <c r="BB242" s="1">
        <v>100</v>
      </c>
      <c r="BC242" s="1">
        <v>100</v>
      </c>
      <c r="BD242" s="1">
        <v>100</v>
      </c>
      <c r="BE242" s="1">
        <v>100</v>
      </c>
      <c r="BF242" s="1">
        <v>100</v>
      </c>
      <c r="BG242" s="1">
        <v>100</v>
      </c>
      <c r="BH242" s="1">
        <v>100</v>
      </c>
    </row>
    <row r="243" spans="1:60" x14ac:dyDescent="0.25">
      <c r="A243">
        <v>230</v>
      </c>
      <c r="B243" s="1">
        <v>98.218271980747275</v>
      </c>
      <c r="C243" s="1">
        <v>94.353173132071191</v>
      </c>
      <c r="D243" s="1">
        <v>99.900323214082661</v>
      </c>
      <c r="E243" s="1">
        <v>113.11546114802825</v>
      </c>
      <c r="F243" s="1">
        <v>100</v>
      </c>
      <c r="G243" s="1">
        <v>100</v>
      </c>
      <c r="H243" s="1">
        <v>100.79779325216231</v>
      </c>
      <c r="I243" s="1">
        <v>94.891289313533846</v>
      </c>
      <c r="J243" s="1">
        <v>106.26521829857197</v>
      </c>
      <c r="K243" s="1">
        <v>106.16590636000029</v>
      </c>
      <c r="L243" s="1">
        <v>95.69663892742183</v>
      </c>
      <c r="M243" s="1">
        <v>96.715943522481638</v>
      </c>
      <c r="N243" s="1">
        <v>100</v>
      </c>
      <c r="O243" s="1">
        <v>100</v>
      </c>
      <c r="P243" s="1">
        <v>90.405695791488043</v>
      </c>
      <c r="Q243" s="1">
        <v>100</v>
      </c>
      <c r="R243" s="1">
        <v>98.539127000430625</v>
      </c>
      <c r="S243" s="1">
        <v>95.541238214505867</v>
      </c>
      <c r="T243" s="1">
        <v>106.09502869705604</v>
      </c>
      <c r="U243" s="1">
        <v>99.563140677786066</v>
      </c>
      <c r="V243" s="1">
        <v>99.597777351539676</v>
      </c>
      <c r="W243" s="1">
        <v>100</v>
      </c>
      <c r="X243" s="1">
        <v>98.938308797866256</v>
      </c>
      <c r="Y243" s="1">
        <v>100</v>
      </c>
      <c r="Z243" s="1">
        <v>92.748458137533518</v>
      </c>
      <c r="AA243" s="1">
        <v>98.539127000430625</v>
      </c>
      <c r="AB243" s="1">
        <v>90.535585549993058</v>
      </c>
      <c r="AC243" s="1">
        <v>101.78077976073585</v>
      </c>
      <c r="AD243" s="1">
        <v>113.07002987575412</v>
      </c>
      <c r="AE243" s="1">
        <v>89.124366469803178</v>
      </c>
      <c r="AF243" s="1">
        <v>104.55322036581302</v>
      </c>
      <c r="AG243" s="1">
        <v>100</v>
      </c>
      <c r="AH243" s="1">
        <v>100</v>
      </c>
      <c r="AI243" s="1">
        <v>100</v>
      </c>
      <c r="AJ243" s="1">
        <v>100.97287195506495</v>
      </c>
      <c r="AK243" s="1">
        <v>99.044991735974662</v>
      </c>
      <c r="AL243" s="1">
        <v>104.52520521069859</v>
      </c>
      <c r="AM243" s="1">
        <v>111.55704472389471</v>
      </c>
      <c r="AN243" s="1">
        <v>105.46964960170939</v>
      </c>
      <c r="AO243" s="1">
        <v>95.660873065393389</v>
      </c>
      <c r="AP243" s="1">
        <v>100.34694054453996</v>
      </c>
      <c r="AQ243" s="1">
        <v>99.685506822183797</v>
      </c>
      <c r="AR243" s="1">
        <v>97.720409892861156</v>
      </c>
      <c r="AS243" s="1">
        <v>99.046953672111897</v>
      </c>
      <c r="AT243" s="1">
        <v>103.18377345509278</v>
      </c>
      <c r="AU243" s="1">
        <v>97.733553266554964</v>
      </c>
      <c r="AV243" s="1">
        <v>99.900323214082661</v>
      </c>
      <c r="AW243" s="1">
        <v>100</v>
      </c>
      <c r="AX243" s="1">
        <v>100</v>
      </c>
      <c r="AY243" s="1">
        <v>100</v>
      </c>
      <c r="AZ243" s="1">
        <v>100</v>
      </c>
      <c r="BA243" s="1">
        <v>100</v>
      </c>
      <c r="BB243" s="1">
        <v>100</v>
      </c>
      <c r="BC243" s="1">
        <v>100</v>
      </c>
      <c r="BD243" s="1">
        <v>100</v>
      </c>
      <c r="BE243" s="1">
        <v>100</v>
      </c>
      <c r="BF243" s="1">
        <v>100</v>
      </c>
      <c r="BG243" s="1">
        <v>100</v>
      </c>
      <c r="BH243" s="1">
        <v>100</v>
      </c>
    </row>
    <row r="244" spans="1:60" x14ac:dyDescent="0.25">
      <c r="A244">
        <v>231</v>
      </c>
      <c r="B244" s="1">
        <v>98.218271980747275</v>
      </c>
      <c r="C244" s="1">
        <v>94.353173132071191</v>
      </c>
      <c r="D244" s="1">
        <v>99.900323214082661</v>
      </c>
      <c r="E244" s="1">
        <v>113.11546114802825</v>
      </c>
      <c r="F244" s="1">
        <v>100</v>
      </c>
      <c r="G244" s="1">
        <v>100</v>
      </c>
      <c r="H244" s="1">
        <v>100.79779325216231</v>
      </c>
      <c r="I244" s="1">
        <v>94.891289313533846</v>
      </c>
      <c r="J244" s="1">
        <v>106.26521829857197</v>
      </c>
      <c r="K244" s="1">
        <v>106.16590636000029</v>
      </c>
      <c r="L244" s="1">
        <v>95.69663892742183</v>
      </c>
      <c r="M244" s="1">
        <v>96.715943522481638</v>
      </c>
      <c r="N244" s="1">
        <v>100</v>
      </c>
      <c r="O244" s="1">
        <v>100</v>
      </c>
      <c r="P244" s="1">
        <v>91.250032636284587</v>
      </c>
      <c r="Q244" s="1">
        <v>100</v>
      </c>
      <c r="R244" s="1">
        <v>98.539127000430625</v>
      </c>
      <c r="S244" s="1">
        <v>95.541238214505867</v>
      </c>
      <c r="T244" s="1">
        <v>106.09502869705604</v>
      </c>
      <c r="U244" s="1">
        <v>99.563140677786066</v>
      </c>
      <c r="V244" s="1">
        <v>99.597777351539676</v>
      </c>
      <c r="W244" s="1">
        <v>100</v>
      </c>
      <c r="X244" s="1">
        <v>98.938308797866256</v>
      </c>
      <c r="Y244" s="1">
        <v>100</v>
      </c>
      <c r="Z244" s="1">
        <v>92.748458137533518</v>
      </c>
      <c r="AA244" s="1">
        <v>98.539127000430625</v>
      </c>
      <c r="AB244" s="1">
        <v>89.783614924440201</v>
      </c>
      <c r="AC244" s="1">
        <v>101.78077976073585</v>
      </c>
      <c r="AD244" s="1">
        <v>113.07002987575412</v>
      </c>
      <c r="AE244" s="1">
        <v>89.124366469803178</v>
      </c>
      <c r="AF244" s="1">
        <v>104.55322036581302</v>
      </c>
      <c r="AG244" s="1">
        <v>100</v>
      </c>
      <c r="AH244" s="1">
        <v>100</v>
      </c>
      <c r="AI244" s="1">
        <v>100</v>
      </c>
      <c r="AJ244" s="1">
        <v>100.97287195506495</v>
      </c>
      <c r="AK244" s="1">
        <v>98.222343669569312</v>
      </c>
      <c r="AL244" s="1">
        <v>105.25548705786025</v>
      </c>
      <c r="AM244" s="1">
        <v>111.55704472389471</v>
      </c>
      <c r="AN244" s="1">
        <v>105.46964960170939</v>
      </c>
      <c r="AO244" s="1">
        <v>95.660873065393389</v>
      </c>
      <c r="AP244" s="1">
        <v>100.34694054453996</v>
      </c>
      <c r="AQ244" s="1">
        <v>99.685506822183797</v>
      </c>
      <c r="AR244" s="1">
        <v>97.720409892861156</v>
      </c>
      <c r="AS244" s="1">
        <v>99.046953672111897</v>
      </c>
      <c r="AT244" s="1">
        <v>103.18377345509278</v>
      </c>
      <c r="AU244" s="1">
        <v>97.733553266554964</v>
      </c>
      <c r="AV244" s="1">
        <v>99.900323214082661</v>
      </c>
      <c r="AW244" s="1">
        <v>100</v>
      </c>
      <c r="AX244" s="1">
        <v>100</v>
      </c>
      <c r="AY244" s="1">
        <v>100</v>
      </c>
      <c r="AZ244" s="1">
        <v>100</v>
      </c>
      <c r="BA244" s="1">
        <v>100</v>
      </c>
      <c r="BB244" s="1">
        <v>100</v>
      </c>
      <c r="BC244" s="1">
        <v>100</v>
      </c>
      <c r="BD244" s="1">
        <v>100</v>
      </c>
      <c r="BE244" s="1">
        <v>100</v>
      </c>
      <c r="BF244" s="1">
        <v>100</v>
      </c>
      <c r="BG244" s="1">
        <v>100</v>
      </c>
      <c r="BH244" s="1">
        <v>100</v>
      </c>
    </row>
    <row r="245" spans="1:60" x14ac:dyDescent="0.25">
      <c r="A245">
        <v>232</v>
      </c>
      <c r="B245" s="1">
        <v>98.218271980747275</v>
      </c>
      <c r="C245" s="1">
        <v>94.353173132071191</v>
      </c>
      <c r="D245" s="1">
        <v>99.900323214082661</v>
      </c>
      <c r="E245" s="1">
        <v>113.75824413816659</v>
      </c>
      <c r="F245" s="1">
        <v>100</v>
      </c>
      <c r="G245" s="1">
        <v>100</v>
      </c>
      <c r="H245" s="1">
        <v>100.79779325216231</v>
      </c>
      <c r="I245" s="1">
        <v>94.891289313533846</v>
      </c>
      <c r="J245" s="1">
        <v>106.26521829857197</v>
      </c>
      <c r="K245" s="1">
        <v>106.16590636000029</v>
      </c>
      <c r="L245" s="1">
        <v>95.69663892742183</v>
      </c>
      <c r="M245" s="1">
        <v>96.715943522481638</v>
      </c>
      <c r="N245" s="1">
        <v>100</v>
      </c>
      <c r="O245" s="1">
        <v>100</v>
      </c>
      <c r="P245" s="1">
        <v>92.046839960588983</v>
      </c>
      <c r="Q245" s="1">
        <v>100</v>
      </c>
      <c r="R245" s="1">
        <v>98.539127000430625</v>
      </c>
      <c r="S245" s="1">
        <v>95.541238214505867</v>
      </c>
      <c r="T245" s="1">
        <v>106.09502869705604</v>
      </c>
      <c r="U245" s="1">
        <v>99.563140677786066</v>
      </c>
      <c r="V245" s="1">
        <v>98.872977493591961</v>
      </c>
      <c r="W245" s="1">
        <v>100</v>
      </c>
      <c r="X245" s="1">
        <v>98.938308797866256</v>
      </c>
      <c r="Y245" s="1">
        <v>100</v>
      </c>
      <c r="Z245" s="1">
        <v>92.748458137533518</v>
      </c>
      <c r="AA245" s="1">
        <v>98.539127000430625</v>
      </c>
      <c r="AB245" s="1">
        <v>89.783614924440201</v>
      </c>
      <c r="AC245" s="1">
        <v>101.78077976073585</v>
      </c>
      <c r="AD245" s="1">
        <v>113.07002987575412</v>
      </c>
      <c r="AE245" s="1">
        <v>89.124366469803178</v>
      </c>
      <c r="AF245" s="1">
        <v>104.55322036581302</v>
      </c>
      <c r="AG245" s="1">
        <v>100</v>
      </c>
      <c r="AH245" s="1">
        <v>100</v>
      </c>
      <c r="AI245" s="1">
        <v>100</v>
      </c>
      <c r="AJ245" s="1">
        <v>100.97287195506495</v>
      </c>
      <c r="AK245" s="1">
        <v>97.507553213074303</v>
      </c>
      <c r="AL245" s="1">
        <v>105.25548705786025</v>
      </c>
      <c r="AM245" s="1">
        <v>111.55704472389471</v>
      </c>
      <c r="AN245" s="1">
        <v>105.46964960170939</v>
      </c>
      <c r="AO245" s="1">
        <v>95.660873065393389</v>
      </c>
      <c r="AP245" s="1">
        <v>100.34694054453996</v>
      </c>
      <c r="AQ245" s="1">
        <v>99.685506822183797</v>
      </c>
      <c r="AR245" s="1">
        <v>97.720409892861156</v>
      </c>
      <c r="AS245" s="1">
        <v>99.046953672111897</v>
      </c>
      <c r="AT245" s="1">
        <v>103.18377345509278</v>
      </c>
      <c r="AU245" s="1">
        <v>97.733553266554964</v>
      </c>
      <c r="AV245" s="1">
        <v>99.900323214082661</v>
      </c>
      <c r="AW245" s="1">
        <v>100</v>
      </c>
      <c r="AX245" s="1">
        <v>100</v>
      </c>
      <c r="AY245" s="1">
        <v>100</v>
      </c>
      <c r="AZ245" s="1">
        <v>100</v>
      </c>
      <c r="BA245" s="1">
        <v>100</v>
      </c>
      <c r="BB245" s="1">
        <v>100</v>
      </c>
      <c r="BC245" s="1">
        <v>100</v>
      </c>
      <c r="BD245" s="1">
        <v>100</v>
      </c>
      <c r="BE245" s="1">
        <v>100</v>
      </c>
      <c r="BF245" s="1">
        <v>100</v>
      </c>
      <c r="BG245" s="1">
        <v>100</v>
      </c>
      <c r="BH245" s="1">
        <v>100</v>
      </c>
    </row>
    <row r="246" spans="1:60" x14ac:dyDescent="0.25">
      <c r="A246">
        <v>233</v>
      </c>
      <c r="B246" s="1">
        <v>98.218271980747275</v>
      </c>
      <c r="C246" s="1">
        <v>94.353173132071191</v>
      </c>
      <c r="D246" s="1">
        <v>99.900323214082661</v>
      </c>
      <c r="E246" s="1">
        <v>114.67586130358623</v>
      </c>
      <c r="F246" s="1">
        <v>100</v>
      </c>
      <c r="G246" s="1">
        <v>100</v>
      </c>
      <c r="H246" s="1">
        <v>100.79779325216231</v>
      </c>
      <c r="I246" s="1">
        <v>94.891289313533846</v>
      </c>
      <c r="J246" s="1">
        <v>106.26521829857197</v>
      </c>
      <c r="K246" s="1">
        <v>106.16590636000029</v>
      </c>
      <c r="L246" s="1">
        <v>95.69663892742183</v>
      </c>
      <c r="M246" s="1">
        <v>96.715943522481638</v>
      </c>
      <c r="N246" s="1">
        <v>100</v>
      </c>
      <c r="O246" s="1">
        <v>100</v>
      </c>
      <c r="P246" s="1">
        <v>93.180898637387386</v>
      </c>
      <c r="Q246" s="1">
        <v>100</v>
      </c>
      <c r="R246" s="1">
        <v>98.539127000430625</v>
      </c>
      <c r="S246" s="1">
        <v>95.541238214505867</v>
      </c>
      <c r="T246" s="1">
        <v>106.09502869705604</v>
      </c>
      <c r="U246" s="1">
        <v>99.563140677786066</v>
      </c>
      <c r="V246" s="1">
        <v>97.840006971301349</v>
      </c>
      <c r="W246" s="1">
        <v>100</v>
      </c>
      <c r="X246" s="1">
        <v>98.938308797866256</v>
      </c>
      <c r="Y246" s="1">
        <v>100</v>
      </c>
      <c r="Z246" s="1">
        <v>92.748458137533518</v>
      </c>
      <c r="AA246" s="1">
        <v>98.539127000430625</v>
      </c>
      <c r="AB246" s="1">
        <v>89.783614924440201</v>
      </c>
      <c r="AC246" s="1">
        <v>101.78077976073585</v>
      </c>
      <c r="AD246" s="1">
        <v>113.07002987575412</v>
      </c>
      <c r="AE246" s="1">
        <v>89.124366469803178</v>
      </c>
      <c r="AF246" s="1">
        <v>104.55322036581302</v>
      </c>
      <c r="AG246" s="1">
        <v>100</v>
      </c>
      <c r="AH246" s="1">
        <v>100</v>
      </c>
      <c r="AI246" s="1">
        <v>100</v>
      </c>
      <c r="AJ246" s="1">
        <v>100.97287195506495</v>
      </c>
      <c r="AK246" s="1">
        <v>96.488847893146854</v>
      </c>
      <c r="AL246" s="1">
        <v>105.25548705786025</v>
      </c>
      <c r="AM246" s="1">
        <v>111.55704472389471</v>
      </c>
      <c r="AN246" s="1">
        <v>105.46964960170939</v>
      </c>
      <c r="AO246" s="1">
        <v>95.660873065393389</v>
      </c>
      <c r="AP246" s="1">
        <v>100.34694054453996</v>
      </c>
      <c r="AQ246" s="1">
        <v>99.685506822183797</v>
      </c>
      <c r="AR246" s="1">
        <v>97.720409892861156</v>
      </c>
      <c r="AS246" s="1">
        <v>99.046953672111897</v>
      </c>
      <c r="AT246" s="1">
        <v>103.18377345509278</v>
      </c>
      <c r="AU246" s="1">
        <v>97.733553266554964</v>
      </c>
      <c r="AV246" s="1">
        <v>99.900323214082661</v>
      </c>
      <c r="AW246" s="1">
        <v>100</v>
      </c>
      <c r="AX246" s="1">
        <v>100</v>
      </c>
      <c r="AY246" s="1">
        <v>100</v>
      </c>
      <c r="AZ246" s="1">
        <v>100</v>
      </c>
      <c r="BA246" s="1">
        <v>100</v>
      </c>
      <c r="BB246" s="1">
        <v>100</v>
      </c>
      <c r="BC246" s="1">
        <v>100</v>
      </c>
      <c r="BD246" s="1">
        <v>100</v>
      </c>
      <c r="BE246" s="1">
        <v>100</v>
      </c>
      <c r="BF246" s="1">
        <v>100</v>
      </c>
      <c r="BG246" s="1">
        <v>100</v>
      </c>
      <c r="BH246" s="1">
        <v>100</v>
      </c>
    </row>
    <row r="247" spans="1:60" x14ac:dyDescent="0.25">
      <c r="A247">
        <v>234</v>
      </c>
      <c r="B247" s="1">
        <v>98.218271980747275</v>
      </c>
      <c r="C247" s="1">
        <v>94.353173132071191</v>
      </c>
      <c r="D247" s="1">
        <v>99.900323214082661</v>
      </c>
      <c r="E247" s="1">
        <v>114.67586130358623</v>
      </c>
      <c r="F247" s="1">
        <v>100</v>
      </c>
      <c r="G247" s="1">
        <v>100</v>
      </c>
      <c r="H247" s="1">
        <v>100.79779325216231</v>
      </c>
      <c r="I247" s="1">
        <v>94.311805133977217</v>
      </c>
      <c r="J247" s="1">
        <v>106.26521829857197</v>
      </c>
      <c r="K247" s="1">
        <v>106.16590636000029</v>
      </c>
      <c r="L247" s="1">
        <v>95.69663892742183</v>
      </c>
      <c r="M247" s="1">
        <v>96.715943522481638</v>
      </c>
      <c r="N247" s="1">
        <v>100</v>
      </c>
      <c r="O247" s="1">
        <v>100</v>
      </c>
      <c r="P247" s="1">
        <v>93.180898637387386</v>
      </c>
      <c r="Q247" s="1">
        <v>100</v>
      </c>
      <c r="R247" s="1">
        <v>98.539127000430625</v>
      </c>
      <c r="S247" s="1">
        <v>95.541238214505867</v>
      </c>
      <c r="T247" s="1">
        <v>106.09502869705604</v>
      </c>
      <c r="U247" s="1">
        <v>99.563140677786066</v>
      </c>
      <c r="V247" s="1">
        <v>97.840006971301349</v>
      </c>
      <c r="W247" s="1">
        <v>100</v>
      </c>
      <c r="X247" s="1">
        <v>98.938308797866256</v>
      </c>
      <c r="Y247" s="1">
        <v>100</v>
      </c>
      <c r="Z247" s="1">
        <v>92.748458137533518</v>
      </c>
      <c r="AA247" s="1">
        <v>98.539127000430625</v>
      </c>
      <c r="AB247" s="1">
        <v>89.783614924440201</v>
      </c>
      <c r="AC247" s="1">
        <v>101.78077976073585</v>
      </c>
      <c r="AD247" s="1">
        <v>113.07002987575412</v>
      </c>
      <c r="AE247" s="1">
        <v>89.124366469803178</v>
      </c>
      <c r="AF247" s="1">
        <v>104.55322036581302</v>
      </c>
      <c r="AG247" s="1">
        <v>100</v>
      </c>
      <c r="AH247" s="1">
        <v>100</v>
      </c>
      <c r="AI247" s="1">
        <v>100</v>
      </c>
      <c r="AJ247" s="1">
        <v>100.97287195506495</v>
      </c>
      <c r="AK247" s="1">
        <v>95.899607708276164</v>
      </c>
      <c r="AL247" s="1">
        <v>105.25548705786025</v>
      </c>
      <c r="AM247" s="1">
        <v>112.10277108583253</v>
      </c>
      <c r="AN247" s="1">
        <v>105.46964960170939</v>
      </c>
      <c r="AO247" s="1">
        <v>95.660873065393389</v>
      </c>
      <c r="AP247" s="1">
        <v>100.34694054453996</v>
      </c>
      <c r="AQ247" s="1">
        <v>99.685506822183797</v>
      </c>
      <c r="AR247" s="1">
        <v>98.343407895350651</v>
      </c>
      <c r="AS247" s="1">
        <v>99.046953672111897</v>
      </c>
      <c r="AT247" s="1">
        <v>103.18377345509278</v>
      </c>
      <c r="AU247" s="1">
        <v>97.733553266554964</v>
      </c>
      <c r="AV247" s="1">
        <v>99.900323214082661</v>
      </c>
      <c r="AW247" s="1">
        <v>100</v>
      </c>
      <c r="AX247" s="1">
        <v>100</v>
      </c>
      <c r="AY247" s="1">
        <v>100</v>
      </c>
      <c r="AZ247" s="1">
        <v>100</v>
      </c>
      <c r="BA247" s="1">
        <v>100</v>
      </c>
      <c r="BB247" s="1">
        <v>100</v>
      </c>
      <c r="BC247" s="1">
        <v>100</v>
      </c>
      <c r="BD247" s="1">
        <v>100</v>
      </c>
      <c r="BE247" s="1">
        <v>100</v>
      </c>
      <c r="BF247" s="1">
        <v>100</v>
      </c>
      <c r="BG247" s="1">
        <v>100</v>
      </c>
      <c r="BH247" s="1">
        <v>100</v>
      </c>
    </row>
    <row r="248" spans="1:60" x14ac:dyDescent="0.25">
      <c r="A248">
        <v>235</v>
      </c>
      <c r="B248" s="1">
        <v>98.218271980747275</v>
      </c>
      <c r="C248" s="1">
        <v>94.353173132071191</v>
      </c>
      <c r="D248" s="1">
        <v>99.900323214082661</v>
      </c>
      <c r="E248" s="1">
        <v>114.67586130358623</v>
      </c>
      <c r="F248" s="1">
        <v>100</v>
      </c>
      <c r="G248" s="1">
        <v>100</v>
      </c>
      <c r="H248" s="1">
        <v>100.79779325216231</v>
      </c>
      <c r="I248" s="1">
        <v>92.494351810856728</v>
      </c>
      <c r="J248" s="1">
        <v>106.26521829857197</v>
      </c>
      <c r="K248" s="1">
        <v>106.16590636000029</v>
      </c>
      <c r="L248" s="1">
        <v>95.69663892742183</v>
      </c>
      <c r="M248" s="1">
        <v>96.715943522481638</v>
      </c>
      <c r="N248" s="1">
        <v>100</v>
      </c>
      <c r="O248" s="1">
        <v>100</v>
      </c>
      <c r="P248" s="1">
        <v>93.180898637387386</v>
      </c>
      <c r="Q248" s="1">
        <v>100</v>
      </c>
      <c r="R248" s="1">
        <v>98.539127000430625</v>
      </c>
      <c r="S248" s="1">
        <v>95.541238214505867</v>
      </c>
      <c r="T248" s="1">
        <v>106.09502869705604</v>
      </c>
      <c r="U248" s="1">
        <v>99.563140677786066</v>
      </c>
      <c r="V248" s="1">
        <v>97.840006971301349</v>
      </c>
      <c r="W248" s="1">
        <v>100</v>
      </c>
      <c r="X248" s="1">
        <v>98.938308797866256</v>
      </c>
      <c r="Y248" s="1">
        <v>100</v>
      </c>
      <c r="Z248" s="1">
        <v>92.748458137533518</v>
      </c>
      <c r="AA248" s="1">
        <v>98.539127000430625</v>
      </c>
      <c r="AB248" s="1">
        <v>89.783614924440201</v>
      </c>
      <c r="AC248" s="1">
        <v>101.78077976073585</v>
      </c>
      <c r="AD248" s="1">
        <v>113.07002987575412</v>
      </c>
      <c r="AE248" s="1">
        <v>89.124366469803178</v>
      </c>
      <c r="AF248" s="1">
        <v>104.55322036581302</v>
      </c>
      <c r="AG248" s="1">
        <v>100</v>
      </c>
      <c r="AH248" s="1">
        <v>100</v>
      </c>
      <c r="AI248" s="1">
        <v>100</v>
      </c>
      <c r="AJ248" s="1">
        <v>100.97287195506495</v>
      </c>
      <c r="AK248" s="1">
        <v>94.051556337954494</v>
      </c>
      <c r="AL248" s="1">
        <v>105.25548705786025</v>
      </c>
      <c r="AM248" s="1">
        <v>113.81569467016492</v>
      </c>
      <c r="AN248" s="1">
        <v>105.46964960170939</v>
      </c>
      <c r="AO248" s="1">
        <v>95.660873065393389</v>
      </c>
      <c r="AP248" s="1">
        <v>100.34694054453996</v>
      </c>
      <c r="AQ248" s="1">
        <v>99.685506822183797</v>
      </c>
      <c r="AR248" s="1">
        <v>100.29598900446041</v>
      </c>
      <c r="AS248" s="1">
        <v>99.046953672111897</v>
      </c>
      <c r="AT248" s="1">
        <v>103.18377345509278</v>
      </c>
      <c r="AU248" s="1">
        <v>97.733553266554964</v>
      </c>
      <c r="AV248" s="1">
        <v>99.900323214082661</v>
      </c>
      <c r="AW248" s="1">
        <v>100</v>
      </c>
      <c r="AX248" s="1">
        <v>100</v>
      </c>
      <c r="AY248" s="1">
        <v>100</v>
      </c>
      <c r="AZ248" s="1">
        <v>100</v>
      </c>
      <c r="BA248" s="1">
        <v>100</v>
      </c>
      <c r="BB248" s="1">
        <v>100</v>
      </c>
      <c r="BC248" s="1">
        <v>100</v>
      </c>
      <c r="BD248" s="1">
        <v>100</v>
      </c>
      <c r="BE248" s="1">
        <v>100</v>
      </c>
      <c r="BF248" s="1">
        <v>100</v>
      </c>
      <c r="BG248" s="1">
        <v>100</v>
      </c>
      <c r="BH248" s="1">
        <v>100</v>
      </c>
    </row>
    <row r="249" spans="1:60" x14ac:dyDescent="0.25">
      <c r="A249">
        <v>236</v>
      </c>
      <c r="B249" s="1">
        <v>98.218271980747275</v>
      </c>
      <c r="C249" s="1">
        <v>94.353173132071191</v>
      </c>
      <c r="D249" s="1">
        <v>99.900323214082661</v>
      </c>
      <c r="E249" s="1">
        <v>114.67586130358623</v>
      </c>
      <c r="F249" s="1">
        <v>100</v>
      </c>
      <c r="G249" s="1">
        <v>100</v>
      </c>
      <c r="H249" s="1">
        <v>100.79779325216231</v>
      </c>
      <c r="I249" s="1">
        <v>92.854749416233716</v>
      </c>
      <c r="J249" s="1">
        <v>106.26521829857197</v>
      </c>
      <c r="K249" s="1">
        <v>106.16590636000029</v>
      </c>
      <c r="L249" s="1">
        <v>95.69663892742183</v>
      </c>
      <c r="M249" s="1">
        <v>96.715943522481638</v>
      </c>
      <c r="N249" s="1">
        <v>100</v>
      </c>
      <c r="O249" s="1">
        <v>100</v>
      </c>
      <c r="P249" s="1">
        <v>93.180898637387386</v>
      </c>
      <c r="Q249" s="1">
        <v>100</v>
      </c>
      <c r="R249" s="1">
        <v>98.539127000430625</v>
      </c>
      <c r="S249" s="1">
        <v>95.890142452366874</v>
      </c>
      <c r="T249" s="1">
        <v>106.09502869705604</v>
      </c>
      <c r="U249" s="1">
        <v>99.563140677786066</v>
      </c>
      <c r="V249" s="1">
        <v>97.840006971301349</v>
      </c>
      <c r="W249" s="1">
        <v>100</v>
      </c>
      <c r="X249" s="1">
        <v>98.938308797866256</v>
      </c>
      <c r="Y249" s="1">
        <v>100</v>
      </c>
      <c r="Z249" s="1">
        <v>92.748458137533518</v>
      </c>
      <c r="AA249" s="1">
        <v>98.539127000430625</v>
      </c>
      <c r="AB249" s="1">
        <v>89.783614924440201</v>
      </c>
      <c r="AC249" s="1">
        <v>101.78077976073585</v>
      </c>
      <c r="AD249" s="1">
        <v>113.07002987575412</v>
      </c>
      <c r="AE249" s="1">
        <v>89.124366469803178</v>
      </c>
      <c r="AF249" s="1">
        <v>104.55322036581302</v>
      </c>
      <c r="AG249" s="1">
        <v>100</v>
      </c>
      <c r="AH249" s="1">
        <v>100</v>
      </c>
      <c r="AI249" s="1">
        <v>100</v>
      </c>
      <c r="AJ249" s="1">
        <v>100.97287195506495</v>
      </c>
      <c r="AK249" s="1">
        <v>93.716841913751097</v>
      </c>
      <c r="AL249" s="1">
        <v>104.88089963882567</v>
      </c>
      <c r="AM249" s="1">
        <v>113.81569467016492</v>
      </c>
      <c r="AN249" s="1">
        <v>105.46964960170939</v>
      </c>
      <c r="AO249" s="1">
        <v>95.660873065393389</v>
      </c>
      <c r="AP249" s="1">
        <v>100.34694054453996</v>
      </c>
      <c r="AQ249" s="1">
        <v>99.685506822183797</v>
      </c>
      <c r="AR249" s="1">
        <v>100.29598900446041</v>
      </c>
      <c r="AS249" s="1">
        <v>99.046953672111897</v>
      </c>
      <c r="AT249" s="1">
        <v>103.18377345509278</v>
      </c>
      <c r="AU249" s="1">
        <v>97.733553266554964</v>
      </c>
      <c r="AV249" s="1">
        <v>99.900323214082661</v>
      </c>
      <c r="AW249" s="1">
        <v>100</v>
      </c>
      <c r="AX249" s="1">
        <v>100</v>
      </c>
      <c r="AY249" s="1">
        <v>100</v>
      </c>
      <c r="AZ249" s="1">
        <v>100</v>
      </c>
      <c r="BA249" s="1">
        <v>100</v>
      </c>
      <c r="BB249" s="1">
        <v>100</v>
      </c>
      <c r="BC249" s="1">
        <v>100</v>
      </c>
      <c r="BD249" s="1">
        <v>100</v>
      </c>
      <c r="BE249" s="1">
        <v>100</v>
      </c>
      <c r="BF249" s="1">
        <v>100</v>
      </c>
      <c r="BG249" s="1">
        <v>100</v>
      </c>
      <c r="BH249" s="1">
        <v>100</v>
      </c>
    </row>
    <row r="250" spans="1:60" x14ac:dyDescent="0.25">
      <c r="A250">
        <v>237</v>
      </c>
      <c r="B250" s="1">
        <v>98.218271980747275</v>
      </c>
      <c r="C250" s="1">
        <v>94.353173132071191</v>
      </c>
      <c r="D250" s="1">
        <v>99.900323214082661</v>
      </c>
      <c r="E250" s="1">
        <v>114.67586130358623</v>
      </c>
      <c r="F250" s="1">
        <v>100</v>
      </c>
      <c r="G250" s="1">
        <v>100</v>
      </c>
      <c r="H250" s="1">
        <v>100.79779325216231</v>
      </c>
      <c r="I250" s="1">
        <v>93.552178955414988</v>
      </c>
      <c r="J250" s="1">
        <v>106.26521829857197</v>
      </c>
      <c r="K250" s="1">
        <v>106.16590636000029</v>
      </c>
      <c r="L250" s="1">
        <v>95.69663892742183</v>
      </c>
      <c r="M250" s="1">
        <v>96.715943522481638</v>
      </c>
      <c r="N250" s="1">
        <v>100</v>
      </c>
      <c r="O250" s="1">
        <v>100</v>
      </c>
      <c r="P250" s="1">
        <v>93.180898637387386</v>
      </c>
      <c r="Q250" s="1">
        <v>100</v>
      </c>
      <c r="R250" s="1">
        <v>98.539127000430625</v>
      </c>
      <c r="S250" s="1">
        <v>96.565494928022289</v>
      </c>
      <c r="T250" s="1">
        <v>106.09502869705604</v>
      </c>
      <c r="U250" s="1">
        <v>99.563140677786066</v>
      </c>
      <c r="V250" s="1">
        <v>97.840006971301349</v>
      </c>
      <c r="W250" s="1">
        <v>100</v>
      </c>
      <c r="X250" s="1">
        <v>98.938308797866256</v>
      </c>
      <c r="Y250" s="1">
        <v>100</v>
      </c>
      <c r="Z250" s="1">
        <v>92.748458137533518</v>
      </c>
      <c r="AA250" s="1">
        <v>98.539127000430625</v>
      </c>
      <c r="AB250" s="1">
        <v>89.783614924440201</v>
      </c>
      <c r="AC250" s="1">
        <v>101.78077976073585</v>
      </c>
      <c r="AD250" s="1">
        <v>113.07002987575412</v>
      </c>
      <c r="AE250" s="1">
        <v>89.124366469803178</v>
      </c>
      <c r="AF250" s="1">
        <v>104.55322036581302</v>
      </c>
      <c r="AG250" s="1">
        <v>100</v>
      </c>
      <c r="AH250" s="1">
        <v>100</v>
      </c>
      <c r="AI250" s="1">
        <v>100</v>
      </c>
      <c r="AJ250" s="1">
        <v>100.97287195506495</v>
      </c>
      <c r="AK250" s="1">
        <v>93.069035981716212</v>
      </c>
      <c r="AL250" s="1">
        <v>104.15592355602386</v>
      </c>
      <c r="AM250" s="1">
        <v>113.81569467016492</v>
      </c>
      <c r="AN250" s="1">
        <v>105.46964960170939</v>
      </c>
      <c r="AO250" s="1">
        <v>95.660873065393389</v>
      </c>
      <c r="AP250" s="1">
        <v>100.34694054453996</v>
      </c>
      <c r="AQ250" s="1">
        <v>99.685506822183797</v>
      </c>
      <c r="AR250" s="1">
        <v>100.29598900446041</v>
      </c>
      <c r="AS250" s="1">
        <v>99.046953672111897</v>
      </c>
      <c r="AT250" s="1">
        <v>103.18377345509278</v>
      </c>
      <c r="AU250" s="1">
        <v>97.733553266554964</v>
      </c>
      <c r="AV250" s="1">
        <v>99.900323214082661</v>
      </c>
      <c r="AW250" s="1">
        <v>100</v>
      </c>
      <c r="AX250" s="1">
        <v>100</v>
      </c>
      <c r="AY250" s="1">
        <v>100</v>
      </c>
      <c r="AZ250" s="1">
        <v>100</v>
      </c>
      <c r="BA250" s="1">
        <v>100</v>
      </c>
      <c r="BB250" s="1">
        <v>100</v>
      </c>
      <c r="BC250" s="1">
        <v>100</v>
      </c>
      <c r="BD250" s="1">
        <v>100</v>
      </c>
      <c r="BE250" s="1">
        <v>100</v>
      </c>
      <c r="BF250" s="1">
        <v>100</v>
      </c>
      <c r="BG250" s="1">
        <v>100</v>
      </c>
      <c r="BH250" s="1">
        <v>100</v>
      </c>
    </row>
    <row r="251" spans="1:60" x14ac:dyDescent="0.25">
      <c r="A251">
        <v>238</v>
      </c>
      <c r="B251" s="1">
        <v>98.218271980747275</v>
      </c>
      <c r="C251" s="1">
        <v>94.353173132071191</v>
      </c>
      <c r="D251" s="1">
        <v>99.900323214082661</v>
      </c>
      <c r="E251" s="1">
        <v>114.67586130358623</v>
      </c>
      <c r="F251" s="1">
        <v>100</v>
      </c>
      <c r="G251" s="1">
        <v>100</v>
      </c>
      <c r="H251" s="1">
        <v>100.79779325216231</v>
      </c>
      <c r="I251" s="1">
        <v>93.552178955414988</v>
      </c>
      <c r="J251" s="1">
        <v>106.26521829857197</v>
      </c>
      <c r="K251" s="1">
        <v>106.16590636000029</v>
      </c>
      <c r="L251" s="1">
        <v>95.69663892742183</v>
      </c>
      <c r="M251" s="1">
        <v>96.715943522481638</v>
      </c>
      <c r="N251" s="1">
        <v>100</v>
      </c>
      <c r="O251" s="1">
        <v>100</v>
      </c>
      <c r="P251" s="1">
        <v>93.180898637387386</v>
      </c>
      <c r="Q251" s="1">
        <v>100</v>
      </c>
      <c r="R251" s="1">
        <v>98.539127000430625</v>
      </c>
      <c r="S251" s="1">
        <v>96.565494928022289</v>
      </c>
      <c r="T251" s="1">
        <v>106.09502869705604</v>
      </c>
      <c r="U251" s="1">
        <v>99.563140677786066</v>
      </c>
      <c r="V251" s="1">
        <v>97.840006971301349</v>
      </c>
      <c r="W251" s="1">
        <v>100</v>
      </c>
      <c r="X251" s="1">
        <v>98.938308797866256</v>
      </c>
      <c r="Y251" s="1">
        <v>100</v>
      </c>
      <c r="Z251" s="1">
        <v>92.748458137533518</v>
      </c>
      <c r="AA251" s="1">
        <v>98.539127000430625</v>
      </c>
      <c r="AB251" s="1">
        <v>88.083974608323629</v>
      </c>
      <c r="AC251" s="1">
        <v>101.78077976073585</v>
      </c>
      <c r="AD251" s="1">
        <v>113.07002987575412</v>
      </c>
      <c r="AE251" s="1">
        <v>89.124366469803178</v>
      </c>
      <c r="AF251" s="1">
        <v>104.55322036581302</v>
      </c>
      <c r="AG251" s="1">
        <v>100</v>
      </c>
      <c r="AH251" s="1">
        <v>100</v>
      </c>
      <c r="AI251" s="1">
        <v>100</v>
      </c>
      <c r="AJ251" s="1">
        <v>100.97287195506495</v>
      </c>
      <c r="AK251" s="1">
        <v>93.069035981716212</v>
      </c>
      <c r="AL251" s="1">
        <v>102.18420959699965</v>
      </c>
      <c r="AM251" s="1">
        <v>115.53546120364642</v>
      </c>
      <c r="AN251" s="1">
        <v>105.46964960170939</v>
      </c>
      <c r="AO251" s="1">
        <v>95.660873065393389</v>
      </c>
      <c r="AP251" s="1">
        <v>100.34694054453996</v>
      </c>
      <c r="AQ251" s="1">
        <v>99.685506822183797</v>
      </c>
      <c r="AR251" s="1">
        <v>102.24757674611969</v>
      </c>
      <c r="AS251" s="1">
        <v>99.046953672111897</v>
      </c>
      <c r="AT251" s="1">
        <v>103.18377345509278</v>
      </c>
      <c r="AU251" s="1">
        <v>97.733553266554964</v>
      </c>
      <c r="AV251" s="1">
        <v>99.900323214082661</v>
      </c>
      <c r="AW251" s="1">
        <v>100</v>
      </c>
      <c r="AX251" s="1">
        <v>100</v>
      </c>
      <c r="AY251" s="1">
        <v>100</v>
      </c>
      <c r="AZ251" s="1">
        <v>100</v>
      </c>
      <c r="BA251" s="1">
        <v>100</v>
      </c>
      <c r="BB251" s="1">
        <v>100</v>
      </c>
      <c r="BC251" s="1">
        <v>100</v>
      </c>
      <c r="BD251" s="1">
        <v>100</v>
      </c>
      <c r="BE251" s="1">
        <v>100</v>
      </c>
      <c r="BF251" s="1">
        <v>100</v>
      </c>
      <c r="BG251" s="1">
        <v>100</v>
      </c>
      <c r="BH251" s="1">
        <v>100</v>
      </c>
    </row>
    <row r="252" spans="1:60" x14ac:dyDescent="0.25">
      <c r="A252">
        <v>239</v>
      </c>
      <c r="B252" s="1">
        <v>98.218271980747275</v>
      </c>
      <c r="C252" s="1">
        <v>94.353173132071191</v>
      </c>
      <c r="D252" s="1">
        <v>99.900323214082661</v>
      </c>
      <c r="E252" s="1">
        <v>114.67586130358623</v>
      </c>
      <c r="F252" s="1">
        <v>100</v>
      </c>
      <c r="G252" s="1">
        <v>100</v>
      </c>
      <c r="H252" s="1">
        <v>100.79779325216231</v>
      </c>
      <c r="I252" s="1">
        <v>93.552178955414988</v>
      </c>
      <c r="J252" s="1">
        <v>106.26521829857197</v>
      </c>
      <c r="K252" s="1">
        <v>106.16590636000029</v>
      </c>
      <c r="L252" s="1">
        <v>95.69663892742183</v>
      </c>
      <c r="M252" s="1">
        <v>96.715943522481638</v>
      </c>
      <c r="N252" s="1">
        <v>100</v>
      </c>
      <c r="O252" s="1">
        <v>100</v>
      </c>
      <c r="P252" s="1">
        <v>93.180898637387386</v>
      </c>
      <c r="Q252" s="1">
        <v>100</v>
      </c>
      <c r="R252" s="1">
        <v>98.539127000430625</v>
      </c>
      <c r="S252" s="1">
        <v>96.565494928022289</v>
      </c>
      <c r="T252" s="1">
        <v>106.09502869705604</v>
      </c>
      <c r="U252" s="1">
        <v>99.563140677786066</v>
      </c>
      <c r="V252" s="1">
        <v>97.840006971301349</v>
      </c>
      <c r="W252" s="1">
        <v>100</v>
      </c>
      <c r="X252" s="1">
        <v>98.938308797866256</v>
      </c>
      <c r="Y252" s="1">
        <v>100</v>
      </c>
      <c r="Z252" s="1">
        <v>92.748458137533518</v>
      </c>
      <c r="AA252" s="1">
        <v>98.539127000430625</v>
      </c>
      <c r="AB252" s="1">
        <v>87.93697482970407</v>
      </c>
      <c r="AC252" s="1">
        <v>101.78077976073585</v>
      </c>
      <c r="AD252" s="1">
        <v>113.07002987575412</v>
      </c>
      <c r="AE252" s="1">
        <v>89.124366469803178</v>
      </c>
      <c r="AF252" s="1">
        <v>104.55322036581302</v>
      </c>
      <c r="AG252" s="1">
        <v>100</v>
      </c>
      <c r="AH252" s="1">
        <v>100</v>
      </c>
      <c r="AI252" s="1">
        <v>100</v>
      </c>
      <c r="AJ252" s="1">
        <v>100.97287195506495</v>
      </c>
      <c r="AK252" s="1">
        <v>93.069035981716212</v>
      </c>
      <c r="AL252" s="1">
        <v>102.01367850713947</v>
      </c>
      <c r="AM252" s="1">
        <v>115.68453967251979</v>
      </c>
      <c r="AN252" s="1">
        <v>105.46964960170939</v>
      </c>
      <c r="AO252" s="1">
        <v>95.660873065393389</v>
      </c>
      <c r="AP252" s="1">
        <v>100.34694054453996</v>
      </c>
      <c r="AQ252" s="1">
        <v>99.685506822183797</v>
      </c>
      <c r="AR252" s="1">
        <v>102.41602914572604</v>
      </c>
      <c r="AS252" s="1">
        <v>99.046953672111897</v>
      </c>
      <c r="AT252" s="1">
        <v>103.18377345509278</v>
      </c>
      <c r="AU252" s="1">
        <v>97.733553266554964</v>
      </c>
      <c r="AV252" s="1">
        <v>99.900323214082661</v>
      </c>
      <c r="AW252" s="1">
        <v>100</v>
      </c>
      <c r="AX252" s="1">
        <v>100</v>
      </c>
      <c r="AY252" s="1">
        <v>100</v>
      </c>
      <c r="AZ252" s="1">
        <v>100</v>
      </c>
      <c r="BA252" s="1">
        <v>100</v>
      </c>
      <c r="BB252" s="1">
        <v>100</v>
      </c>
      <c r="BC252" s="1">
        <v>100</v>
      </c>
      <c r="BD252" s="1">
        <v>100</v>
      </c>
      <c r="BE252" s="1">
        <v>100</v>
      </c>
      <c r="BF252" s="1">
        <v>100</v>
      </c>
      <c r="BG252" s="1">
        <v>100</v>
      </c>
      <c r="BH252" s="1">
        <v>100</v>
      </c>
    </row>
    <row r="253" spans="1:60" x14ac:dyDescent="0.25">
      <c r="A253">
        <v>240</v>
      </c>
      <c r="B253" s="1">
        <v>98.218271980747275</v>
      </c>
      <c r="C253" s="1">
        <v>94.353173132071191</v>
      </c>
      <c r="D253" s="1">
        <v>99.900323214082661</v>
      </c>
      <c r="E253" s="1">
        <v>112.47059504820864</v>
      </c>
      <c r="F253" s="1">
        <v>100</v>
      </c>
      <c r="G253" s="1">
        <v>100</v>
      </c>
      <c r="H253" s="1">
        <v>100.79779325216231</v>
      </c>
      <c r="I253" s="1">
        <v>95.595541587200259</v>
      </c>
      <c r="J253" s="1">
        <v>106.26521829857197</v>
      </c>
      <c r="K253" s="1">
        <v>106.16590636000029</v>
      </c>
      <c r="L253" s="1">
        <v>95.69663892742183</v>
      </c>
      <c r="M253" s="1">
        <v>96.715943522481638</v>
      </c>
      <c r="N253" s="1">
        <v>100</v>
      </c>
      <c r="O253" s="1">
        <v>100</v>
      </c>
      <c r="P253" s="1">
        <v>91.388989781636212</v>
      </c>
      <c r="Q253" s="1">
        <v>100</v>
      </c>
      <c r="R253" s="1">
        <v>98.539127000430625</v>
      </c>
      <c r="S253" s="1">
        <v>96.565494928022289</v>
      </c>
      <c r="T253" s="1">
        <v>106.09502869705604</v>
      </c>
      <c r="U253" s="1">
        <v>99.563140677786066</v>
      </c>
      <c r="V253" s="1">
        <v>99.793819450644847</v>
      </c>
      <c r="W253" s="1">
        <v>100</v>
      </c>
      <c r="X253" s="1">
        <v>98.938308797866256</v>
      </c>
      <c r="Y253" s="1">
        <v>100</v>
      </c>
      <c r="Z253" s="1">
        <v>92.748458137533518</v>
      </c>
      <c r="AA253" s="1">
        <v>98.539127000430625</v>
      </c>
      <c r="AB253" s="1">
        <v>87.93697482970407</v>
      </c>
      <c r="AC253" s="1">
        <v>101.78077976073585</v>
      </c>
      <c r="AD253" s="1">
        <v>113.07002987575412</v>
      </c>
      <c r="AE253" s="1">
        <v>89.124366469803178</v>
      </c>
      <c r="AF253" s="1">
        <v>104.55322036581302</v>
      </c>
      <c r="AG253" s="1">
        <v>100</v>
      </c>
      <c r="AH253" s="1">
        <v>100</v>
      </c>
      <c r="AI253" s="1">
        <v>100</v>
      </c>
      <c r="AJ253" s="1">
        <v>100.97287195506495</v>
      </c>
      <c r="AK253" s="1">
        <v>93.069035981716212</v>
      </c>
      <c r="AL253" s="1">
        <v>102.01367850713947</v>
      </c>
      <c r="AM253" s="1">
        <v>115.68453967251979</v>
      </c>
      <c r="AN253" s="1">
        <v>105.46964960170939</v>
      </c>
      <c r="AO253" s="1">
        <v>95.660873065393389</v>
      </c>
      <c r="AP253" s="1">
        <v>100.34694054453996</v>
      </c>
      <c r="AQ253" s="1">
        <v>99.685506822183797</v>
      </c>
      <c r="AR253" s="1">
        <v>102.41602914572604</v>
      </c>
      <c r="AS253" s="1">
        <v>99.046953672111897</v>
      </c>
      <c r="AT253" s="1">
        <v>103.18377345509278</v>
      </c>
      <c r="AU253" s="1">
        <v>97.733553266554964</v>
      </c>
      <c r="AV253" s="1">
        <v>99.900323214082661</v>
      </c>
      <c r="AW253" s="1">
        <v>100</v>
      </c>
      <c r="AX253" s="1">
        <v>100</v>
      </c>
      <c r="AY253" s="1">
        <v>100</v>
      </c>
      <c r="AZ253" s="1">
        <v>100</v>
      </c>
      <c r="BA253" s="1">
        <v>100</v>
      </c>
      <c r="BB253" s="1">
        <v>100</v>
      </c>
      <c r="BC253" s="1">
        <v>100</v>
      </c>
      <c r="BD253" s="1">
        <v>100</v>
      </c>
      <c r="BE253" s="1">
        <v>100</v>
      </c>
      <c r="BF253" s="1">
        <v>100</v>
      </c>
      <c r="BG253" s="1">
        <v>100</v>
      </c>
      <c r="BH253" s="1">
        <v>100</v>
      </c>
    </row>
    <row r="254" spans="1:60" x14ac:dyDescent="0.25">
      <c r="A254">
        <v>241</v>
      </c>
      <c r="B254" s="1">
        <v>98.218271980747275</v>
      </c>
      <c r="C254" s="1">
        <v>94.353173132071191</v>
      </c>
      <c r="D254" s="1">
        <v>99.900323214082661</v>
      </c>
      <c r="E254" s="1">
        <v>113.97664203575378</v>
      </c>
      <c r="F254" s="1">
        <v>100</v>
      </c>
      <c r="G254" s="1">
        <v>100</v>
      </c>
      <c r="H254" s="1">
        <v>100.79779325216231</v>
      </c>
      <c r="I254" s="1">
        <v>93.951879620981259</v>
      </c>
      <c r="J254" s="1">
        <v>106.26521829857197</v>
      </c>
      <c r="K254" s="1">
        <v>106.16590636000029</v>
      </c>
      <c r="L254" s="1">
        <v>95.69663892742183</v>
      </c>
      <c r="M254" s="1">
        <v>96.715943522481638</v>
      </c>
      <c r="N254" s="1">
        <v>100</v>
      </c>
      <c r="O254" s="1">
        <v>100</v>
      </c>
      <c r="P254" s="1">
        <v>93.242451574621271</v>
      </c>
      <c r="Q254" s="1">
        <v>100</v>
      </c>
      <c r="R254" s="1">
        <v>98.539127000430625</v>
      </c>
      <c r="S254" s="1">
        <v>96.565494928022289</v>
      </c>
      <c r="T254" s="1">
        <v>106.09502869705604</v>
      </c>
      <c r="U254" s="1">
        <v>99.563140677786066</v>
      </c>
      <c r="V254" s="1">
        <v>98.077972636333641</v>
      </c>
      <c r="W254" s="1">
        <v>100</v>
      </c>
      <c r="X254" s="1">
        <v>98.938308797866256</v>
      </c>
      <c r="Y254" s="1">
        <v>100</v>
      </c>
      <c r="Z254" s="1">
        <v>92.748458137533518</v>
      </c>
      <c r="AA254" s="1">
        <v>98.539127000430625</v>
      </c>
      <c r="AB254" s="1">
        <v>87.93697482970407</v>
      </c>
      <c r="AC254" s="1">
        <v>101.78077976073585</v>
      </c>
      <c r="AD254" s="1">
        <v>113.07002987575412</v>
      </c>
      <c r="AE254" s="1">
        <v>89.124366469803178</v>
      </c>
      <c r="AF254" s="1">
        <v>104.55322036581302</v>
      </c>
      <c r="AG254" s="1">
        <v>100</v>
      </c>
      <c r="AH254" s="1">
        <v>100</v>
      </c>
      <c r="AI254" s="1">
        <v>100</v>
      </c>
      <c r="AJ254" s="1">
        <v>100.97287195506495</v>
      </c>
      <c r="AK254" s="1">
        <v>93.069035981716212</v>
      </c>
      <c r="AL254" s="1">
        <v>102.01367850713947</v>
      </c>
      <c r="AM254" s="1">
        <v>115.68453967251979</v>
      </c>
      <c r="AN254" s="1">
        <v>105.46964960170939</v>
      </c>
      <c r="AO254" s="1">
        <v>95.660873065393389</v>
      </c>
      <c r="AP254" s="1">
        <v>100.34694054453996</v>
      </c>
      <c r="AQ254" s="1">
        <v>99.685506822183797</v>
      </c>
      <c r="AR254" s="1">
        <v>102.41602914572604</v>
      </c>
      <c r="AS254" s="1">
        <v>99.046953672111897</v>
      </c>
      <c r="AT254" s="1">
        <v>103.18377345509278</v>
      </c>
      <c r="AU254" s="1">
        <v>97.733553266554964</v>
      </c>
      <c r="AV254" s="1">
        <v>99.900323214082661</v>
      </c>
      <c r="AW254" s="1">
        <v>100</v>
      </c>
      <c r="AX254" s="1">
        <v>100</v>
      </c>
      <c r="AY254" s="1">
        <v>100</v>
      </c>
      <c r="AZ254" s="1">
        <v>100</v>
      </c>
      <c r="BA254" s="1">
        <v>100</v>
      </c>
      <c r="BB254" s="1">
        <v>100</v>
      </c>
      <c r="BC254" s="1">
        <v>100</v>
      </c>
      <c r="BD254" s="1">
        <v>100</v>
      </c>
      <c r="BE254" s="1">
        <v>100</v>
      </c>
      <c r="BF254" s="1">
        <v>100</v>
      </c>
      <c r="BG254" s="1">
        <v>100</v>
      </c>
      <c r="BH254" s="1">
        <v>100</v>
      </c>
    </row>
    <row r="255" spans="1:60" x14ac:dyDescent="0.25">
      <c r="A255">
        <v>242</v>
      </c>
      <c r="B255" s="1">
        <v>98.218271980747275</v>
      </c>
      <c r="C255" s="1">
        <v>94.353173132071191</v>
      </c>
      <c r="D255" s="1">
        <v>99.900323214082661</v>
      </c>
      <c r="E255" s="1">
        <v>113.97664203575378</v>
      </c>
      <c r="F255" s="1">
        <v>100</v>
      </c>
      <c r="G255" s="1">
        <v>100</v>
      </c>
      <c r="H255" s="1">
        <v>100.79779325216231</v>
      </c>
      <c r="I255" s="1">
        <v>94.637311697664828</v>
      </c>
      <c r="J255" s="1">
        <v>106.26521829857197</v>
      </c>
      <c r="K255" s="1">
        <v>106.16590636000029</v>
      </c>
      <c r="L255" s="1">
        <v>95.69663892742183</v>
      </c>
      <c r="M255" s="1">
        <v>96.715943522481638</v>
      </c>
      <c r="N255" s="1">
        <v>100</v>
      </c>
      <c r="O255" s="1">
        <v>100</v>
      </c>
      <c r="P255" s="1">
        <v>93.242451574621271</v>
      </c>
      <c r="Q255" s="1">
        <v>100</v>
      </c>
      <c r="R255" s="1">
        <v>98.539127000430625</v>
      </c>
      <c r="S255" s="1">
        <v>95.925522585057152</v>
      </c>
      <c r="T255" s="1">
        <v>106.09502869705604</v>
      </c>
      <c r="U255" s="1">
        <v>99.563140677786066</v>
      </c>
      <c r="V255" s="1">
        <v>98.077972636333641</v>
      </c>
      <c r="W255" s="1">
        <v>100</v>
      </c>
      <c r="X255" s="1">
        <v>98.938308797866256</v>
      </c>
      <c r="Y255" s="1">
        <v>100</v>
      </c>
      <c r="Z255" s="1">
        <v>92.748458137533518</v>
      </c>
      <c r="AA255" s="1">
        <v>99.192650467881805</v>
      </c>
      <c r="AB255" s="1">
        <v>87.93697482970407</v>
      </c>
      <c r="AC255" s="1">
        <v>101.78077976073585</v>
      </c>
      <c r="AD255" s="1">
        <v>113.07002987575412</v>
      </c>
      <c r="AE255" s="1">
        <v>89.124366469803178</v>
      </c>
      <c r="AF255" s="1">
        <v>104.55322036581302</v>
      </c>
      <c r="AG255" s="1">
        <v>100</v>
      </c>
      <c r="AH255" s="1">
        <v>100</v>
      </c>
      <c r="AI255" s="1">
        <v>100</v>
      </c>
      <c r="AJ255" s="1">
        <v>100.97287195506495</v>
      </c>
      <c r="AK255" s="1">
        <v>93.069035981716212</v>
      </c>
      <c r="AL255" s="1">
        <v>102.01367850713947</v>
      </c>
      <c r="AM255" s="1">
        <v>115.68453967251979</v>
      </c>
      <c r="AN255" s="1">
        <v>104.77066640053977</v>
      </c>
      <c r="AO255" s="1">
        <v>95.660873065393389</v>
      </c>
      <c r="AP255" s="1">
        <v>100.34694054453996</v>
      </c>
      <c r="AQ255" s="1">
        <v>99.685506822183797</v>
      </c>
      <c r="AR255" s="1">
        <v>102.41602914572604</v>
      </c>
      <c r="AS255" s="1">
        <v>99.046953672111897</v>
      </c>
      <c r="AT255" s="1">
        <v>103.18377345509278</v>
      </c>
      <c r="AU255" s="1">
        <v>97.733553266554964</v>
      </c>
      <c r="AV255" s="1">
        <v>99.900323214082661</v>
      </c>
      <c r="AW255" s="1">
        <v>100</v>
      </c>
      <c r="AX255" s="1">
        <v>100</v>
      </c>
      <c r="AY255" s="1">
        <v>100</v>
      </c>
      <c r="AZ255" s="1">
        <v>100</v>
      </c>
      <c r="BA255" s="1">
        <v>100</v>
      </c>
      <c r="BB255" s="1">
        <v>100</v>
      </c>
      <c r="BC255" s="1">
        <v>100</v>
      </c>
      <c r="BD255" s="1">
        <v>100</v>
      </c>
      <c r="BE255" s="1">
        <v>100</v>
      </c>
      <c r="BF255" s="1">
        <v>100</v>
      </c>
      <c r="BG255" s="1">
        <v>100</v>
      </c>
      <c r="BH255" s="1">
        <v>100</v>
      </c>
    </row>
    <row r="256" spans="1:60" x14ac:dyDescent="0.25">
      <c r="A256">
        <v>243</v>
      </c>
      <c r="B256" s="1">
        <v>98.218271980747275</v>
      </c>
      <c r="C256" s="1">
        <v>94.353173132071191</v>
      </c>
      <c r="D256" s="1">
        <v>99.900323214082661</v>
      </c>
      <c r="E256" s="1">
        <v>113.97664203575378</v>
      </c>
      <c r="F256" s="1">
        <v>100</v>
      </c>
      <c r="G256" s="1">
        <v>100</v>
      </c>
      <c r="H256" s="1">
        <v>100.79779325216231</v>
      </c>
      <c r="I256" s="1">
        <v>94.751934852087658</v>
      </c>
      <c r="J256" s="1">
        <v>106.26521829857197</v>
      </c>
      <c r="K256" s="1">
        <v>106.16590636000029</v>
      </c>
      <c r="L256" s="1">
        <v>95.69663892742183</v>
      </c>
      <c r="M256" s="1">
        <v>96.715943522481638</v>
      </c>
      <c r="N256" s="1">
        <v>100</v>
      </c>
      <c r="O256" s="1">
        <v>100</v>
      </c>
      <c r="P256" s="1">
        <v>93.242451574621271</v>
      </c>
      <c r="Q256" s="1">
        <v>100</v>
      </c>
      <c r="R256" s="1">
        <v>98.539127000430625</v>
      </c>
      <c r="S256" s="1">
        <v>95.818467125486464</v>
      </c>
      <c r="T256" s="1">
        <v>106.09502869705604</v>
      </c>
      <c r="U256" s="1">
        <v>99.563140677786066</v>
      </c>
      <c r="V256" s="1">
        <v>98.077972636333641</v>
      </c>
      <c r="W256" s="1">
        <v>100</v>
      </c>
      <c r="X256" s="1">
        <v>98.938308797866256</v>
      </c>
      <c r="Y256" s="1">
        <v>100</v>
      </c>
      <c r="Z256" s="1">
        <v>92.748458137533518</v>
      </c>
      <c r="AA256" s="1">
        <v>99.302009650661134</v>
      </c>
      <c r="AB256" s="1">
        <v>87.93697482970407</v>
      </c>
      <c r="AC256" s="1">
        <v>101.78077976073585</v>
      </c>
      <c r="AD256" s="1">
        <v>113.07002987575412</v>
      </c>
      <c r="AE256" s="1">
        <v>89.124366469803178</v>
      </c>
      <c r="AF256" s="1">
        <v>104.55322036581302</v>
      </c>
      <c r="AG256" s="1">
        <v>100</v>
      </c>
      <c r="AH256" s="1">
        <v>100</v>
      </c>
      <c r="AI256" s="1">
        <v>100</v>
      </c>
      <c r="AJ256" s="1">
        <v>100.97287195506495</v>
      </c>
      <c r="AK256" s="1">
        <v>93.069035981716212</v>
      </c>
      <c r="AL256" s="1">
        <v>102.01367850713947</v>
      </c>
      <c r="AM256" s="1">
        <v>115.68453967251979</v>
      </c>
      <c r="AN256" s="1">
        <v>104.6537395229083</v>
      </c>
      <c r="AO256" s="1">
        <v>95.660873065393389</v>
      </c>
      <c r="AP256" s="1">
        <v>100.34694054453996</v>
      </c>
      <c r="AQ256" s="1">
        <v>99.685506822183797</v>
      </c>
      <c r="AR256" s="1">
        <v>102.41602914572604</v>
      </c>
      <c r="AS256" s="1">
        <v>99.046953672111897</v>
      </c>
      <c r="AT256" s="1">
        <v>103.18377345509278</v>
      </c>
      <c r="AU256" s="1">
        <v>97.733553266554964</v>
      </c>
      <c r="AV256" s="1">
        <v>99.900323214082661</v>
      </c>
      <c r="AW256" s="1">
        <v>100</v>
      </c>
      <c r="AX256" s="1">
        <v>100</v>
      </c>
      <c r="AY256" s="1">
        <v>100</v>
      </c>
      <c r="AZ256" s="1">
        <v>100</v>
      </c>
      <c r="BA256" s="1">
        <v>100</v>
      </c>
      <c r="BB256" s="1">
        <v>100</v>
      </c>
      <c r="BC256" s="1">
        <v>100</v>
      </c>
      <c r="BD256" s="1">
        <v>100</v>
      </c>
      <c r="BE256" s="1">
        <v>100</v>
      </c>
      <c r="BF256" s="1">
        <v>100</v>
      </c>
      <c r="BG256" s="1">
        <v>100</v>
      </c>
      <c r="BH256" s="1">
        <v>100</v>
      </c>
    </row>
    <row r="257" spans="1:60" x14ac:dyDescent="0.25">
      <c r="A257">
        <v>244</v>
      </c>
      <c r="B257" s="1">
        <v>98.218271980747275</v>
      </c>
      <c r="C257" s="1">
        <v>94.353173132071191</v>
      </c>
      <c r="D257" s="1">
        <v>99.900323214082661</v>
      </c>
      <c r="E257" s="1">
        <v>113.97664203575378</v>
      </c>
      <c r="F257" s="1">
        <v>100</v>
      </c>
      <c r="G257" s="1">
        <v>100.34123456248027</v>
      </c>
      <c r="H257" s="1">
        <v>100.79779325216231</v>
      </c>
      <c r="I257" s="1">
        <v>94.751934852087658</v>
      </c>
      <c r="J257" s="1">
        <v>106.26521829857197</v>
      </c>
      <c r="K257" s="1">
        <v>106.16590636000029</v>
      </c>
      <c r="L257" s="1">
        <v>95.69663892742183</v>
      </c>
      <c r="M257" s="1">
        <v>96.715943522481638</v>
      </c>
      <c r="N257" s="1">
        <v>100</v>
      </c>
      <c r="O257" s="1">
        <v>100</v>
      </c>
      <c r="P257" s="1">
        <v>93.242451574621271</v>
      </c>
      <c r="Q257" s="1">
        <v>100</v>
      </c>
      <c r="R257" s="1">
        <v>98.539127000430625</v>
      </c>
      <c r="S257" s="1">
        <v>96.174593217582455</v>
      </c>
      <c r="T257" s="1">
        <v>106.09502869705604</v>
      </c>
      <c r="U257" s="1">
        <v>99.563140677786066</v>
      </c>
      <c r="V257" s="1">
        <v>98.077972636333641</v>
      </c>
      <c r="W257" s="1">
        <v>100</v>
      </c>
      <c r="X257" s="1">
        <v>98.938308797866256</v>
      </c>
      <c r="Y257" s="1">
        <v>100</v>
      </c>
      <c r="Z257" s="1">
        <v>92.748458137533518</v>
      </c>
      <c r="AA257" s="1">
        <v>98.955154260823036</v>
      </c>
      <c r="AB257" s="1">
        <v>87.93697482970407</v>
      </c>
      <c r="AC257" s="1">
        <v>101.78077976073585</v>
      </c>
      <c r="AD257" s="1">
        <v>113.07002987575412</v>
      </c>
      <c r="AE257" s="1">
        <v>89.124366469803178</v>
      </c>
      <c r="AF257" s="1">
        <v>104.55322036581302</v>
      </c>
      <c r="AG257" s="1">
        <v>100</v>
      </c>
      <c r="AH257" s="1">
        <v>100</v>
      </c>
      <c r="AI257" s="1">
        <v>100</v>
      </c>
      <c r="AJ257" s="1">
        <v>100.97287195506495</v>
      </c>
      <c r="AK257" s="1">
        <v>93.069035981716212</v>
      </c>
      <c r="AL257" s="1">
        <v>102.01367850713947</v>
      </c>
      <c r="AM257" s="1">
        <v>115.68453967251979</v>
      </c>
      <c r="AN257" s="1">
        <v>104.6537395229083</v>
      </c>
      <c r="AO257" s="1">
        <v>95.660873065393389</v>
      </c>
      <c r="AP257" s="1">
        <v>99.996435279801801</v>
      </c>
      <c r="AQ257" s="1">
        <v>99.685506822183797</v>
      </c>
      <c r="AR257" s="1">
        <v>102.41602914572604</v>
      </c>
      <c r="AS257" s="1">
        <v>99.046953672111897</v>
      </c>
      <c r="AT257" s="1">
        <v>103.18377345509278</v>
      </c>
      <c r="AU257" s="1">
        <v>97.733553266554964</v>
      </c>
      <c r="AV257" s="1">
        <v>99.900323214082661</v>
      </c>
      <c r="AW257" s="1">
        <v>100</v>
      </c>
      <c r="AX257" s="1">
        <v>100</v>
      </c>
      <c r="AY257" s="1">
        <v>100</v>
      </c>
      <c r="AZ257" s="1">
        <v>100</v>
      </c>
      <c r="BA257" s="1">
        <v>100</v>
      </c>
      <c r="BB257" s="1">
        <v>100</v>
      </c>
      <c r="BC257" s="1">
        <v>100</v>
      </c>
      <c r="BD257" s="1">
        <v>100</v>
      </c>
      <c r="BE257" s="1">
        <v>100</v>
      </c>
      <c r="BF257" s="1">
        <v>100</v>
      </c>
      <c r="BG257" s="1">
        <v>100</v>
      </c>
      <c r="BH257" s="1">
        <v>100</v>
      </c>
    </row>
    <row r="258" spans="1:60" x14ac:dyDescent="0.25">
      <c r="A258">
        <v>245</v>
      </c>
      <c r="B258" s="1">
        <v>98.218271980747275</v>
      </c>
      <c r="C258" s="1">
        <v>94.353173132071191</v>
      </c>
      <c r="D258" s="1">
        <v>99.900323214082661</v>
      </c>
      <c r="E258" s="1">
        <v>113.97664203575378</v>
      </c>
      <c r="F258" s="1">
        <v>100</v>
      </c>
      <c r="G258" s="1">
        <v>101.20264176422626</v>
      </c>
      <c r="H258" s="1">
        <v>100.79779325216231</v>
      </c>
      <c r="I258" s="1">
        <v>94.751934852087658</v>
      </c>
      <c r="J258" s="1">
        <v>106.26521829857197</v>
      </c>
      <c r="K258" s="1">
        <v>106.16590636000029</v>
      </c>
      <c r="L258" s="1">
        <v>95.69663892742183</v>
      </c>
      <c r="M258" s="1">
        <v>96.715943522481638</v>
      </c>
      <c r="N258" s="1">
        <v>100</v>
      </c>
      <c r="O258" s="1">
        <v>100</v>
      </c>
      <c r="P258" s="1">
        <v>93.242451574621271</v>
      </c>
      <c r="Q258" s="1">
        <v>100</v>
      </c>
      <c r="R258" s="1">
        <v>98.539127000430625</v>
      </c>
      <c r="S258" s="1">
        <v>97.073319785509355</v>
      </c>
      <c r="T258" s="1">
        <v>106.09502869705604</v>
      </c>
      <c r="U258" s="1">
        <v>99.563140677786066</v>
      </c>
      <c r="V258" s="1">
        <v>98.077972636333641</v>
      </c>
      <c r="W258" s="1">
        <v>100</v>
      </c>
      <c r="X258" s="1">
        <v>98.938308797866256</v>
      </c>
      <c r="Y258" s="1">
        <v>100</v>
      </c>
      <c r="Z258" s="1">
        <v>92.748458137533518</v>
      </c>
      <c r="AA258" s="1">
        <v>98.079693506275504</v>
      </c>
      <c r="AB258" s="1">
        <v>87.93697482970407</v>
      </c>
      <c r="AC258" s="1">
        <v>101.78077976073585</v>
      </c>
      <c r="AD258" s="1">
        <v>113.07002987575412</v>
      </c>
      <c r="AE258" s="1">
        <v>89.124366469803178</v>
      </c>
      <c r="AF258" s="1">
        <v>104.55322036581302</v>
      </c>
      <c r="AG258" s="1">
        <v>100</v>
      </c>
      <c r="AH258" s="1">
        <v>100</v>
      </c>
      <c r="AI258" s="1">
        <v>100</v>
      </c>
      <c r="AJ258" s="1">
        <v>100.97287195506495</v>
      </c>
      <c r="AK258" s="1">
        <v>93.069035981716212</v>
      </c>
      <c r="AL258" s="1">
        <v>102.01367850713947</v>
      </c>
      <c r="AM258" s="1">
        <v>115.68453967251979</v>
      </c>
      <c r="AN258" s="1">
        <v>104.6537395229083</v>
      </c>
      <c r="AO258" s="1">
        <v>95.660873065393389</v>
      </c>
      <c r="AP258" s="1">
        <v>99.111762264676429</v>
      </c>
      <c r="AQ258" s="1">
        <v>99.685506822183797</v>
      </c>
      <c r="AR258" s="1">
        <v>102.41602914572604</v>
      </c>
      <c r="AS258" s="1">
        <v>99.046953672111897</v>
      </c>
      <c r="AT258" s="1">
        <v>103.18377345509278</v>
      </c>
      <c r="AU258" s="1">
        <v>97.733553266554964</v>
      </c>
      <c r="AV258" s="1">
        <v>99.900323214082661</v>
      </c>
      <c r="AW258" s="1">
        <v>100</v>
      </c>
      <c r="AX258" s="1">
        <v>100</v>
      </c>
      <c r="AY258" s="1">
        <v>100</v>
      </c>
      <c r="AZ258" s="1">
        <v>100</v>
      </c>
      <c r="BA258" s="1">
        <v>100</v>
      </c>
      <c r="BB258" s="1">
        <v>100</v>
      </c>
      <c r="BC258" s="1">
        <v>100</v>
      </c>
      <c r="BD258" s="1">
        <v>100</v>
      </c>
      <c r="BE258" s="1">
        <v>100</v>
      </c>
      <c r="BF258" s="1">
        <v>100</v>
      </c>
      <c r="BG258" s="1">
        <v>100</v>
      </c>
      <c r="BH258" s="1">
        <v>100</v>
      </c>
    </row>
    <row r="259" spans="1:60" x14ac:dyDescent="0.25">
      <c r="A259">
        <v>246</v>
      </c>
      <c r="B259" s="1">
        <v>98.218271980747275</v>
      </c>
      <c r="C259" s="1">
        <v>94.353173132071191</v>
      </c>
      <c r="D259" s="1">
        <v>99.900323214082661</v>
      </c>
      <c r="E259" s="1">
        <v>113.97664203575378</v>
      </c>
      <c r="F259" s="1">
        <v>100</v>
      </c>
      <c r="G259" s="1">
        <v>101.20264176422626</v>
      </c>
      <c r="H259" s="1">
        <v>100.79779325216231</v>
      </c>
      <c r="I259" s="1">
        <v>94.751934852087658</v>
      </c>
      <c r="J259" s="1">
        <v>106.26521829857197</v>
      </c>
      <c r="K259" s="1">
        <v>106.16590636000029</v>
      </c>
      <c r="L259" s="1">
        <v>95.69663892742183</v>
      </c>
      <c r="M259" s="1">
        <v>96.715943522481638</v>
      </c>
      <c r="N259" s="1">
        <v>100</v>
      </c>
      <c r="O259" s="1">
        <v>100</v>
      </c>
      <c r="P259" s="1">
        <v>93.242451574621271</v>
      </c>
      <c r="Q259" s="1">
        <v>100</v>
      </c>
      <c r="R259" s="1">
        <v>98.539127000430625</v>
      </c>
      <c r="S259" s="1">
        <v>97.073319785509355</v>
      </c>
      <c r="T259" s="1">
        <v>106.09502869705604</v>
      </c>
      <c r="U259" s="1">
        <v>99.563140677786066</v>
      </c>
      <c r="V259" s="1">
        <v>98.077972636333641</v>
      </c>
      <c r="W259" s="1">
        <v>100</v>
      </c>
      <c r="X259" s="1">
        <v>98.938308797866256</v>
      </c>
      <c r="Y259" s="1">
        <v>100</v>
      </c>
      <c r="Z259" s="1">
        <v>92.748458137533518</v>
      </c>
      <c r="AA259" s="1">
        <v>98.079693506275504</v>
      </c>
      <c r="AB259" s="1">
        <v>87.93697482970407</v>
      </c>
      <c r="AC259" s="1">
        <v>101.78077976073585</v>
      </c>
      <c r="AD259" s="1">
        <v>113.07002987575412</v>
      </c>
      <c r="AE259" s="1">
        <v>89.124366469803178</v>
      </c>
      <c r="AF259" s="1">
        <v>104.55322036581302</v>
      </c>
      <c r="AG259" s="1">
        <v>100</v>
      </c>
      <c r="AH259" s="1">
        <v>100</v>
      </c>
      <c r="AI259" s="1">
        <v>100</v>
      </c>
      <c r="AJ259" s="1">
        <v>102.36653652492319</v>
      </c>
      <c r="AK259" s="1">
        <v>93.069035981716212</v>
      </c>
      <c r="AL259" s="1">
        <v>102.01367850713947</v>
      </c>
      <c r="AM259" s="1">
        <v>115.68453967251979</v>
      </c>
      <c r="AN259" s="1">
        <v>104.6537395229083</v>
      </c>
      <c r="AO259" s="1">
        <v>95.660873065393389</v>
      </c>
      <c r="AP259" s="1">
        <v>100.53159691341178</v>
      </c>
      <c r="AQ259" s="1">
        <v>98.264848171376457</v>
      </c>
      <c r="AR259" s="1">
        <v>102.41602914572604</v>
      </c>
      <c r="AS259" s="1">
        <v>99.046953672111897</v>
      </c>
      <c r="AT259" s="1">
        <v>103.18377345509278</v>
      </c>
      <c r="AU259" s="1">
        <v>96.340712698768712</v>
      </c>
      <c r="AV259" s="1">
        <v>99.900323214082661</v>
      </c>
      <c r="AW259" s="1">
        <v>100</v>
      </c>
      <c r="AX259" s="1">
        <v>100</v>
      </c>
      <c r="AY259" s="1">
        <v>100</v>
      </c>
      <c r="AZ259" s="1">
        <v>100</v>
      </c>
      <c r="BA259" s="1">
        <v>100</v>
      </c>
      <c r="BB259" s="1">
        <v>100</v>
      </c>
      <c r="BC259" s="1">
        <v>100</v>
      </c>
      <c r="BD259" s="1">
        <v>100</v>
      </c>
      <c r="BE259" s="1">
        <v>100</v>
      </c>
      <c r="BF259" s="1">
        <v>100</v>
      </c>
      <c r="BG259" s="1">
        <v>100</v>
      </c>
      <c r="BH259" s="1">
        <v>100</v>
      </c>
    </row>
    <row r="260" spans="1:60" x14ac:dyDescent="0.25">
      <c r="A260">
        <v>247</v>
      </c>
      <c r="B260" s="1">
        <v>98.218271980747275</v>
      </c>
      <c r="C260" s="1">
        <v>94.353173132071191</v>
      </c>
      <c r="D260" s="1">
        <v>99.900323214082661</v>
      </c>
      <c r="E260" s="1">
        <v>113.97664203575378</v>
      </c>
      <c r="F260" s="1">
        <v>100</v>
      </c>
      <c r="G260" s="1">
        <v>101.20264176422626</v>
      </c>
      <c r="H260" s="1">
        <v>100.79779325216231</v>
      </c>
      <c r="I260" s="1">
        <v>94.751934852087658</v>
      </c>
      <c r="J260" s="1">
        <v>106.26521829857197</v>
      </c>
      <c r="K260" s="1">
        <v>106.16590636000029</v>
      </c>
      <c r="L260" s="1">
        <v>95.69663892742183</v>
      </c>
      <c r="M260" s="1">
        <v>96.715943522481638</v>
      </c>
      <c r="N260" s="1">
        <v>100</v>
      </c>
      <c r="O260" s="1">
        <v>100</v>
      </c>
      <c r="P260" s="1">
        <v>93.242451574621271</v>
      </c>
      <c r="Q260" s="1">
        <v>100</v>
      </c>
      <c r="R260" s="1">
        <v>98.539127000430625</v>
      </c>
      <c r="S260" s="1">
        <v>97.073319785509355</v>
      </c>
      <c r="T260" s="1">
        <v>106.09502869705604</v>
      </c>
      <c r="U260" s="1">
        <v>99.563140677786066</v>
      </c>
      <c r="V260" s="1">
        <v>98.077972636333641</v>
      </c>
      <c r="W260" s="1">
        <v>100</v>
      </c>
      <c r="X260" s="1">
        <v>98.938308797866256</v>
      </c>
      <c r="Y260" s="1">
        <v>100</v>
      </c>
      <c r="Z260" s="1">
        <v>92.748458137533518</v>
      </c>
      <c r="AA260" s="1">
        <v>98.079693506275504</v>
      </c>
      <c r="AB260" s="1">
        <v>87.93697482970407</v>
      </c>
      <c r="AC260" s="1">
        <v>101.78077976073585</v>
      </c>
      <c r="AD260" s="1">
        <v>113.07002987575412</v>
      </c>
      <c r="AE260" s="1">
        <v>89.124366469803178</v>
      </c>
      <c r="AF260" s="1">
        <v>104.55322036581302</v>
      </c>
      <c r="AG260" s="1">
        <v>100</v>
      </c>
      <c r="AH260" s="1">
        <v>100</v>
      </c>
      <c r="AI260" s="1">
        <v>100</v>
      </c>
      <c r="AJ260" s="1">
        <v>101.7607159866544</v>
      </c>
      <c r="AK260" s="1">
        <v>93.069035981716212</v>
      </c>
      <c r="AL260" s="1">
        <v>102.01367850713947</v>
      </c>
      <c r="AM260" s="1">
        <v>115.68453967251979</v>
      </c>
      <c r="AN260" s="1">
        <v>104.6537395229083</v>
      </c>
      <c r="AO260" s="1">
        <v>95.660873065393389</v>
      </c>
      <c r="AP260" s="1">
        <v>99.936635823365762</v>
      </c>
      <c r="AQ260" s="1">
        <v>98.859302704690791</v>
      </c>
      <c r="AR260" s="1">
        <v>102.41602914572604</v>
      </c>
      <c r="AS260" s="1">
        <v>99.046953672111897</v>
      </c>
      <c r="AT260" s="1">
        <v>103.18377345509278</v>
      </c>
      <c r="AU260" s="1">
        <v>96.947039793769179</v>
      </c>
      <c r="AV260" s="1">
        <v>99.900323214082661</v>
      </c>
      <c r="AW260" s="1">
        <v>100</v>
      </c>
      <c r="AX260" s="1">
        <v>100</v>
      </c>
      <c r="AY260" s="1">
        <v>100</v>
      </c>
      <c r="AZ260" s="1">
        <v>100</v>
      </c>
      <c r="BA260" s="1">
        <v>100</v>
      </c>
      <c r="BB260" s="1">
        <v>100</v>
      </c>
      <c r="BC260" s="1">
        <v>100</v>
      </c>
      <c r="BD260" s="1">
        <v>100</v>
      </c>
      <c r="BE260" s="1">
        <v>100</v>
      </c>
      <c r="BF260" s="1">
        <v>100</v>
      </c>
      <c r="BG260" s="1">
        <v>100</v>
      </c>
      <c r="BH260" s="1">
        <v>100</v>
      </c>
    </row>
    <row r="261" spans="1:60" x14ac:dyDescent="0.25">
      <c r="A261">
        <v>248</v>
      </c>
      <c r="B261" s="1">
        <v>98.218271980747275</v>
      </c>
      <c r="C261" s="1">
        <v>94.353173132071191</v>
      </c>
      <c r="D261" s="1">
        <v>99.900323214082661</v>
      </c>
      <c r="E261" s="1">
        <v>113.97664203575378</v>
      </c>
      <c r="F261" s="1">
        <v>100</v>
      </c>
      <c r="G261" s="1">
        <v>101.20264176422626</v>
      </c>
      <c r="H261" s="1">
        <v>100.79779325216231</v>
      </c>
      <c r="I261" s="1">
        <v>94.751934852087658</v>
      </c>
      <c r="J261" s="1">
        <v>106.26521829857197</v>
      </c>
      <c r="K261" s="1">
        <v>106.16590636000029</v>
      </c>
      <c r="L261" s="1">
        <v>95.69663892742183</v>
      </c>
      <c r="M261" s="1">
        <v>96.715943522481638</v>
      </c>
      <c r="N261" s="1">
        <v>100</v>
      </c>
      <c r="O261" s="1">
        <v>100</v>
      </c>
      <c r="P261" s="1">
        <v>93.242451574621271</v>
      </c>
      <c r="Q261" s="1">
        <v>100</v>
      </c>
      <c r="R261" s="1">
        <v>98.539127000430625</v>
      </c>
      <c r="S261" s="1">
        <v>97.073319785509355</v>
      </c>
      <c r="T261" s="1">
        <v>106.09502869705604</v>
      </c>
      <c r="U261" s="1">
        <v>99.563140677786066</v>
      </c>
      <c r="V261" s="1">
        <v>98.077972636333641</v>
      </c>
      <c r="W261" s="1">
        <v>100</v>
      </c>
      <c r="X261" s="1">
        <v>98.938308797866256</v>
      </c>
      <c r="Y261" s="1">
        <v>100</v>
      </c>
      <c r="Z261" s="1">
        <v>92.748458137533518</v>
      </c>
      <c r="AA261" s="1">
        <v>98.079693506275504</v>
      </c>
      <c r="AB261" s="1">
        <v>87.93697482970407</v>
      </c>
      <c r="AC261" s="1">
        <v>101.78077976073585</v>
      </c>
      <c r="AD261" s="1">
        <v>113.07002987575412</v>
      </c>
      <c r="AE261" s="1">
        <v>89.124366469803178</v>
      </c>
      <c r="AF261" s="1">
        <v>104.55322036581302</v>
      </c>
      <c r="AG261" s="1">
        <v>100</v>
      </c>
      <c r="AH261" s="1">
        <v>100</v>
      </c>
      <c r="AI261" s="1">
        <v>100</v>
      </c>
      <c r="AJ261" s="1">
        <v>101.7607159866544</v>
      </c>
      <c r="AK261" s="1">
        <v>92.423017387826661</v>
      </c>
      <c r="AL261" s="1">
        <v>102.67242751746166</v>
      </c>
      <c r="AM261" s="1">
        <v>115.68453967251979</v>
      </c>
      <c r="AN261" s="1">
        <v>104.6537395229083</v>
      </c>
      <c r="AO261" s="1">
        <v>94.996863794682852</v>
      </c>
      <c r="AP261" s="1">
        <v>99.936635823365762</v>
      </c>
      <c r="AQ261" s="1">
        <v>98.859302704690791</v>
      </c>
      <c r="AR261" s="1">
        <v>102.41602914572604</v>
      </c>
      <c r="AS261" s="1">
        <v>99.046953672111897</v>
      </c>
      <c r="AT261" s="1">
        <v>103.83505230937068</v>
      </c>
      <c r="AU261" s="1">
        <v>96.947039793769179</v>
      </c>
      <c r="AV261" s="1">
        <v>99.900323214082661</v>
      </c>
      <c r="AW261" s="1">
        <v>100</v>
      </c>
      <c r="AX261" s="1">
        <v>100</v>
      </c>
      <c r="AY261" s="1">
        <v>100</v>
      </c>
      <c r="AZ261" s="1">
        <v>100</v>
      </c>
      <c r="BA261" s="1">
        <v>100</v>
      </c>
      <c r="BB261" s="1">
        <v>100</v>
      </c>
      <c r="BC261" s="1">
        <v>100</v>
      </c>
      <c r="BD261" s="1">
        <v>100</v>
      </c>
      <c r="BE261" s="1">
        <v>100</v>
      </c>
      <c r="BF261" s="1">
        <v>100</v>
      </c>
      <c r="BG261" s="1">
        <v>100</v>
      </c>
      <c r="BH261" s="1">
        <v>100</v>
      </c>
    </row>
    <row r="262" spans="1:60" x14ac:dyDescent="0.25">
      <c r="A262">
        <v>249</v>
      </c>
      <c r="B262" s="1">
        <v>98.218271980747275</v>
      </c>
      <c r="C262" s="1">
        <v>94.353173132071191</v>
      </c>
      <c r="D262" s="1">
        <v>99.900323214082661</v>
      </c>
      <c r="E262" s="1">
        <v>113.97664203575378</v>
      </c>
      <c r="F262" s="1">
        <v>100</v>
      </c>
      <c r="G262" s="1">
        <v>101.20264176422626</v>
      </c>
      <c r="H262" s="1">
        <v>100.79779325216231</v>
      </c>
      <c r="I262" s="1">
        <v>94.751934852087658</v>
      </c>
      <c r="J262" s="1">
        <v>106.26521829857197</v>
      </c>
      <c r="K262" s="1">
        <v>106.16590636000029</v>
      </c>
      <c r="L262" s="1">
        <v>95.69663892742183</v>
      </c>
      <c r="M262" s="1">
        <v>96.715943522481638</v>
      </c>
      <c r="N262" s="1">
        <v>100</v>
      </c>
      <c r="O262" s="1">
        <v>100</v>
      </c>
      <c r="P262" s="1">
        <v>93.242451574621271</v>
      </c>
      <c r="Q262" s="1">
        <v>100</v>
      </c>
      <c r="R262" s="1">
        <v>98.539127000430625</v>
      </c>
      <c r="S262" s="1">
        <v>97.073319785509355</v>
      </c>
      <c r="T262" s="1">
        <v>106.09502869705604</v>
      </c>
      <c r="U262" s="1">
        <v>99.563140677786066</v>
      </c>
      <c r="V262" s="1">
        <v>98.077972636333641</v>
      </c>
      <c r="W262" s="1">
        <v>100</v>
      </c>
      <c r="X262" s="1">
        <v>98.938308797866256</v>
      </c>
      <c r="Y262" s="1">
        <v>100</v>
      </c>
      <c r="Z262" s="1">
        <v>92.748458137533518</v>
      </c>
      <c r="AA262" s="1">
        <v>98.079693506275504</v>
      </c>
      <c r="AB262" s="1">
        <v>87.93697482970407</v>
      </c>
      <c r="AC262" s="1">
        <v>101.78077976073585</v>
      </c>
      <c r="AD262" s="1">
        <v>113.07002987575412</v>
      </c>
      <c r="AE262" s="1">
        <v>89.124366469803178</v>
      </c>
      <c r="AF262" s="1">
        <v>104.55322036581302</v>
      </c>
      <c r="AG262" s="1">
        <v>100</v>
      </c>
      <c r="AH262" s="1">
        <v>100</v>
      </c>
      <c r="AI262" s="1">
        <v>100</v>
      </c>
      <c r="AJ262" s="1">
        <v>101.7607159866544</v>
      </c>
      <c r="AK262" s="1">
        <v>91.310352209869691</v>
      </c>
      <c r="AL262" s="1">
        <v>103.80693721117733</v>
      </c>
      <c r="AM262" s="1">
        <v>115.68453967251979</v>
      </c>
      <c r="AN262" s="1">
        <v>104.6537395229083</v>
      </c>
      <c r="AO262" s="1">
        <v>93.853212512276357</v>
      </c>
      <c r="AP262" s="1">
        <v>99.936635823365762</v>
      </c>
      <c r="AQ262" s="1">
        <v>98.859302704690791</v>
      </c>
      <c r="AR262" s="1">
        <v>102.41602914572604</v>
      </c>
      <c r="AS262" s="1">
        <v>99.046953672111897</v>
      </c>
      <c r="AT262" s="1">
        <v>104.95685907601847</v>
      </c>
      <c r="AU262" s="1">
        <v>96.947039793769179</v>
      </c>
      <c r="AV262" s="1">
        <v>99.900323214082661</v>
      </c>
      <c r="AW262" s="1">
        <v>100</v>
      </c>
      <c r="AX262" s="1">
        <v>100</v>
      </c>
      <c r="AY262" s="1">
        <v>100</v>
      </c>
      <c r="AZ262" s="1">
        <v>100</v>
      </c>
      <c r="BA262" s="1">
        <v>100</v>
      </c>
      <c r="BB262" s="1">
        <v>100</v>
      </c>
      <c r="BC262" s="1">
        <v>100</v>
      </c>
      <c r="BD262" s="1">
        <v>100</v>
      </c>
      <c r="BE262" s="1">
        <v>100</v>
      </c>
      <c r="BF262" s="1">
        <v>100</v>
      </c>
      <c r="BG262" s="1">
        <v>100</v>
      </c>
      <c r="BH262" s="1">
        <v>100</v>
      </c>
    </row>
    <row r="263" spans="1:60" x14ac:dyDescent="0.25">
      <c r="A263">
        <v>250</v>
      </c>
      <c r="B263" s="1">
        <v>98.218271980747275</v>
      </c>
      <c r="C263" s="1">
        <v>94.353173132071191</v>
      </c>
      <c r="D263" s="1">
        <v>99.900323214082661</v>
      </c>
      <c r="E263" s="1">
        <v>113.97664203575378</v>
      </c>
      <c r="F263" s="1">
        <v>100</v>
      </c>
      <c r="G263" s="1">
        <v>101.20264176422626</v>
      </c>
      <c r="H263" s="1">
        <v>100.79779325216231</v>
      </c>
      <c r="I263" s="1">
        <v>94.751934852087658</v>
      </c>
      <c r="J263" s="1">
        <v>106.26521829857197</v>
      </c>
      <c r="K263" s="1">
        <v>106.16590636000029</v>
      </c>
      <c r="L263" s="1">
        <v>95.69663892742183</v>
      </c>
      <c r="M263" s="1">
        <v>96.715943522481638</v>
      </c>
      <c r="N263" s="1">
        <v>100</v>
      </c>
      <c r="O263" s="1">
        <v>100</v>
      </c>
      <c r="P263" s="1">
        <v>93.242451574621271</v>
      </c>
      <c r="Q263" s="1">
        <v>100</v>
      </c>
      <c r="R263" s="1">
        <v>98.539127000430625</v>
      </c>
      <c r="S263" s="1">
        <v>97.073319785509355</v>
      </c>
      <c r="T263" s="1">
        <v>106.09502869705604</v>
      </c>
      <c r="U263" s="1">
        <v>99.563140677786066</v>
      </c>
      <c r="V263" s="1">
        <v>97.774547741621802</v>
      </c>
      <c r="W263" s="1">
        <v>100</v>
      </c>
      <c r="X263" s="1">
        <v>98.938308797866256</v>
      </c>
      <c r="Y263" s="1">
        <v>100</v>
      </c>
      <c r="Z263" s="1">
        <v>92.748458137533518</v>
      </c>
      <c r="AA263" s="1">
        <v>98.079693506275504</v>
      </c>
      <c r="AB263" s="1">
        <v>87.93697482970407</v>
      </c>
      <c r="AC263" s="1">
        <v>101.78077976073585</v>
      </c>
      <c r="AD263" s="1">
        <v>113.07002987575412</v>
      </c>
      <c r="AE263" s="1">
        <v>89.124366469803178</v>
      </c>
      <c r="AF263" s="1">
        <v>104.55322036581302</v>
      </c>
      <c r="AG263" s="1">
        <v>100</v>
      </c>
      <c r="AH263" s="1">
        <v>100</v>
      </c>
      <c r="AI263" s="1">
        <v>100.29842853546755</v>
      </c>
      <c r="AJ263" s="1">
        <v>101.7607159866544</v>
      </c>
      <c r="AK263" s="1">
        <v>91.027864376356746</v>
      </c>
      <c r="AL263" s="1">
        <v>104.09442140393456</v>
      </c>
      <c r="AM263" s="1">
        <v>115.68453967251979</v>
      </c>
      <c r="AN263" s="1">
        <v>104.6537395229083</v>
      </c>
      <c r="AO263" s="1">
        <v>93.853212512276357</v>
      </c>
      <c r="AP263" s="1">
        <v>99.936635823365762</v>
      </c>
      <c r="AQ263" s="1">
        <v>98.859302704690791</v>
      </c>
      <c r="AR263" s="1">
        <v>102.41602914572604</v>
      </c>
      <c r="AS263" s="1">
        <v>99.046953672111897</v>
      </c>
      <c r="AT263" s="1">
        <v>104.95685907601847</v>
      </c>
      <c r="AU263" s="1">
        <v>96.947039793769179</v>
      </c>
      <c r="AV263" s="1">
        <v>99.900323214082661</v>
      </c>
      <c r="AW263" s="1">
        <v>100</v>
      </c>
      <c r="AX263" s="1">
        <v>100</v>
      </c>
      <c r="AY263" s="1">
        <v>100</v>
      </c>
      <c r="AZ263" s="1">
        <v>100</v>
      </c>
      <c r="BA263" s="1">
        <v>100</v>
      </c>
      <c r="BB263" s="1">
        <v>100</v>
      </c>
      <c r="BC263" s="1">
        <v>100</v>
      </c>
      <c r="BD263" s="1">
        <v>100</v>
      </c>
      <c r="BE263" s="1">
        <v>100</v>
      </c>
      <c r="BF263" s="1">
        <v>100</v>
      </c>
      <c r="BG263" s="1">
        <v>100</v>
      </c>
      <c r="BH263" s="1">
        <v>100</v>
      </c>
    </row>
    <row r="264" spans="1:60" x14ac:dyDescent="0.25">
      <c r="A264">
        <v>251</v>
      </c>
      <c r="B264" s="1">
        <v>98.218271980747275</v>
      </c>
      <c r="C264" s="1">
        <v>94.353173132071191</v>
      </c>
      <c r="D264" s="1">
        <v>99.900323214082661</v>
      </c>
      <c r="E264" s="1">
        <v>113.97664203575378</v>
      </c>
      <c r="F264" s="1">
        <v>100</v>
      </c>
      <c r="G264" s="1">
        <v>101.20264176422626</v>
      </c>
      <c r="H264" s="1">
        <v>100.79779325216231</v>
      </c>
      <c r="I264" s="1">
        <v>94.751934852087658</v>
      </c>
      <c r="J264" s="1">
        <v>106.26521829857197</v>
      </c>
      <c r="K264" s="1">
        <v>106.16590636000029</v>
      </c>
      <c r="L264" s="1">
        <v>95.69663892742183</v>
      </c>
      <c r="M264" s="1">
        <v>96.715943522481638</v>
      </c>
      <c r="N264" s="1">
        <v>100</v>
      </c>
      <c r="O264" s="1">
        <v>100</v>
      </c>
      <c r="P264" s="1">
        <v>93.242451574621271</v>
      </c>
      <c r="Q264" s="1">
        <v>100</v>
      </c>
      <c r="R264" s="1">
        <v>98.539127000430625</v>
      </c>
      <c r="S264" s="1">
        <v>97.073319785509355</v>
      </c>
      <c r="T264" s="1">
        <v>106.09502869705604</v>
      </c>
      <c r="U264" s="1">
        <v>99.563140677786066</v>
      </c>
      <c r="V264" s="1">
        <v>97.533268316311393</v>
      </c>
      <c r="W264" s="1">
        <v>100</v>
      </c>
      <c r="X264" s="1">
        <v>98.938308797866256</v>
      </c>
      <c r="Y264" s="1">
        <v>100</v>
      </c>
      <c r="Z264" s="1">
        <v>92.748458137533518</v>
      </c>
      <c r="AA264" s="1">
        <v>98.079693506275504</v>
      </c>
      <c r="AB264" s="1">
        <v>87.93697482970407</v>
      </c>
      <c r="AC264" s="1">
        <v>101.78077976073585</v>
      </c>
      <c r="AD264" s="1">
        <v>113.07002987575412</v>
      </c>
      <c r="AE264" s="1">
        <v>89.124366469803178</v>
      </c>
      <c r="AF264" s="1">
        <v>104.55322036581302</v>
      </c>
      <c r="AG264" s="1">
        <v>100</v>
      </c>
      <c r="AH264" s="1">
        <v>100</v>
      </c>
      <c r="AI264" s="1">
        <v>100.5357099751717</v>
      </c>
      <c r="AJ264" s="1">
        <v>101.7607159866544</v>
      </c>
      <c r="AK264" s="1">
        <v>90.803233822585213</v>
      </c>
      <c r="AL264" s="1">
        <v>104.32304994331236</v>
      </c>
      <c r="AM264" s="1">
        <v>115.68453967251979</v>
      </c>
      <c r="AN264" s="1">
        <v>104.6537395229083</v>
      </c>
      <c r="AO264" s="1">
        <v>93.853212512276357</v>
      </c>
      <c r="AP264" s="1">
        <v>99.936635823365762</v>
      </c>
      <c r="AQ264" s="1">
        <v>98.859302704690791</v>
      </c>
      <c r="AR264" s="1">
        <v>102.41602914572604</v>
      </c>
      <c r="AS264" s="1">
        <v>99.046953672111897</v>
      </c>
      <c r="AT264" s="1">
        <v>104.95685907601847</v>
      </c>
      <c r="AU264" s="1">
        <v>96.947039793769179</v>
      </c>
      <c r="AV264" s="1">
        <v>99.900323214082661</v>
      </c>
      <c r="AW264" s="1">
        <v>100</v>
      </c>
      <c r="AX264" s="1">
        <v>100</v>
      </c>
      <c r="AY264" s="1">
        <v>100</v>
      </c>
      <c r="AZ264" s="1">
        <v>100</v>
      </c>
      <c r="BA264" s="1">
        <v>100</v>
      </c>
      <c r="BB264" s="1">
        <v>100</v>
      </c>
      <c r="BC264" s="1">
        <v>100</v>
      </c>
      <c r="BD264" s="1">
        <v>100</v>
      </c>
      <c r="BE264" s="1">
        <v>100</v>
      </c>
      <c r="BF264" s="1">
        <v>100</v>
      </c>
      <c r="BG264" s="1">
        <v>100</v>
      </c>
      <c r="BH264" s="1">
        <v>100</v>
      </c>
    </row>
    <row r="265" spans="1:60" x14ac:dyDescent="0.25">
      <c r="A265">
        <v>252</v>
      </c>
      <c r="B265" s="1">
        <v>98.218271980747275</v>
      </c>
      <c r="C265" s="1">
        <v>94.353173132071191</v>
      </c>
      <c r="D265" s="1">
        <v>99.900323214082661</v>
      </c>
      <c r="E265" s="1">
        <v>113.97664203575378</v>
      </c>
      <c r="F265" s="1">
        <v>100</v>
      </c>
      <c r="G265" s="1">
        <v>101.20264176422626</v>
      </c>
      <c r="H265" s="1">
        <v>100.79779325216231</v>
      </c>
      <c r="I265" s="1">
        <v>94.751934852087658</v>
      </c>
      <c r="J265" s="1">
        <v>106.26521829857197</v>
      </c>
      <c r="K265" s="1">
        <v>106.16590636000029</v>
      </c>
      <c r="L265" s="1">
        <v>95.69663892742183</v>
      </c>
      <c r="M265" s="1">
        <v>96.715943522481638</v>
      </c>
      <c r="N265" s="1">
        <v>100</v>
      </c>
      <c r="O265" s="1">
        <v>100</v>
      </c>
      <c r="P265" s="1">
        <v>93.242451574621271</v>
      </c>
      <c r="Q265" s="1">
        <v>100</v>
      </c>
      <c r="R265" s="1">
        <v>98.539127000430625</v>
      </c>
      <c r="S265" s="1">
        <v>99.965484134782628</v>
      </c>
      <c r="T265" s="1">
        <v>106.09502869705604</v>
      </c>
      <c r="U265" s="1">
        <v>99.563140677786066</v>
      </c>
      <c r="V265" s="1">
        <v>97.533268316311393</v>
      </c>
      <c r="W265" s="1">
        <v>100</v>
      </c>
      <c r="X265" s="1">
        <v>98.938308797866256</v>
      </c>
      <c r="Y265" s="1">
        <v>100</v>
      </c>
      <c r="Z265" s="1">
        <v>92.748458137533518</v>
      </c>
      <c r="AA265" s="1">
        <v>98.079693506275504</v>
      </c>
      <c r="AB265" s="1">
        <v>87.93697482970407</v>
      </c>
      <c r="AC265" s="1">
        <v>101.78077976073585</v>
      </c>
      <c r="AD265" s="1">
        <v>113.07002987575412</v>
      </c>
      <c r="AE265" s="1">
        <v>89.124366469803178</v>
      </c>
      <c r="AF265" s="1">
        <v>104.55322036581302</v>
      </c>
      <c r="AG265" s="1">
        <v>100</v>
      </c>
      <c r="AH265" s="1">
        <v>100</v>
      </c>
      <c r="AI265" s="1">
        <v>100.5357099751717</v>
      </c>
      <c r="AJ265" s="1">
        <v>101.7607159866544</v>
      </c>
      <c r="AK265" s="1">
        <v>90.803233822585213</v>
      </c>
      <c r="AL265" s="1">
        <v>104.32304994331236</v>
      </c>
      <c r="AM265" s="1">
        <v>115.68453967251979</v>
      </c>
      <c r="AN265" s="1">
        <v>104.6537395229083</v>
      </c>
      <c r="AO265" s="1">
        <v>93.853212512276357</v>
      </c>
      <c r="AP265" s="1">
        <v>102.74593586069615</v>
      </c>
      <c r="AQ265" s="1">
        <v>95.980729996252109</v>
      </c>
      <c r="AR265" s="1">
        <v>102.41602914572604</v>
      </c>
      <c r="AS265" s="1">
        <v>99.046953672111897</v>
      </c>
      <c r="AT265" s="1">
        <v>104.95685907601847</v>
      </c>
      <c r="AU265" s="1">
        <v>94.124148115604214</v>
      </c>
      <c r="AV265" s="1">
        <v>99.900323214082661</v>
      </c>
      <c r="AW265" s="1">
        <v>100</v>
      </c>
      <c r="AX265" s="1">
        <v>100</v>
      </c>
      <c r="AY265" s="1">
        <v>100</v>
      </c>
      <c r="AZ265" s="1">
        <v>100</v>
      </c>
      <c r="BA265" s="1">
        <v>100</v>
      </c>
      <c r="BB265" s="1">
        <v>100</v>
      </c>
      <c r="BC265" s="1">
        <v>100</v>
      </c>
      <c r="BD265" s="1">
        <v>100</v>
      </c>
      <c r="BE265" s="1">
        <v>100</v>
      </c>
      <c r="BF265" s="1">
        <v>100</v>
      </c>
      <c r="BG265" s="1">
        <v>100</v>
      </c>
      <c r="BH265" s="1">
        <v>100</v>
      </c>
    </row>
    <row r="266" spans="1:60" x14ac:dyDescent="0.25">
      <c r="A266">
        <v>253</v>
      </c>
      <c r="B266" s="1">
        <v>98.218271980747275</v>
      </c>
      <c r="C266" s="1">
        <v>94.353173132071191</v>
      </c>
      <c r="D266" s="1">
        <v>99.900323214082661</v>
      </c>
      <c r="E266" s="1">
        <v>113.97664203575378</v>
      </c>
      <c r="F266" s="1">
        <v>100</v>
      </c>
      <c r="G266" s="1">
        <v>101.20264176422626</v>
      </c>
      <c r="H266" s="1">
        <v>100.79779325216231</v>
      </c>
      <c r="I266" s="1">
        <v>94.751934852087658</v>
      </c>
      <c r="J266" s="1">
        <v>106.26521829857197</v>
      </c>
      <c r="K266" s="1">
        <v>106.16590636000029</v>
      </c>
      <c r="L266" s="1">
        <v>95.69663892742183</v>
      </c>
      <c r="M266" s="1">
        <v>96.715943522481638</v>
      </c>
      <c r="N266" s="1">
        <v>100</v>
      </c>
      <c r="O266" s="1">
        <v>100</v>
      </c>
      <c r="P266" s="1">
        <v>93.242451574621271</v>
      </c>
      <c r="Q266" s="1">
        <v>100</v>
      </c>
      <c r="R266" s="1">
        <v>98.539127000430625</v>
      </c>
      <c r="S266" s="1">
        <v>101.440722287209</v>
      </c>
      <c r="T266" s="1">
        <v>106.09502869705604</v>
      </c>
      <c r="U266" s="1">
        <v>99.563140677786066</v>
      </c>
      <c r="V266" s="1">
        <v>97.533268316311393</v>
      </c>
      <c r="W266" s="1">
        <v>100</v>
      </c>
      <c r="X266" s="1">
        <v>98.938308797866256</v>
      </c>
      <c r="Y266" s="1">
        <v>100</v>
      </c>
      <c r="Z266" s="1">
        <v>92.748458137533518</v>
      </c>
      <c r="AA266" s="1">
        <v>98.079693506275504</v>
      </c>
      <c r="AB266" s="1">
        <v>87.93697482970407</v>
      </c>
      <c r="AC266" s="1">
        <v>101.78077976073585</v>
      </c>
      <c r="AD266" s="1">
        <v>113.07002987575412</v>
      </c>
      <c r="AE266" s="1">
        <v>89.124366469803178</v>
      </c>
      <c r="AF266" s="1">
        <v>104.55322036581302</v>
      </c>
      <c r="AG266" s="1">
        <v>100</v>
      </c>
      <c r="AH266" s="1">
        <v>100</v>
      </c>
      <c r="AI266" s="1">
        <v>100.5357099751717</v>
      </c>
      <c r="AJ266" s="1">
        <v>101.7607159866544</v>
      </c>
      <c r="AK266" s="1">
        <v>90.803233822585213</v>
      </c>
      <c r="AL266" s="1">
        <v>104.32304994331236</v>
      </c>
      <c r="AM266" s="1">
        <v>115.68453967251979</v>
      </c>
      <c r="AN266" s="1">
        <v>104.6537395229083</v>
      </c>
      <c r="AO266" s="1">
        <v>93.853212512276357</v>
      </c>
      <c r="AP266" s="1">
        <v>104.18125196236025</v>
      </c>
      <c r="AQ266" s="1">
        <v>94.511240497739976</v>
      </c>
      <c r="AR266" s="1">
        <v>102.41602914572604</v>
      </c>
      <c r="AS266" s="1">
        <v>99.046953672111897</v>
      </c>
      <c r="AT266" s="1">
        <v>104.95685907601847</v>
      </c>
      <c r="AU266" s="1">
        <v>92.683083360025861</v>
      </c>
      <c r="AV266" s="1">
        <v>99.900323214082661</v>
      </c>
      <c r="AW266" s="1">
        <v>100</v>
      </c>
      <c r="AX266" s="1">
        <v>100</v>
      </c>
      <c r="AY266" s="1">
        <v>100</v>
      </c>
      <c r="AZ266" s="1">
        <v>100</v>
      </c>
      <c r="BA266" s="1">
        <v>100</v>
      </c>
      <c r="BB266" s="1">
        <v>100</v>
      </c>
      <c r="BC266" s="1">
        <v>100</v>
      </c>
      <c r="BD266" s="1">
        <v>100</v>
      </c>
      <c r="BE266" s="1">
        <v>100</v>
      </c>
      <c r="BF266" s="1">
        <v>100</v>
      </c>
      <c r="BG266" s="1">
        <v>100</v>
      </c>
      <c r="BH266" s="1">
        <v>100</v>
      </c>
    </row>
    <row r="267" spans="1:60" x14ac:dyDescent="0.25">
      <c r="A267">
        <v>254</v>
      </c>
      <c r="B267" s="1">
        <v>98.218271980747275</v>
      </c>
      <c r="C267" s="1">
        <v>94.353173132071191</v>
      </c>
      <c r="D267" s="1">
        <v>99.900323214082661</v>
      </c>
      <c r="E267" s="1">
        <v>114.07593258199644</v>
      </c>
      <c r="F267" s="1">
        <v>100</v>
      </c>
      <c r="G267" s="1">
        <v>101.20264176422626</v>
      </c>
      <c r="H267" s="1">
        <v>100.79779325216231</v>
      </c>
      <c r="I267" s="1">
        <v>94.751934852087658</v>
      </c>
      <c r="J267" s="1">
        <v>106.26521829857197</v>
      </c>
      <c r="K267" s="1">
        <v>106.16590636000029</v>
      </c>
      <c r="L267" s="1">
        <v>95.69663892742183</v>
      </c>
      <c r="M267" s="1">
        <v>96.715943522481638</v>
      </c>
      <c r="N267" s="1">
        <v>100</v>
      </c>
      <c r="O267" s="1">
        <v>100</v>
      </c>
      <c r="P267" s="1">
        <v>93.242451574621271</v>
      </c>
      <c r="Q267" s="1">
        <v>100</v>
      </c>
      <c r="R267" s="1">
        <v>98.539127000430625</v>
      </c>
      <c r="S267" s="1">
        <v>101.440722287209</v>
      </c>
      <c r="T267" s="1">
        <v>106.09502869705604</v>
      </c>
      <c r="U267" s="1">
        <v>99.563140677786066</v>
      </c>
      <c r="V267" s="1">
        <v>97.425074039181439</v>
      </c>
      <c r="W267" s="1">
        <v>100</v>
      </c>
      <c r="X267" s="1">
        <v>98.938308797866256</v>
      </c>
      <c r="Y267" s="1">
        <v>100</v>
      </c>
      <c r="Z267" s="1">
        <v>92.748458137533518</v>
      </c>
      <c r="AA267" s="1">
        <v>98.079693506275504</v>
      </c>
      <c r="AB267" s="1">
        <v>87.93697482970407</v>
      </c>
      <c r="AC267" s="1">
        <v>101.78077976073585</v>
      </c>
      <c r="AD267" s="1">
        <v>113.07002987575412</v>
      </c>
      <c r="AE267" s="1">
        <v>89.124366469803178</v>
      </c>
      <c r="AF267" s="1">
        <v>104.55322036581302</v>
      </c>
      <c r="AG267" s="1">
        <v>100</v>
      </c>
      <c r="AH267" s="1">
        <v>100</v>
      </c>
      <c r="AI267" s="1">
        <v>100.5357099751717</v>
      </c>
      <c r="AJ267" s="1">
        <v>101.7607159866544</v>
      </c>
      <c r="AK267" s="1">
        <v>90.927863778702701</v>
      </c>
      <c r="AL267" s="1">
        <v>104.20732371808216</v>
      </c>
      <c r="AM267" s="1">
        <v>115.68453967251979</v>
      </c>
      <c r="AN267" s="1">
        <v>104.6537395229083</v>
      </c>
      <c r="AO267" s="1">
        <v>93.853212512276357</v>
      </c>
      <c r="AP267" s="1">
        <v>104.18125196236025</v>
      </c>
      <c r="AQ267" s="1">
        <v>94.511240497739976</v>
      </c>
      <c r="AR267" s="1">
        <v>102.41602914572604</v>
      </c>
      <c r="AS267" s="1">
        <v>99.046953672111897</v>
      </c>
      <c r="AT267" s="1">
        <v>104.95685907601847</v>
      </c>
      <c r="AU267" s="1">
        <v>92.683083360025861</v>
      </c>
      <c r="AV267" s="1">
        <v>99.900323214082661</v>
      </c>
      <c r="AW267" s="1">
        <v>100</v>
      </c>
      <c r="AX267" s="1">
        <v>100</v>
      </c>
      <c r="AY267" s="1">
        <v>100</v>
      </c>
      <c r="AZ267" s="1">
        <v>100</v>
      </c>
      <c r="BA267" s="1">
        <v>100</v>
      </c>
      <c r="BB267" s="1">
        <v>100</v>
      </c>
      <c r="BC267" s="1">
        <v>100</v>
      </c>
      <c r="BD267" s="1">
        <v>100</v>
      </c>
      <c r="BE267" s="1">
        <v>100</v>
      </c>
      <c r="BF267" s="1">
        <v>100</v>
      </c>
      <c r="BG267" s="1">
        <v>100</v>
      </c>
      <c r="BH267" s="1">
        <v>100</v>
      </c>
    </row>
    <row r="268" spans="1:60" x14ac:dyDescent="0.25">
      <c r="A268">
        <v>255</v>
      </c>
      <c r="B268" s="1">
        <v>98.218271980747275</v>
      </c>
      <c r="C268" s="1">
        <v>94.353173132071191</v>
      </c>
      <c r="D268" s="1">
        <v>99.900323214082661</v>
      </c>
      <c r="E268" s="1">
        <v>115.28797022820102</v>
      </c>
      <c r="F268" s="1">
        <v>100</v>
      </c>
      <c r="G268" s="1">
        <v>101.20264176422626</v>
      </c>
      <c r="H268" s="1">
        <v>100.79779325216231</v>
      </c>
      <c r="I268" s="1">
        <v>94.751934852087658</v>
      </c>
      <c r="J268" s="1">
        <v>106.26521829857197</v>
      </c>
      <c r="K268" s="1">
        <v>106.16590636000029</v>
      </c>
      <c r="L268" s="1">
        <v>95.69663892742183</v>
      </c>
      <c r="M268" s="1">
        <v>96.715943522481638</v>
      </c>
      <c r="N268" s="1">
        <v>100</v>
      </c>
      <c r="O268" s="1">
        <v>100</v>
      </c>
      <c r="P268" s="1">
        <v>93.242451574621271</v>
      </c>
      <c r="Q268" s="1">
        <v>100</v>
      </c>
      <c r="R268" s="1">
        <v>98.539127000430625</v>
      </c>
      <c r="S268" s="1">
        <v>101.440722287209</v>
      </c>
      <c r="T268" s="1">
        <v>106.09502869705604</v>
      </c>
      <c r="U268" s="1">
        <v>99.563140677786066</v>
      </c>
      <c r="V268" s="1">
        <v>96.104716788420291</v>
      </c>
      <c r="W268" s="1">
        <v>100</v>
      </c>
      <c r="X268" s="1">
        <v>98.938308797866256</v>
      </c>
      <c r="Y268" s="1">
        <v>100</v>
      </c>
      <c r="Z268" s="1">
        <v>92.748458137533518</v>
      </c>
      <c r="AA268" s="1">
        <v>98.079693506275504</v>
      </c>
      <c r="AB268" s="1">
        <v>87.93697482970407</v>
      </c>
      <c r="AC268" s="1">
        <v>101.78077976073585</v>
      </c>
      <c r="AD268" s="1">
        <v>113.07002987575412</v>
      </c>
      <c r="AE268" s="1">
        <v>89.124366469803178</v>
      </c>
      <c r="AF268" s="1">
        <v>104.55322036581302</v>
      </c>
      <c r="AG268" s="1">
        <v>100</v>
      </c>
      <c r="AH268" s="1">
        <v>100</v>
      </c>
      <c r="AI268" s="1">
        <v>100.5357099751717</v>
      </c>
      <c r="AJ268" s="1">
        <v>101.7607159866544</v>
      </c>
      <c r="AK268" s="1">
        <v>92.448457346718101</v>
      </c>
      <c r="AL268" s="1">
        <v>102.79504975462334</v>
      </c>
      <c r="AM268" s="1">
        <v>115.68453967251979</v>
      </c>
      <c r="AN268" s="1">
        <v>104.6537395229083</v>
      </c>
      <c r="AO268" s="1">
        <v>93.853212512276357</v>
      </c>
      <c r="AP268" s="1">
        <v>104.18125196236025</v>
      </c>
      <c r="AQ268" s="1">
        <v>94.511240497739976</v>
      </c>
      <c r="AR268" s="1">
        <v>102.41602914572604</v>
      </c>
      <c r="AS268" s="1">
        <v>99.046953672111897</v>
      </c>
      <c r="AT268" s="1">
        <v>104.95685907601847</v>
      </c>
      <c r="AU268" s="1">
        <v>92.683083360025861</v>
      </c>
      <c r="AV268" s="1">
        <v>99.900323214082661</v>
      </c>
      <c r="AW268" s="1">
        <v>100</v>
      </c>
      <c r="AX268" s="1">
        <v>100</v>
      </c>
      <c r="AY268" s="1">
        <v>100</v>
      </c>
      <c r="AZ268" s="1">
        <v>100</v>
      </c>
      <c r="BA268" s="1">
        <v>100</v>
      </c>
      <c r="BB268" s="1">
        <v>100</v>
      </c>
      <c r="BC268" s="1">
        <v>100</v>
      </c>
      <c r="BD268" s="1">
        <v>100</v>
      </c>
      <c r="BE268" s="1">
        <v>100</v>
      </c>
      <c r="BF268" s="1">
        <v>100</v>
      </c>
      <c r="BG268" s="1">
        <v>100</v>
      </c>
      <c r="BH268" s="1">
        <v>100</v>
      </c>
    </row>
    <row r="269" spans="1:60" x14ac:dyDescent="0.25">
      <c r="A269">
        <v>256</v>
      </c>
      <c r="B269" s="1">
        <v>98.218271980747275</v>
      </c>
      <c r="C269" s="1">
        <v>94.353173132071191</v>
      </c>
      <c r="D269" s="1">
        <v>99.900323214082661</v>
      </c>
      <c r="E269" s="1">
        <v>115.28797022820102</v>
      </c>
      <c r="F269" s="1">
        <v>100</v>
      </c>
      <c r="G269" s="1">
        <v>101.20264176422626</v>
      </c>
      <c r="H269" s="1">
        <v>100.79779325216231</v>
      </c>
      <c r="I269" s="1">
        <v>94.751934852087658</v>
      </c>
      <c r="J269" s="1">
        <v>106.26521829857197</v>
      </c>
      <c r="K269" s="1">
        <v>106.16590636000029</v>
      </c>
      <c r="L269" s="1">
        <v>95.69663892742183</v>
      </c>
      <c r="M269" s="1">
        <v>96.715943522481638</v>
      </c>
      <c r="N269" s="1">
        <v>100</v>
      </c>
      <c r="O269" s="1">
        <v>100</v>
      </c>
      <c r="P269" s="1">
        <v>93.242451574621271</v>
      </c>
      <c r="Q269" s="1">
        <v>100</v>
      </c>
      <c r="R269" s="1">
        <v>98.539127000430625</v>
      </c>
      <c r="S269" s="1">
        <v>101.440722287209</v>
      </c>
      <c r="T269" s="1">
        <v>106.09502869705604</v>
      </c>
      <c r="U269" s="1">
        <v>99.563140677786066</v>
      </c>
      <c r="V269" s="1">
        <v>96.104716788420291</v>
      </c>
      <c r="W269" s="1">
        <v>101.7413055948421</v>
      </c>
      <c r="X269" s="1">
        <v>98.938308797866256</v>
      </c>
      <c r="Y269" s="1">
        <v>100</v>
      </c>
      <c r="Z269" s="1">
        <v>92.748458137533518</v>
      </c>
      <c r="AA269" s="1">
        <v>98.079693506275504</v>
      </c>
      <c r="AB269" s="1">
        <v>86.440165123009493</v>
      </c>
      <c r="AC269" s="1">
        <v>101.78077976073585</v>
      </c>
      <c r="AD269" s="1">
        <v>113.07002987575412</v>
      </c>
      <c r="AE269" s="1">
        <v>89.124366469803178</v>
      </c>
      <c r="AF269" s="1">
        <v>104.55322036581302</v>
      </c>
      <c r="AG269" s="1">
        <v>100</v>
      </c>
      <c r="AH269" s="1">
        <v>100</v>
      </c>
      <c r="AI269" s="1">
        <v>100.5357099751717</v>
      </c>
      <c r="AJ269" s="1">
        <v>101.7607159866544</v>
      </c>
      <c r="AK269" s="1">
        <v>92.448457346718101</v>
      </c>
      <c r="AL269" s="1">
        <v>101.04533493249258</v>
      </c>
      <c r="AM269" s="1">
        <v>117.18975860650302</v>
      </c>
      <c r="AN269" s="1">
        <v>104.6537395229083</v>
      </c>
      <c r="AO269" s="1">
        <v>93.853212512276357</v>
      </c>
      <c r="AP269" s="1">
        <v>104.18125196236025</v>
      </c>
      <c r="AQ269" s="1">
        <v>94.511240497739976</v>
      </c>
      <c r="AR269" s="1">
        <v>102.41602914572604</v>
      </c>
      <c r="AS269" s="1">
        <v>99.046953672111897</v>
      </c>
      <c r="AT269" s="1">
        <v>104.95685907601847</v>
      </c>
      <c r="AU269" s="1">
        <v>92.683083360025861</v>
      </c>
      <c r="AV269" s="1">
        <v>99.900323214082661</v>
      </c>
      <c r="AW269" s="1">
        <v>100</v>
      </c>
      <c r="AX269" s="1">
        <v>100</v>
      </c>
      <c r="AY269" s="1">
        <v>100</v>
      </c>
      <c r="AZ269" s="1">
        <v>100</v>
      </c>
      <c r="BA269" s="1">
        <v>100</v>
      </c>
      <c r="BB269" s="1">
        <v>100</v>
      </c>
      <c r="BC269" s="1">
        <v>100</v>
      </c>
      <c r="BD269" s="1">
        <v>100</v>
      </c>
      <c r="BE269" s="1">
        <v>100</v>
      </c>
      <c r="BF269" s="1">
        <v>100</v>
      </c>
      <c r="BG269" s="1">
        <v>100</v>
      </c>
      <c r="BH269" s="1">
        <v>100</v>
      </c>
    </row>
    <row r="270" spans="1:60" x14ac:dyDescent="0.25">
      <c r="A270">
        <v>257</v>
      </c>
      <c r="B270" s="1">
        <v>98.218271980747275</v>
      </c>
      <c r="C270" s="1">
        <v>94.353173132071191</v>
      </c>
      <c r="D270" s="1">
        <v>99.900323214082661</v>
      </c>
      <c r="E270" s="1">
        <v>115.28797022820102</v>
      </c>
      <c r="F270" s="1">
        <v>100</v>
      </c>
      <c r="G270" s="1">
        <v>101.20264176422626</v>
      </c>
      <c r="H270" s="1">
        <v>100.79779325216231</v>
      </c>
      <c r="I270" s="1">
        <v>94.751934852087658</v>
      </c>
      <c r="J270" s="1">
        <v>106.26521829857197</v>
      </c>
      <c r="K270" s="1">
        <v>106.16590636000029</v>
      </c>
      <c r="L270" s="1">
        <v>95.69663892742183</v>
      </c>
      <c r="M270" s="1">
        <v>96.715943522481638</v>
      </c>
      <c r="N270" s="1">
        <v>100</v>
      </c>
      <c r="O270" s="1">
        <v>100</v>
      </c>
      <c r="P270" s="1">
        <v>93.242451574621271</v>
      </c>
      <c r="Q270" s="1">
        <v>100</v>
      </c>
      <c r="R270" s="1">
        <v>98.539127000430625</v>
      </c>
      <c r="S270" s="1">
        <v>101.440722287209</v>
      </c>
      <c r="T270" s="1">
        <v>106.09502869705604</v>
      </c>
      <c r="U270" s="1">
        <v>99.563140677786066</v>
      </c>
      <c r="V270" s="1">
        <v>96.104716788420291</v>
      </c>
      <c r="W270" s="1">
        <v>101.3186014054906</v>
      </c>
      <c r="X270" s="1">
        <v>98.938308797866256</v>
      </c>
      <c r="Y270" s="1">
        <v>100</v>
      </c>
      <c r="Z270" s="1">
        <v>92.748458137533518</v>
      </c>
      <c r="AA270" s="1">
        <v>98.079693506275504</v>
      </c>
      <c r="AB270" s="1">
        <v>86.930389853138422</v>
      </c>
      <c r="AC270" s="1">
        <v>101.78077976073585</v>
      </c>
      <c r="AD270" s="1">
        <v>113.07002987575412</v>
      </c>
      <c r="AE270" s="1">
        <v>89.124366469803178</v>
      </c>
      <c r="AF270" s="1">
        <v>104.55322036581302</v>
      </c>
      <c r="AG270" s="1">
        <v>100</v>
      </c>
      <c r="AH270" s="1">
        <v>100</v>
      </c>
      <c r="AI270" s="1">
        <v>100.5357099751717</v>
      </c>
      <c r="AJ270" s="1">
        <v>101.7607159866544</v>
      </c>
      <c r="AK270" s="1">
        <v>92.448457346718101</v>
      </c>
      <c r="AL270" s="1">
        <v>101.46470220608357</v>
      </c>
      <c r="AM270" s="1">
        <v>116.7028707921346</v>
      </c>
      <c r="AN270" s="1">
        <v>104.6537395229083</v>
      </c>
      <c r="AO270" s="1">
        <v>93.853212512276357</v>
      </c>
      <c r="AP270" s="1">
        <v>104.18125196236025</v>
      </c>
      <c r="AQ270" s="1">
        <v>94.511240497739976</v>
      </c>
      <c r="AR270" s="1">
        <v>102.41602914572604</v>
      </c>
      <c r="AS270" s="1">
        <v>99.046953672111897</v>
      </c>
      <c r="AT270" s="1">
        <v>104.95685907601847</v>
      </c>
      <c r="AU270" s="1">
        <v>92.683083360025861</v>
      </c>
      <c r="AV270" s="1">
        <v>99.900323214082661</v>
      </c>
      <c r="AW270" s="1">
        <v>100</v>
      </c>
      <c r="AX270" s="1">
        <v>100</v>
      </c>
      <c r="AY270" s="1">
        <v>100</v>
      </c>
      <c r="AZ270" s="1">
        <v>100</v>
      </c>
      <c r="BA270" s="1">
        <v>100</v>
      </c>
      <c r="BB270" s="1">
        <v>100</v>
      </c>
      <c r="BC270" s="1">
        <v>100</v>
      </c>
      <c r="BD270" s="1">
        <v>100</v>
      </c>
      <c r="BE270" s="1">
        <v>100</v>
      </c>
      <c r="BF270" s="1">
        <v>100</v>
      </c>
      <c r="BG270" s="1">
        <v>100</v>
      </c>
      <c r="BH270" s="1">
        <v>100</v>
      </c>
    </row>
    <row r="271" spans="1:60" x14ac:dyDescent="0.25">
      <c r="A271">
        <v>258</v>
      </c>
      <c r="B271" s="1">
        <v>98.218271980747275</v>
      </c>
      <c r="C271" s="1">
        <v>94.353173132071191</v>
      </c>
      <c r="D271" s="1">
        <v>99.900323214082661</v>
      </c>
      <c r="E271" s="1">
        <v>114.73694674609409</v>
      </c>
      <c r="F271" s="1">
        <v>100</v>
      </c>
      <c r="G271" s="1">
        <v>101.20264176422626</v>
      </c>
      <c r="H271" s="1">
        <v>100.79779325216231</v>
      </c>
      <c r="I271" s="1">
        <v>94.751934852087658</v>
      </c>
      <c r="J271" s="1">
        <v>106.26521829857197</v>
      </c>
      <c r="K271" s="1">
        <v>106.16590636000029</v>
      </c>
      <c r="L271" s="1">
        <v>95.69663892742183</v>
      </c>
      <c r="M271" s="1">
        <v>96.715943522481638</v>
      </c>
      <c r="N271" s="1">
        <v>100</v>
      </c>
      <c r="O271" s="1">
        <v>100</v>
      </c>
      <c r="P271" s="1">
        <v>93.242451574621271</v>
      </c>
      <c r="Q271" s="1">
        <v>100</v>
      </c>
      <c r="R271" s="1">
        <v>98.539127000430625</v>
      </c>
      <c r="S271" s="1">
        <v>101.440722287209</v>
      </c>
      <c r="T271" s="1">
        <v>106.09502869705604</v>
      </c>
      <c r="U271" s="1">
        <v>99.563140677786066</v>
      </c>
      <c r="V271" s="1">
        <v>96.612345658902612</v>
      </c>
      <c r="W271" s="1">
        <v>101.3186014054906</v>
      </c>
      <c r="X271" s="1">
        <v>98.938308797866256</v>
      </c>
      <c r="Y271" s="1">
        <v>100</v>
      </c>
      <c r="Z271" s="1">
        <v>92.748458137533518</v>
      </c>
      <c r="AA271" s="1">
        <v>98.079693506275504</v>
      </c>
      <c r="AB271" s="1">
        <v>86.930389853138422</v>
      </c>
      <c r="AC271" s="1">
        <v>101.78077976073585</v>
      </c>
      <c r="AD271" s="1">
        <v>113.07002987575412</v>
      </c>
      <c r="AE271" s="1">
        <v>89.124366469803178</v>
      </c>
      <c r="AF271" s="1">
        <v>104.55322036581302</v>
      </c>
      <c r="AG271" s="1">
        <v>100</v>
      </c>
      <c r="AH271" s="1">
        <v>100</v>
      </c>
      <c r="AI271" s="1">
        <v>101.02096570016113</v>
      </c>
      <c r="AJ271" s="1">
        <v>101.7607159866544</v>
      </c>
      <c r="AK271" s="1">
        <v>92.006596233353278</v>
      </c>
      <c r="AL271" s="1">
        <v>101.46470220608357</v>
      </c>
      <c r="AM271" s="1">
        <v>116.7028707921346</v>
      </c>
      <c r="AN271" s="1">
        <v>104.6537395229083</v>
      </c>
      <c r="AO271" s="1">
        <v>93.853212512276357</v>
      </c>
      <c r="AP271" s="1">
        <v>104.18125196236025</v>
      </c>
      <c r="AQ271" s="1">
        <v>94.511240497739976</v>
      </c>
      <c r="AR271" s="1">
        <v>102.41602914572604</v>
      </c>
      <c r="AS271" s="1">
        <v>99.046953672111897</v>
      </c>
      <c r="AT271" s="1">
        <v>104.95685907601847</v>
      </c>
      <c r="AU271" s="1">
        <v>92.683083360025861</v>
      </c>
      <c r="AV271" s="1">
        <v>99.900323214082661</v>
      </c>
      <c r="AW271" s="1">
        <v>100</v>
      </c>
      <c r="AX271" s="1">
        <v>100</v>
      </c>
      <c r="AY271" s="1">
        <v>100</v>
      </c>
      <c r="AZ271" s="1">
        <v>100</v>
      </c>
      <c r="BA271" s="1">
        <v>100</v>
      </c>
      <c r="BB271" s="1">
        <v>100</v>
      </c>
      <c r="BC271" s="1">
        <v>100</v>
      </c>
      <c r="BD271" s="1">
        <v>100</v>
      </c>
      <c r="BE271" s="1">
        <v>100</v>
      </c>
      <c r="BF271" s="1">
        <v>100</v>
      </c>
      <c r="BG271" s="1">
        <v>100</v>
      </c>
      <c r="BH271" s="1">
        <v>100</v>
      </c>
    </row>
    <row r="272" spans="1:60" x14ac:dyDescent="0.25">
      <c r="A272">
        <v>259</v>
      </c>
      <c r="B272" s="1">
        <v>98.218271980747275</v>
      </c>
      <c r="C272" s="1">
        <v>94.353173132071191</v>
      </c>
      <c r="D272" s="1">
        <v>99.900323214082661</v>
      </c>
      <c r="E272" s="1">
        <v>114.02034665253744</v>
      </c>
      <c r="F272" s="1">
        <v>100</v>
      </c>
      <c r="G272" s="1">
        <v>101.20264176422626</v>
      </c>
      <c r="H272" s="1">
        <v>100.79779325216231</v>
      </c>
      <c r="I272" s="1">
        <v>94.751934852087658</v>
      </c>
      <c r="J272" s="1">
        <v>106.26521829857197</v>
      </c>
      <c r="K272" s="1">
        <v>106.16590636000029</v>
      </c>
      <c r="L272" s="1">
        <v>95.69663892742183</v>
      </c>
      <c r="M272" s="1">
        <v>96.715943522481638</v>
      </c>
      <c r="N272" s="1">
        <v>100</v>
      </c>
      <c r="O272" s="1">
        <v>100</v>
      </c>
      <c r="P272" s="1">
        <v>93.242451574621271</v>
      </c>
      <c r="Q272" s="1">
        <v>100</v>
      </c>
      <c r="R272" s="1">
        <v>98.539127000430625</v>
      </c>
      <c r="S272" s="1">
        <v>101.440722287209</v>
      </c>
      <c r="T272" s="1">
        <v>106.09502869705604</v>
      </c>
      <c r="U272" s="1">
        <v>99.563140677786066</v>
      </c>
      <c r="V272" s="1">
        <v>97.272365353448237</v>
      </c>
      <c r="W272" s="1">
        <v>101.3186014054906</v>
      </c>
      <c r="X272" s="1">
        <v>98.938308797866256</v>
      </c>
      <c r="Y272" s="1">
        <v>100</v>
      </c>
      <c r="Z272" s="1">
        <v>92.748458137533518</v>
      </c>
      <c r="AA272" s="1">
        <v>98.079693506275504</v>
      </c>
      <c r="AB272" s="1">
        <v>86.930389853138422</v>
      </c>
      <c r="AC272" s="1">
        <v>101.78077976073585</v>
      </c>
      <c r="AD272" s="1">
        <v>113.07002987575412</v>
      </c>
      <c r="AE272" s="1">
        <v>89.124366469803178</v>
      </c>
      <c r="AF272" s="1">
        <v>104.55322036581302</v>
      </c>
      <c r="AG272" s="1">
        <v>100</v>
      </c>
      <c r="AH272" s="1">
        <v>100</v>
      </c>
      <c r="AI272" s="1">
        <v>101.65218170991882</v>
      </c>
      <c r="AJ272" s="1">
        <v>101.7607159866544</v>
      </c>
      <c r="AK272" s="1">
        <v>91.43196062260661</v>
      </c>
      <c r="AL272" s="1">
        <v>101.46470220608357</v>
      </c>
      <c r="AM272" s="1">
        <v>116.7028707921346</v>
      </c>
      <c r="AN272" s="1">
        <v>104.6537395229083</v>
      </c>
      <c r="AO272" s="1">
        <v>93.853212512276357</v>
      </c>
      <c r="AP272" s="1">
        <v>104.18125196236025</v>
      </c>
      <c r="AQ272" s="1">
        <v>94.511240497739976</v>
      </c>
      <c r="AR272" s="1">
        <v>102.41602914572604</v>
      </c>
      <c r="AS272" s="1">
        <v>99.046953672111897</v>
      </c>
      <c r="AT272" s="1">
        <v>104.95685907601847</v>
      </c>
      <c r="AU272" s="1">
        <v>92.683083360025861</v>
      </c>
      <c r="AV272" s="1">
        <v>99.900323214082661</v>
      </c>
      <c r="AW272" s="1">
        <v>100</v>
      </c>
      <c r="AX272" s="1">
        <v>100</v>
      </c>
      <c r="AY272" s="1">
        <v>100</v>
      </c>
      <c r="AZ272" s="1">
        <v>100</v>
      </c>
      <c r="BA272" s="1">
        <v>100</v>
      </c>
      <c r="BB272" s="1">
        <v>100</v>
      </c>
      <c r="BC272" s="1">
        <v>100</v>
      </c>
      <c r="BD272" s="1">
        <v>100</v>
      </c>
      <c r="BE272" s="1">
        <v>100</v>
      </c>
      <c r="BF272" s="1">
        <v>100</v>
      </c>
      <c r="BG272" s="1">
        <v>100</v>
      </c>
      <c r="BH272" s="1">
        <v>100</v>
      </c>
    </row>
    <row r="273" spans="1:60" x14ac:dyDescent="0.25">
      <c r="A273">
        <v>260</v>
      </c>
      <c r="B273" s="1">
        <v>98.218271980747275</v>
      </c>
      <c r="C273" s="1">
        <v>94.353173132071191</v>
      </c>
      <c r="D273" s="1">
        <v>99.900323214082661</v>
      </c>
      <c r="E273" s="1">
        <v>114.02034665253744</v>
      </c>
      <c r="F273" s="1">
        <v>100</v>
      </c>
      <c r="G273" s="1">
        <v>101.20264176422626</v>
      </c>
      <c r="H273" s="1">
        <v>100.79779325216231</v>
      </c>
      <c r="I273" s="1">
        <v>94.751934852087658</v>
      </c>
      <c r="J273" s="1">
        <v>106.26521829857197</v>
      </c>
      <c r="K273" s="1">
        <v>106.16590636000029</v>
      </c>
      <c r="L273" s="1">
        <v>95.69663892742183</v>
      </c>
      <c r="M273" s="1">
        <v>96.715943522481638</v>
      </c>
      <c r="N273" s="1">
        <v>100</v>
      </c>
      <c r="O273" s="1">
        <v>100</v>
      </c>
      <c r="P273" s="1">
        <v>90.115258522941716</v>
      </c>
      <c r="Q273" s="1">
        <v>100</v>
      </c>
      <c r="R273" s="1">
        <v>98.539127000430625</v>
      </c>
      <c r="S273" s="1">
        <v>101.440722287209</v>
      </c>
      <c r="T273" s="1">
        <v>106.09502869705604</v>
      </c>
      <c r="U273" s="1">
        <v>99.563140677786066</v>
      </c>
      <c r="V273" s="1">
        <v>100.53654069481819</v>
      </c>
      <c r="W273" s="1">
        <v>101.3186014054906</v>
      </c>
      <c r="X273" s="1">
        <v>98.938308797866256</v>
      </c>
      <c r="Y273" s="1">
        <v>100</v>
      </c>
      <c r="Z273" s="1">
        <v>92.748458137533518</v>
      </c>
      <c r="AA273" s="1">
        <v>98.079693506275504</v>
      </c>
      <c r="AB273" s="1">
        <v>86.930389853138422</v>
      </c>
      <c r="AC273" s="1">
        <v>101.78077976073585</v>
      </c>
      <c r="AD273" s="1">
        <v>113.07002987575412</v>
      </c>
      <c r="AE273" s="1">
        <v>89.124366469803178</v>
      </c>
      <c r="AF273" s="1">
        <v>104.55322036581302</v>
      </c>
      <c r="AG273" s="1">
        <v>100</v>
      </c>
      <c r="AH273" s="1">
        <v>100</v>
      </c>
      <c r="AI273" s="1">
        <v>101.65218170991882</v>
      </c>
      <c r="AJ273" s="1">
        <v>101.7607159866544</v>
      </c>
      <c r="AK273" s="1">
        <v>91.43196062260661</v>
      </c>
      <c r="AL273" s="1">
        <v>101.46470220608357</v>
      </c>
      <c r="AM273" s="1">
        <v>116.7028707921346</v>
      </c>
      <c r="AN273" s="1">
        <v>104.6537395229083</v>
      </c>
      <c r="AO273" s="1">
        <v>97.236304554457888</v>
      </c>
      <c r="AP273" s="1">
        <v>104.18125196236025</v>
      </c>
      <c r="AQ273" s="1">
        <v>94.511240497739976</v>
      </c>
      <c r="AR273" s="1">
        <v>102.41602914572604</v>
      </c>
      <c r="AS273" s="1">
        <v>99.046953672111897</v>
      </c>
      <c r="AT273" s="1">
        <v>101.43678474414655</v>
      </c>
      <c r="AU273" s="1">
        <v>92.683083360025861</v>
      </c>
      <c r="AV273" s="1">
        <v>99.900323214082661</v>
      </c>
      <c r="AW273" s="1">
        <v>100</v>
      </c>
      <c r="AX273" s="1">
        <v>100</v>
      </c>
      <c r="AY273" s="1">
        <v>100</v>
      </c>
      <c r="AZ273" s="1">
        <v>100</v>
      </c>
      <c r="BA273" s="1">
        <v>100</v>
      </c>
      <c r="BB273" s="1">
        <v>100</v>
      </c>
      <c r="BC273" s="1">
        <v>100</v>
      </c>
      <c r="BD273" s="1">
        <v>100</v>
      </c>
      <c r="BE273" s="1">
        <v>100</v>
      </c>
      <c r="BF273" s="1">
        <v>100</v>
      </c>
      <c r="BG273" s="1">
        <v>100</v>
      </c>
      <c r="BH273" s="1">
        <v>100</v>
      </c>
    </row>
    <row r="274" spans="1:60" x14ac:dyDescent="0.25">
      <c r="A274">
        <v>261</v>
      </c>
      <c r="B274" s="1">
        <v>98.218271980747275</v>
      </c>
      <c r="C274" s="1">
        <v>94.353173132071191</v>
      </c>
      <c r="D274" s="1">
        <v>99.900323214082661</v>
      </c>
      <c r="E274" s="1">
        <v>114.02034665253744</v>
      </c>
      <c r="F274" s="1">
        <v>100</v>
      </c>
      <c r="G274" s="1">
        <v>101.20264176422626</v>
      </c>
      <c r="H274" s="1">
        <v>100.79779325216231</v>
      </c>
      <c r="I274" s="1">
        <v>94.751934852087658</v>
      </c>
      <c r="J274" s="1">
        <v>106.26521829857197</v>
      </c>
      <c r="K274" s="1">
        <v>106.16590636000029</v>
      </c>
      <c r="L274" s="1">
        <v>95.69663892742183</v>
      </c>
      <c r="M274" s="1">
        <v>96.715943522481638</v>
      </c>
      <c r="N274" s="1">
        <v>100</v>
      </c>
      <c r="O274" s="1">
        <v>100</v>
      </c>
      <c r="P274" s="1">
        <v>90.355589374281678</v>
      </c>
      <c r="Q274" s="1">
        <v>100</v>
      </c>
      <c r="R274" s="1">
        <v>98.539127000430625</v>
      </c>
      <c r="S274" s="1">
        <v>101.440722287209</v>
      </c>
      <c r="T274" s="1">
        <v>106.09502869705604</v>
      </c>
      <c r="U274" s="1">
        <v>99.563140677786066</v>
      </c>
      <c r="V274" s="1">
        <v>100.30583510611814</v>
      </c>
      <c r="W274" s="1">
        <v>101.3186014054906</v>
      </c>
      <c r="X274" s="1">
        <v>98.938308797866256</v>
      </c>
      <c r="Y274" s="1">
        <v>100</v>
      </c>
      <c r="Z274" s="1">
        <v>92.748458137533518</v>
      </c>
      <c r="AA274" s="1">
        <v>98.079693506275504</v>
      </c>
      <c r="AB274" s="1">
        <v>86.930389853138422</v>
      </c>
      <c r="AC274" s="1">
        <v>101.78077976073585</v>
      </c>
      <c r="AD274" s="1">
        <v>113.07002987575412</v>
      </c>
      <c r="AE274" s="1">
        <v>89.124366469803178</v>
      </c>
      <c r="AF274" s="1">
        <v>104.55322036581302</v>
      </c>
      <c r="AG274" s="1">
        <v>100</v>
      </c>
      <c r="AH274" s="1">
        <v>100</v>
      </c>
      <c r="AI274" s="1">
        <v>101.65218170991882</v>
      </c>
      <c r="AJ274" s="1">
        <v>101.7607159866544</v>
      </c>
      <c r="AK274" s="1">
        <v>91.43196062260661</v>
      </c>
      <c r="AL274" s="1">
        <v>101.46470220608357</v>
      </c>
      <c r="AM274" s="1">
        <v>116.7028707921346</v>
      </c>
      <c r="AN274" s="1">
        <v>104.6537395229083</v>
      </c>
      <c r="AO274" s="1">
        <v>97.013172161695834</v>
      </c>
      <c r="AP274" s="1">
        <v>104.18125196236025</v>
      </c>
      <c r="AQ274" s="1">
        <v>94.511240497739976</v>
      </c>
      <c r="AR274" s="1">
        <v>102.41602914572604</v>
      </c>
      <c r="AS274" s="1">
        <v>99.046953672111897</v>
      </c>
      <c r="AT274" s="1">
        <v>101.65029187426869</v>
      </c>
      <c r="AU274" s="1">
        <v>92.683083360025861</v>
      </c>
      <c r="AV274" s="1">
        <v>99.900323214082661</v>
      </c>
      <c r="AW274" s="1">
        <v>100</v>
      </c>
      <c r="AX274" s="1">
        <v>100</v>
      </c>
      <c r="AY274" s="1">
        <v>100</v>
      </c>
      <c r="AZ274" s="1">
        <v>100</v>
      </c>
      <c r="BA274" s="1">
        <v>100</v>
      </c>
      <c r="BB274" s="1">
        <v>100</v>
      </c>
      <c r="BC274" s="1">
        <v>100</v>
      </c>
      <c r="BD274" s="1">
        <v>100</v>
      </c>
      <c r="BE274" s="1">
        <v>100</v>
      </c>
      <c r="BF274" s="1">
        <v>100</v>
      </c>
      <c r="BG274" s="1">
        <v>100</v>
      </c>
      <c r="BH274" s="1">
        <v>100</v>
      </c>
    </row>
    <row r="275" spans="1:60" x14ac:dyDescent="0.25">
      <c r="A275">
        <v>262</v>
      </c>
      <c r="B275" s="1">
        <v>98.218271980747275</v>
      </c>
      <c r="C275" s="1">
        <v>94.353173132071191</v>
      </c>
      <c r="D275" s="1">
        <v>99.900323214082661</v>
      </c>
      <c r="E275" s="1">
        <v>114.02034665253744</v>
      </c>
      <c r="F275" s="1">
        <v>100</v>
      </c>
      <c r="G275" s="1">
        <v>101.20264176422626</v>
      </c>
      <c r="H275" s="1">
        <v>100.79779325216231</v>
      </c>
      <c r="I275" s="1">
        <v>94.751934852087658</v>
      </c>
      <c r="J275" s="1">
        <v>106.26521829857197</v>
      </c>
      <c r="K275" s="1">
        <v>106.16590636000029</v>
      </c>
      <c r="L275" s="1">
        <v>95.69663892742183</v>
      </c>
      <c r="M275" s="1">
        <v>96.715943522481638</v>
      </c>
      <c r="N275" s="1">
        <v>100</v>
      </c>
      <c r="O275" s="1">
        <v>100</v>
      </c>
      <c r="P275" s="1">
        <v>90.355589374281678</v>
      </c>
      <c r="Q275" s="1">
        <v>100</v>
      </c>
      <c r="R275" s="1">
        <v>98.539127000430625</v>
      </c>
      <c r="S275" s="1">
        <v>101.440722287209</v>
      </c>
      <c r="T275" s="1">
        <v>106.09502869705604</v>
      </c>
      <c r="U275" s="1">
        <v>99.563140677786066</v>
      </c>
      <c r="V275" s="1">
        <v>100.02473820386901</v>
      </c>
      <c r="W275" s="1">
        <v>101.3186014054906</v>
      </c>
      <c r="X275" s="1">
        <v>98.938308797866256</v>
      </c>
      <c r="Y275" s="1">
        <v>100</v>
      </c>
      <c r="Z275" s="1">
        <v>92.488540015688841</v>
      </c>
      <c r="AA275" s="1">
        <v>98.079693506275504</v>
      </c>
      <c r="AB275" s="1">
        <v>86.930389853138422</v>
      </c>
      <c r="AC275" s="1">
        <v>101.78077976073585</v>
      </c>
      <c r="AD275" s="1">
        <v>113.07002987575412</v>
      </c>
      <c r="AE275" s="1">
        <v>89.412388908288605</v>
      </c>
      <c r="AF275" s="1">
        <v>104.55322036581302</v>
      </c>
      <c r="AG275" s="1">
        <v>100</v>
      </c>
      <c r="AH275" s="1">
        <v>100</v>
      </c>
      <c r="AI275" s="1">
        <v>101.65218170991882</v>
      </c>
      <c r="AJ275" s="1">
        <v>101.7607159866544</v>
      </c>
      <c r="AK275" s="1">
        <v>91.43196062260661</v>
      </c>
      <c r="AL275" s="1">
        <v>101.71769479169195</v>
      </c>
      <c r="AM275" s="1">
        <v>116.7028707921346</v>
      </c>
      <c r="AN275" s="1">
        <v>104.6537395229083</v>
      </c>
      <c r="AO275" s="1">
        <v>97.013172161695834</v>
      </c>
      <c r="AP275" s="1">
        <v>104.18125196236025</v>
      </c>
      <c r="AQ275" s="1">
        <v>94.511240497739976</v>
      </c>
      <c r="AR275" s="1">
        <v>102.41602914572604</v>
      </c>
      <c r="AS275" s="1">
        <v>99.046953672111897</v>
      </c>
      <c r="AT275" s="1">
        <v>101.65029187426869</v>
      </c>
      <c r="AU275" s="1">
        <v>92.683083360025861</v>
      </c>
      <c r="AV275" s="1">
        <v>99.900323214082661</v>
      </c>
      <c r="AW275" s="1">
        <v>100</v>
      </c>
      <c r="AX275" s="1">
        <v>100</v>
      </c>
      <c r="AY275" s="1">
        <v>100</v>
      </c>
      <c r="AZ275" s="1">
        <v>100</v>
      </c>
      <c r="BA275" s="1">
        <v>100</v>
      </c>
      <c r="BB275" s="1">
        <v>100</v>
      </c>
      <c r="BC275" s="1">
        <v>100</v>
      </c>
      <c r="BD275" s="1">
        <v>100</v>
      </c>
      <c r="BE275" s="1">
        <v>100</v>
      </c>
      <c r="BF275" s="1">
        <v>100</v>
      </c>
      <c r="BG275" s="1">
        <v>100</v>
      </c>
      <c r="BH275" s="1">
        <v>100</v>
      </c>
    </row>
    <row r="276" spans="1:60" x14ac:dyDescent="0.25">
      <c r="A276">
        <v>263</v>
      </c>
      <c r="B276" s="1">
        <v>98.218271980747275</v>
      </c>
      <c r="C276" s="1">
        <v>94.353173132071191</v>
      </c>
      <c r="D276" s="1">
        <v>99.900323214082661</v>
      </c>
      <c r="E276" s="1">
        <v>114.02034665253744</v>
      </c>
      <c r="F276" s="1">
        <v>100</v>
      </c>
      <c r="G276" s="1">
        <v>101.20264176422626</v>
      </c>
      <c r="H276" s="1">
        <v>100.79779325216231</v>
      </c>
      <c r="I276" s="1">
        <v>94.751934852087658</v>
      </c>
      <c r="J276" s="1">
        <v>106.26521829857197</v>
      </c>
      <c r="K276" s="1">
        <v>106.16590636000029</v>
      </c>
      <c r="L276" s="1">
        <v>95.69663892742183</v>
      </c>
      <c r="M276" s="1">
        <v>96.715943522481638</v>
      </c>
      <c r="N276" s="1">
        <v>100</v>
      </c>
      <c r="O276" s="1">
        <v>100</v>
      </c>
      <c r="P276" s="1">
        <v>90.355589374281678</v>
      </c>
      <c r="Q276" s="1">
        <v>100</v>
      </c>
      <c r="R276" s="1">
        <v>98.539127000430625</v>
      </c>
      <c r="S276" s="1">
        <v>101.440722287209</v>
      </c>
      <c r="T276" s="1">
        <v>106.09502869705604</v>
      </c>
      <c r="U276" s="1">
        <v>99.563140677786066</v>
      </c>
      <c r="V276" s="1">
        <v>99.447132672507308</v>
      </c>
      <c r="W276" s="1">
        <v>101.3186014054906</v>
      </c>
      <c r="X276" s="1">
        <v>98.938308797866256</v>
      </c>
      <c r="Y276" s="1">
        <v>100</v>
      </c>
      <c r="Z276" s="1">
        <v>91.954453216163841</v>
      </c>
      <c r="AA276" s="1">
        <v>98.079693506275504</v>
      </c>
      <c r="AB276" s="1">
        <v>86.930389853138422</v>
      </c>
      <c r="AC276" s="1">
        <v>101.78077976073585</v>
      </c>
      <c r="AD276" s="1">
        <v>113.07002987575412</v>
      </c>
      <c r="AE276" s="1">
        <v>90.004021470920136</v>
      </c>
      <c r="AF276" s="1">
        <v>104.55322036581302</v>
      </c>
      <c r="AG276" s="1">
        <v>100</v>
      </c>
      <c r="AH276" s="1">
        <v>100</v>
      </c>
      <c r="AI276" s="1">
        <v>101.65218170991882</v>
      </c>
      <c r="AJ276" s="1">
        <v>101.7607159866544</v>
      </c>
      <c r="AK276" s="1">
        <v>91.43196062260661</v>
      </c>
      <c r="AL276" s="1">
        <v>102.23775455994712</v>
      </c>
      <c r="AM276" s="1">
        <v>116.7028707921346</v>
      </c>
      <c r="AN276" s="1">
        <v>104.6537395229083</v>
      </c>
      <c r="AO276" s="1">
        <v>97.013172161695834</v>
      </c>
      <c r="AP276" s="1">
        <v>104.18125196236025</v>
      </c>
      <c r="AQ276" s="1">
        <v>94.511240497739976</v>
      </c>
      <c r="AR276" s="1">
        <v>102.41602914572604</v>
      </c>
      <c r="AS276" s="1">
        <v>99.046953672111897</v>
      </c>
      <c r="AT276" s="1">
        <v>101.65029187426869</v>
      </c>
      <c r="AU276" s="1">
        <v>92.683083360025861</v>
      </c>
      <c r="AV276" s="1">
        <v>99.900323214082661</v>
      </c>
      <c r="AW276" s="1">
        <v>100</v>
      </c>
      <c r="AX276" s="1">
        <v>100</v>
      </c>
      <c r="AY276" s="1">
        <v>100</v>
      </c>
      <c r="AZ276" s="1">
        <v>100</v>
      </c>
      <c r="BA276" s="1">
        <v>100</v>
      </c>
      <c r="BB276" s="1">
        <v>100</v>
      </c>
      <c r="BC276" s="1">
        <v>100</v>
      </c>
      <c r="BD276" s="1">
        <v>100</v>
      </c>
      <c r="BE276" s="1">
        <v>100</v>
      </c>
      <c r="BF276" s="1">
        <v>100</v>
      </c>
      <c r="BG276" s="1">
        <v>100</v>
      </c>
      <c r="BH276" s="1">
        <v>100</v>
      </c>
    </row>
    <row r="277" spans="1:60" x14ac:dyDescent="0.25">
      <c r="A277">
        <v>264</v>
      </c>
      <c r="B277" s="1">
        <v>98.218271980747275</v>
      </c>
      <c r="C277" s="1">
        <v>94.353173132071191</v>
      </c>
      <c r="D277" s="1">
        <v>99.900323214082661</v>
      </c>
      <c r="E277" s="1">
        <v>113.63732942732678</v>
      </c>
      <c r="F277" s="1">
        <v>100</v>
      </c>
      <c r="G277" s="1">
        <v>101.20264176422626</v>
      </c>
      <c r="H277" s="1">
        <v>100.79779325216231</v>
      </c>
      <c r="I277" s="1">
        <v>94.751934852087658</v>
      </c>
      <c r="J277" s="1">
        <v>106.26521829857197</v>
      </c>
      <c r="K277" s="1">
        <v>106.16590636000029</v>
      </c>
      <c r="L277" s="1">
        <v>95.69663892742183</v>
      </c>
      <c r="M277" s="1">
        <v>96.715943522481638</v>
      </c>
      <c r="N277" s="1">
        <v>100</v>
      </c>
      <c r="O277" s="1">
        <v>100</v>
      </c>
      <c r="P277" s="1">
        <v>90.355589374281678</v>
      </c>
      <c r="Q277" s="1">
        <v>100</v>
      </c>
      <c r="R277" s="1">
        <v>98.539127000430625</v>
      </c>
      <c r="S277" s="1">
        <v>101.440722287209</v>
      </c>
      <c r="T277" s="1">
        <v>106.09502869705604</v>
      </c>
      <c r="U277" s="1">
        <v>99.563140677786066</v>
      </c>
      <c r="V277" s="1">
        <v>99.796985120733808</v>
      </c>
      <c r="W277" s="1">
        <v>101.3186014054906</v>
      </c>
      <c r="X277" s="1">
        <v>98.938308797866256</v>
      </c>
      <c r="Y277" s="1">
        <v>100</v>
      </c>
      <c r="Z277" s="1">
        <v>91.954453216163841</v>
      </c>
      <c r="AA277" s="1">
        <v>98.079693506275504</v>
      </c>
      <c r="AB277" s="1">
        <v>86.930389853138422</v>
      </c>
      <c r="AC277" s="1">
        <v>101.78077976073585</v>
      </c>
      <c r="AD277" s="1">
        <v>113.07002987575412</v>
      </c>
      <c r="AE277" s="1">
        <v>90.004021470920136</v>
      </c>
      <c r="AF277" s="1">
        <v>104.55322036581302</v>
      </c>
      <c r="AG277" s="1">
        <v>100</v>
      </c>
      <c r="AH277" s="1">
        <v>100</v>
      </c>
      <c r="AI277" s="1">
        <v>101.65218170991882</v>
      </c>
      <c r="AJ277" s="1">
        <v>101.7607159866544</v>
      </c>
      <c r="AK277" s="1">
        <v>91.124822318949626</v>
      </c>
      <c r="AL277" s="1">
        <v>102.57805764058826</v>
      </c>
      <c r="AM277" s="1">
        <v>116.7028707921346</v>
      </c>
      <c r="AN277" s="1">
        <v>104.6537395229083</v>
      </c>
      <c r="AO277" s="1">
        <v>97.013172161695834</v>
      </c>
      <c r="AP277" s="1">
        <v>104.18125196236025</v>
      </c>
      <c r="AQ277" s="1">
        <v>94.511240497739976</v>
      </c>
      <c r="AR277" s="1">
        <v>102.41602914572604</v>
      </c>
      <c r="AS277" s="1">
        <v>99.046953672111897</v>
      </c>
      <c r="AT277" s="1">
        <v>101.65029187426869</v>
      </c>
      <c r="AU277" s="1">
        <v>92.683083360025861</v>
      </c>
      <c r="AV277" s="1">
        <v>99.900323214082661</v>
      </c>
      <c r="AW277" s="1">
        <v>100</v>
      </c>
      <c r="AX277" s="1">
        <v>100</v>
      </c>
      <c r="AY277" s="1">
        <v>100</v>
      </c>
      <c r="AZ277" s="1">
        <v>100</v>
      </c>
      <c r="BA277" s="1">
        <v>100</v>
      </c>
      <c r="BB277" s="1">
        <v>100</v>
      </c>
      <c r="BC277" s="1">
        <v>100</v>
      </c>
      <c r="BD277" s="1">
        <v>100</v>
      </c>
      <c r="BE277" s="1">
        <v>100</v>
      </c>
      <c r="BF277" s="1">
        <v>100</v>
      </c>
      <c r="BG277" s="1">
        <v>100</v>
      </c>
      <c r="BH277" s="1">
        <v>100</v>
      </c>
    </row>
    <row r="278" spans="1:60" x14ac:dyDescent="0.25">
      <c r="A278">
        <v>265</v>
      </c>
      <c r="B278" s="1">
        <v>98.218271980747275</v>
      </c>
      <c r="C278" s="1">
        <v>94.353173132071191</v>
      </c>
      <c r="D278" s="1">
        <v>99.900323214082661</v>
      </c>
      <c r="E278" s="1">
        <v>111.75344828458302</v>
      </c>
      <c r="F278" s="1">
        <v>100</v>
      </c>
      <c r="G278" s="1">
        <v>101.20264176422626</v>
      </c>
      <c r="H278" s="1">
        <v>100.79779325216231</v>
      </c>
      <c r="I278" s="1">
        <v>94.751934852087658</v>
      </c>
      <c r="J278" s="1">
        <v>106.26521829857197</v>
      </c>
      <c r="K278" s="1">
        <v>106.16590636000029</v>
      </c>
      <c r="L278" s="1">
        <v>95.69663892742183</v>
      </c>
      <c r="M278" s="1">
        <v>96.715943522481638</v>
      </c>
      <c r="N278" s="1">
        <v>100</v>
      </c>
      <c r="O278" s="1">
        <v>100</v>
      </c>
      <c r="P278" s="1">
        <v>90.355589374281678</v>
      </c>
      <c r="Q278" s="1">
        <v>100</v>
      </c>
      <c r="R278" s="1">
        <v>98.539127000430625</v>
      </c>
      <c r="S278" s="1">
        <v>101.440722287209</v>
      </c>
      <c r="T278" s="1">
        <v>106.09502869705604</v>
      </c>
      <c r="U278" s="1">
        <v>99.563140677786066</v>
      </c>
      <c r="V278" s="1">
        <v>101.51758418541337</v>
      </c>
      <c r="W278" s="1">
        <v>101.3186014054906</v>
      </c>
      <c r="X278" s="1">
        <v>98.938308797866256</v>
      </c>
      <c r="Y278" s="1">
        <v>100</v>
      </c>
      <c r="Z278" s="1">
        <v>91.954453216163841</v>
      </c>
      <c r="AA278" s="1">
        <v>98.079693506275504</v>
      </c>
      <c r="AB278" s="1">
        <v>86.930389853138422</v>
      </c>
      <c r="AC278" s="1">
        <v>101.78077976073585</v>
      </c>
      <c r="AD278" s="1">
        <v>113.07002987575412</v>
      </c>
      <c r="AE278" s="1">
        <v>90.004021470920136</v>
      </c>
      <c r="AF278" s="1">
        <v>104.55322036581302</v>
      </c>
      <c r="AG278" s="1">
        <v>100</v>
      </c>
      <c r="AH278" s="1">
        <v>100</v>
      </c>
      <c r="AI278" s="1">
        <v>101.65218170991882</v>
      </c>
      <c r="AJ278" s="1">
        <v>101.7607159866544</v>
      </c>
      <c r="AK278" s="1">
        <v>89.614153815319128</v>
      </c>
      <c r="AL278" s="1">
        <v>104.25200822228295</v>
      </c>
      <c r="AM278" s="1">
        <v>116.7028707921346</v>
      </c>
      <c r="AN278" s="1">
        <v>104.6537395229083</v>
      </c>
      <c r="AO278" s="1">
        <v>97.013172161695834</v>
      </c>
      <c r="AP278" s="1">
        <v>104.18125196236025</v>
      </c>
      <c r="AQ278" s="1">
        <v>94.511240497739976</v>
      </c>
      <c r="AR278" s="1">
        <v>102.41602914572604</v>
      </c>
      <c r="AS278" s="1">
        <v>99.046953672111897</v>
      </c>
      <c r="AT278" s="1">
        <v>101.65029187426869</v>
      </c>
      <c r="AU278" s="1">
        <v>92.683083360025861</v>
      </c>
      <c r="AV278" s="1">
        <v>99.900323214082661</v>
      </c>
      <c r="AW278" s="1">
        <v>100</v>
      </c>
      <c r="AX278" s="1">
        <v>100</v>
      </c>
      <c r="AY278" s="1">
        <v>100</v>
      </c>
      <c r="AZ278" s="1">
        <v>100</v>
      </c>
      <c r="BA278" s="1">
        <v>100</v>
      </c>
      <c r="BB278" s="1">
        <v>100</v>
      </c>
      <c r="BC278" s="1">
        <v>100</v>
      </c>
      <c r="BD278" s="1">
        <v>100</v>
      </c>
      <c r="BE278" s="1">
        <v>100</v>
      </c>
      <c r="BF278" s="1">
        <v>100</v>
      </c>
      <c r="BG278" s="1">
        <v>100</v>
      </c>
      <c r="BH278" s="1">
        <v>100</v>
      </c>
    </row>
    <row r="279" spans="1:60" x14ac:dyDescent="0.25">
      <c r="A279">
        <v>266</v>
      </c>
      <c r="B279" s="1">
        <v>98.218271980747275</v>
      </c>
      <c r="C279" s="1">
        <v>94.353173132071191</v>
      </c>
      <c r="D279" s="1">
        <v>99.900323214082661</v>
      </c>
      <c r="E279" s="1">
        <v>111.96646298744147</v>
      </c>
      <c r="F279" s="1">
        <v>100</v>
      </c>
      <c r="G279" s="1">
        <v>101.20264176422626</v>
      </c>
      <c r="H279" s="1">
        <v>100.79779325216231</v>
      </c>
      <c r="I279" s="1">
        <v>94.751934852087658</v>
      </c>
      <c r="J279" s="1">
        <v>106.26521829857197</v>
      </c>
      <c r="K279" s="1">
        <v>106.16590636000029</v>
      </c>
      <c r="L279" s="1">
        <v>95.69663892742183</v>
      </c>
      <c r="M279" s="1">
        <v>96.715943522481638</v>
      </c>
      <c r="N279" s="1">
        <v>100</v>
      </c>
      <c r="O279" s="1">
        <v>100</v>
      </c>
      <c r="P279" s="1">
        <v>90.139786107497883</v>
      </c>
      <c r="Q279" s="1">
        <v>100</v>
      </c>
      <c r="R279" s="1">
        <v>98.539127000430625</v>
      </c>
      <c r="S279" s="1">
        <v>101.440722287209</v>
      </c>
      <c r="T279" s="1">
        <v>106.09502869705604</v>
      </c>
      <c r="U279" s="1">
        <v>99.563140677786066</v>
      </c>
      <c r="V279" s="1">
        <v>101.75207683780225</v>
      </c>
      <c r="W279" s="1">
        <v>101.3186014054906</v>
      </c>
      <c r="X279" s="1">
        <v>98.938308797866256</v>
      </c>
      <c r="Y279" s="1">
        <v>100</v>
      </c>
      <c r="Z279" s="1">
        <v>91.954453216163841</v>
      </c>
      <c r="AA279" s="1">
        <v>98.079693506275504</v>
      </c>
      <c r="AB279" s="1">
        <v>86.930389853138422</v>
      </c>
      <c r="AC279" s="1">
        <v>101.78077976073585</v>
      </c>
      <c r="AD279" s="1">
        <v>113.07002987575412</v>
      </c>
      <c r="AE279" s="1">
        <v>90.004021470920136</v>
      </c>
      <c r="AF279" s="1">
        <v>104.55322036581302</v>
      </c>
      <c r="AG279" s="1">
        <v>100</v>
      </c>
      <c r="AH279" s="1">
        <v>100</v>
      </c>
      <c r="AI279" s="1">
        <v>101.65218170991882</v>
      </c>
      <c r="AJ279" s="1">
        <v>101.7607159866544</v>
      </c>
      <c r="AK279" s="1">
        <v>89.614153815319128</v>
      </c>
      <c r="AL279" s="1">
        <v>104.25200822228295</v>
      </c>
      <c r="AM279" s="1">
        <v>116.7028707921346</v>
      </c>
      <c r="AN279" s="1">
        <v>104.6537395229083</v>
      </c>
      <c r="AO279" s="1">
        <v>96.781468073232304</v>
      </c>
      <c r="AP279" s="1">
        <v>104.18125196236025</v>
      </c>
      <c r="AQ279" s="1">
        <v>94.511240497739976</v>
      </c>
      <c r="AR279" s="1">
        <v>102.41602914572604</v>
      </c>
      <c r="AS279" s="1">
        <v>99.046953672111897</v>
      </c>
      <c r="AT279" s="1">
        <v>101.65029187426869</v>
      </c>
      <c r="AU279" s="1">
        <v>92.683083360025861</v>
      </c>
      <c r="AV279" s="1">
        <v>99.900323214082661</v>
      </c>
      <c r="AW279" s="1">
        <v>100</v>
      </c>
      <c r="AX279" s="1">
        <v>100</v>
      </c>
      <c r="AY279" s="1">
        <v>100</v>
      </c>
      <c r="AZ279" s="1">
        <v>100</v>
      </c>
      <c r="BA279" s="1">
        <v>100</v>
      </c>
      <c r="BB279" s="1">
        <v>100</v>
      </c>
      <c r="BC279" s="1">
        <v>100</v>
      </c>
      <c r="BD279" s="1">
        <v>100</v>
      </c>
      <c r="BE279" s="1">
        <v>100</v>
      </c>
      <c r="BF279" s="1">
        <v>100</v>
      </c>
      <c r="BG279" s="1">
        <v>100</v>
      </c>
      <c r="BH279" s="1">
        <v>100</v>
      </c>
    </row>
    <row r="280" spans="1:60" x14ac:dyDescent="0.25">
      <c r="A280">
        <v>267</v>
      </c>
      <c r="B280" s="1">
        <v>98.218271980747275</v>
      </c>
      <c r="C280" s="1">
        <v>94.353173132071191</v>
      </c>
      <c r="D280" s="1">
        <v>99.900323214082661</v>
      </c>
      <c r="E280" s="1">
        <v>111.6742412765127</v>
      </c>
      <c r="F280" s="1">
        <v>100</v>
      </c>
      <c r="G280" s="1">
        <v>101.20264176422626</v>
      </c>
      <c r="H280" s="1">
        <v>100.79779325216231</v>
      </c>
      <c r="I280" s="1">
        <v>94.751934852087658</v>
      </c>
      <c r="J280" s="1">
        <v>106.26521829857197</v>
      </c>
      <c r="K280" s="1">
        <v>106.16590636000029</v>
      </c>
      <c r="L280" s="1">
        <v>95.69663892742183</v>
      </c>
      <c r="M280" s="1">
        <v>96.715943522481638</v>
      </c>
      <c r="N280" s="1">
        <v>100</v>
      </c>
      <c r="O280" s="1">
        <v>100</v>
      </c>
      <c r="P280" s="1">
        <v>90.428588134904345</v>
      </c>
      <c r="Q280" s="1">
        <v>100</v>
      </c>
      <c r="R280" s="1">
        <v>98.539127000430625</v>
      </c>
      <c r="S280" s="1">
        <v>101.440722287209</v>
      </c>
      <c r="T280" s="1">
        <v>106.09502869705604</v>
      </c>
      <c r="U280" s="1">
        <v>99.563140677786066</v>
      </c>
      <c r="V280" s="1">
        <v>101.48651369335039</v>
      </c>
      <c r="W280" s="1">
        <v>101.3186014054906</v>
      </c>
      <c r="X280" s="1">
        <v>98.938308797866256</v>
      </c>
      <c r="Y280" s="1">
        <v>100</v>
      </c>
      <c r="Z280" s="1">
        <v>91.954453216163841</v>
      </c>
      <c r="AA280" s="1">
        <v>98.079693506275504</v>
      </c>
      <c r="AB280" s="1">
        <v>86.930389853138422</v>
      </c>
      <c r="AC280" s="1">
        <v>101.78077976073585</v>
      </c>
      <c r="AD280" s="1">
        <v>113.07002987575412</v>
      </c>
      <c r="AE280" s="1">
        <v>90.004021470920136</v>
      </c>
      <c r="AF280" s="1">
        <v>104.55322036581302</v>
      </c>
      <c r="AG280" s="1">
        <v>100</v>
      </c>
      <c r="AH280" s="1">
        <v>100</v>
      </c>
      <c r="AI280" s="1">
        <v>101.65218170991882</v>
      </c>
      <c r="AJ280" s="1">
        <v>101.7607159866544</v>
      </c>
      <c r="AK280" s="1">
        <v>89.614153815319128</v>
      </c>
      <c r="AL280" s="1">
        <v>104.25200822228295</v>
      </c>
      <c r="AM280" s="1">
        <v>116.7028707921346</v>
      </c>
      <c r="AN280" s="1">
        <v>104.6537395229083</v>
      </c>
      <c r="AO280" s="1">
        <v>97.050450901206474</v>
      </c>
      <c r="AP280" s="1">
        <v>104.18125196236025</v>
      </c>
      <c r="AQ280" s="1">
        <v>94.511240497739976</v>
      </c>
      <c r="AR280" s="1">
        <v>102.41602914572604</v>
      </c>
      <c r="AS280" s="1">
        <v>99.046953672111897</v>
      </c>
      <c r="AT280" s="1">
        <v>101.65029187426869</v>
      </c>
      <c r="AU280" s="1">
        <v>92.683083360025861</v>
      </c>
      <c r="AV280" s="1">
        <v>99.900323214082661</v>
      </c>
      <c r="AW280" s="1">
        <v>100</v>
      </c>
      <c r="AX280" s="1">
        <v>100</v>
      </c>
      <c r="AY280" s="1">
        <v>100</v>
      </c>
      <c r="AZ280" s="1">
        <v>100</v>
      </c>
      <c r="BA280" s="1">
        <v>100</v>
      </c>
      <c r="BB280" s="1">
        <v>100</v>
      </c>
      <c r="BC280" s="1">
        <v>100</v>
      </c>
      <c r="BD280" s="1">
        <v>100</v>
      </c>
      <c r="BE280" s="1">
        <v>100</v>
      </c>
      <c r="BF280" s="1">
        <v>100</v>
      </c>
      <c r="BG280" s="1">
        <v>100</v>
      </c>
      <c r="BH280" s="1">
        <v>100</v>
      </c>
    </row>
    <row r="281" spans="1:60" x14ac:dyDescent="0.25">
      <c r="A281">
        <v>268</v>
      </c>
      <c r="B281" s="1">
        <v>98.218271980747275</v>
      </c>
      <c r="C281" s="1">
        <v>94.353173132071191</v>
      </c>
      <c r="D281" s="1">
        <v>99.900323214082661</v>
      </c>
      <c r="E281" s="1">
        <v>111.6742412765127</v>
      </c>
      <c r="F281" s="1">
        <v>100</v>
      </c>
      <c r="G281" s="1">
        <v>101.20264176422626</v>
      </c>
      <c r="H281" s="1">
        <v>100.79779325216231</v>
      </c>
      <c r="I281" s="1">
        <v>95.130077345693593</v>
      </c>
      <c r="J281" s="1">
        <v>106.26521829857197</v>
      </c>
      <c r="K281" s="1">
        <v>106.16590636000029</v>
      </c>
      <c r="L281" s="1">
        <v>95.69663892742183</v>
      </c>
      <c r="M281" s="1">
        <v>96.715943522481638</v>
      </c>
      <c r="N281" s="1">
        <v>100</v>
      </c>
      <c r="O281" s="1">
        <v>100</v>
      </c>
      <c r="P281" s="1">
        <v>90.428588134904345</v>
      </c>
      <c r="Q281" s="1">
        <v>100</v>
      </c>
      <c r="R281" s="1">
        <v>98.539127000430625</v>
      </c>
      <c r="S281" s="1">
        <v>101.440722287209</v>
      </c>
      <c r="T281" s="1">
        <v>106.09502869705604</v>
      </c>
      <c r="U281" s="1">
        <v>99.563140677786066</v>
      </c>
      <c r="V281" s="1">
        <v>101.48651369335039</v>
      </c>
      <c r="W281" s="1">
        <v>101.3186014054906</v>
      </c>
      <c r="X281" s="1">
        <v>98.938308797866256</v>
      </c>
      <c r="Y281" s="1">
        <v>100</v>
      </c>
      <c r="Z281" s="1">
        <v>91.954453216163841</v>
      </c>
      <c r="AA281" s="1">
        <v>98.079693506275504</v>
      </c>
      <c r="AB281" s="1">
        <v>86.930389853138422</v>
      </c>
      <c r="AC281" s="1">
        <v>101.78077976073585</v>
      </c>
      <c r="AD281" s="1">
        <v>113.07002987575412</v>
      </c>
      <c r="AE281" s="1">
        <v>90.402111826588666</v>
      </c>
      <c r="AF281" s="1">
        <v>104.55322036581302</v>
      </c>
      <c r="AG281" s="1">
        <v>100</v>
      </c>
      <c r="AH281" s="1">
        <v>100</v>
      </c>
      <c r="AI281" s="1">
        <v>101.65218170991882</v>
      </c>
      <c r="AJ281" s="1">
        <v>101.7607159866544</v>
      </c>
      <c r="AK281" s="1">
        <v>89.255342100988642</v>
      </c>
      <c r="AL281" s="1">
        <v>103.83458708733899</v>
      </c>
      <c r="AM281" s="1">
        <v>116.7028707921346</v>
      </c>
      <c r="AN281" s="1">
        <v>104.6537395229083</v>
      </c>
      <c r="AO281" s="1">
        <v>97.050450901206474</v>
      </c>
      <c r="AP281" s="1">
        <v>104.18125196236025</v>
      </c>
      <c r="AQ281" s="1">
        <v>94.511240497739976</v>
      </c>
      <c r="AR281" s="1">
        <v>102.41602914572604</v>
      </c>
      <c r="AS281" s="1">
        <v>99.046953672111897</v>
      </c>
      <c r="AT281" s="1">
        <v>101.65029187426869</v>
      </c>
      <c r="AU281" s="1">
        <v>92.683083360025861</v>
      </c>
      <c r="AV281" s="1">
        <v>99.900323214082661</v>
      </c>
      <c r="AW281" s="1">
        <v>100</v>
      </c>
      <c r="AX281" s="1">
        <v>100</v>
      </c>
      <c r="AY281" s="1">
        <v>100</v>
      </c>
      <c r="AZ281" s="1">
        <v>100</v>
      </c>
      <c r="BA281" s="1">
        <v>100</v>
      </c>
      <c r="BB281" s="1">
        <v>100</v>
      </c>
      <c r="BC281" s="1">
        <v>100</v>
      </c>
      <c r="BD281" s="1">
        <v>100</v>
      </c>
      <c r="BE281" s="1">
        <v>100</v>
      </c>
      <c r="BF281" s="1">
        <v>100</v>
      </c>
      <c r="BG281" s="1">
        <v>100</v>
      </c>
      <c r="BH281" s="1">
        <v>100</v>
      </c>
    </row>
    <row r="282" spans="1:60" x14ac:dyDescent="0.25">
      <c r="A282">
        <v>269</v>
      </c>
      <c r="B282" s="1">
        <v>98.218271980747275</v>
      </c>
      <c r="C282" s="1">
        <v>94.353173132071191</v>
      </c>
      <c r="D282" s="1">
        <v>99.900323214082661</v>
      </c>
      <c r="E282" s="1">
        <v>111.6742412765127</v>
      </c>
      <c r="F282" s="1">
        <v>100</v>
      </c>
      <c r="G282" s="1">
        <v>101.20264176422626</v>
      </c>
      <c r="H282" s="1">
        <v>100.79779325216231</v>
      </c>
      <c r="I282" s="1">
        <v>94.812915116027355</v>
      </c>
      <c r="J282" s="1">
        <v>106.26521829857197</v>
      </c>
      <c r="K282" s="1">
        <v>106.16590636000029</v>
      </c>
      <c r="L282" s="1">
        <v>95.69663892742183</v>
      </c>
      <c r="M282" s="1">
        <v>96.715943522481638</v>
      </c>
      <c r="N282" s="1">
        <v>100</v>
      </c>
      <c r="O282" s="1">
        <v>100</v>
      </c>
      <c r="P282" s="1">
        <v>90.428588134904345</v>
      </c>
      <c r="Q282" s="1">
        <v>100</v>
      </c>
      <c r="R282" s="1">
        <v>98.539127000430625</v>
      </c>
      <c r="S282" s="1">
        <v>101.440722287209</v>
      </c>
      <c r="T282" s="1">
        <v>106.09502869705604</v>
      </c>
      <c r="U282" s="1">
        <v>99.563140677786066</v>
      </c>
      <c r="V282" s="1">
        <v>101.48651369335039</v>
      </c>
      <c r="W282" s="1">
        <v>101.3186014054906</v>
      </c>
      <c r="X282" s="1">
        <v>98.938308797866256</v>
      </c>
      <c r="Y282" s="1">
        <v>100</v>
      </c>
      <c r="Z282" s="1">
        <v>91.954453216163841</v>
      </c>
      <c r="AA282" s="1">
        <v>98.079693506275504</v>
      </c>
      <c r="AB282" s="1">
        <v>86.930389853138422</v>
      </c>
      <c r="AC282" s="1">
        <v>101.78077976073585</v>
      </c>
      <c r="AD282" s="1">
        <v>113.07002987575412</v>
      </c>
      <c r="AE282" s="1">
        <v>90.100712561987365</v>
      </c>
      <c r="AF282" s="1">
        <v>104.55322036581302</v>
      </c>
      <c r="AG282" s="1">
        <v>100</v>
      </c>
      <c r="AH282" s="1">
        <v>100</v>
      </c>
      <c r="AI282" s="1">
        <v>101.65218170991882</v>
      </c>
      <c r="AJ282" s="1">
        <v>101.7607159866544</v>
      </c>
      <c r="AK282" s="1">
        <v>89.587975074729883</v>
      </c>
      <c r="AL282" s="1">
        <v>104.1205156078653</v>
      </c>
      <c r="AM282" s="1">
        <v>116.7028707921346</v>
      </c>
      <c r="AN282" s="1">
        <v>104.6537395229083</v>
      </c>
      <c r="AO282" s="1">
        <v>97.050450901206474</v>
      </c>
      <c r="AP282" s="1">
        <v>104.18125196236025</v>
      </c>
      <c r="AQ282" s="1">
        <v>94.511240497739976</v>
      </c>
      <c r="AR282" s="1">
        <v>102.41602914572604</v>
      </c>
      <c r="AS282" s="1">
        <v>99.046953672111897</v>
      </c>
      <c r="AT282" s="1">
        <v>101.65029187426869</v>
      </c>
      <c r="AU282" s="1">
        <v>92.683083360025861</v>
      </c>
      <c r="AV282" s="1">
        <v>99.900323214082661</v>
      </c>
      <c r="AW282" s="1">
        <v>100</v>
      </c>
      <c r="AX282" s="1">
        <v>100</v>
      </c>
      <c r="AY282" s="1">
        <v>100</v>
      </c>
      <c r="AZ282" s="1">
        <v>100</v>
      </c>
      <c r="BA282" s="1">
        <v>100</v>
      </c>
      <c r="BB282" s="1">
        <v>100</v>
      </c>
      <c r="BC282" s="1">
        <v>100</v>
      </c>
      <c r="BD282" s="1">
        <v>100</v>
      </c>
      <c r="BE282" s="1">
        <v>100</v>
      </c>
      <c r="BF282" s="1">
        <v>100</v>
      </c>
      <c r="BG282" s="1">
        <v>100</v>
      </c>
      <c r="BH282" s="1">
        <v>100</v>
      </c>
    </row>
    <row r="283" spans="1:60" x14ac:dyDescent="0.25">
      <c r="A283">
        <v>270</v>
      </c>
      <c r="B283" s="1">
        <v>98.218271980747275</v>
      </c>
      <c r="C283" s="1">
        <v>94.353173132071191</v>
      </c>
      <c r="D283" s="1">
        <v>99.900323214082661</v>
      </c>
      <c r="E283" s="1">
        <v>111.6742412765127</v>
      </c>
      <c r="F283" s="1">
        <v>100</v>
      </c>
      <c r="G283" s="1">
        <v>101.20264176422626</v>
      </c>
      <c r="H283" s="1">
        <v>99.876547356024673</v>
      </c>
      <c r="I283" s="1">
        <v>94.812915116027355</v>
      </c>
      <c r="J283" s="1">
        <v>107.1678210902539</v>
      </c>
      <c r="K283" s="1">
        <v>106.16590636000029</v>
      </c>
      <c r="L283" s="1">
        <v>95.69663892742183</v>
      </c>
      <c r="M283" s="1">
        <v>96.715943522481638</v>
      </c>
      <c r="N283" s="1">
        <v>100</v>
      </c>
      <c r="O283" s="1">
        <v>100</v>
      </c>
      <c r="P283" s="1">
        <v>90.428588134904345</v>
      </c>
      <c r="Q283" s="1">
        <v>100</v>
      </c>
      <c r="R283" s="1">
        <v>98.539127000430625</v>
      </c>
      <c r="S283" s="1">
        <v>101.440722287209</v>
      </c>
      <c r="T283" s="1">
        <v>105.12536848293551</v>
      </c>
      <c r="U283" s="1">
        <v>99.563140677786066</v>
      </c>
      <c r="V283" s="1">
        <v>101.48651369335039</v>
      </c>
      <c r="W283" s="1">
        <v>101.3186014054906</v>
      </c>
      <c r="X283" s="1">
        <v>98.938308797866256</v>
      </c>
      <c r="Y283" s="1">
        <v>100</v>
      </c>
      <c r="Z283" s="1">
        <v>91.954453216163841</v>
      </c>
      <c r="AA283" s="1">
        <v>98.079693506275504</v>
      </c>
      <c r="AB283" s="1">
        <v>86.930389853138422</v>
      </c>
      <c r="AC283" s="1">
        <v>101.78077976073585</v>
      </c>
      <c r="AD283" s="1">
        <v>113.07002987575412</v>
      </c>
      <c r="AE283" s="1">
        <v>90.100712561987365</v>
      </c>
      <c r="AF283" s="1">
        <v>104.55322036581302</v>
      </c>
      <c r="AG283" s="1">
        <v>100</v>
      </c>
      <c r="AH283" s="1">
        <v>100</v>
      </c>
      <c r="AI283" s="1">
        <v>101.65218170991882</v>
      </c>
      <c r="AJ283" s="1">
        <v>101.7607159866544</v>
      </c>
      <c r="AK283" s="1">
        <v>89.587975074729883</v>
      </c>
      <c r="AL283" s="1">
        <v>104.1205156078653</v>
      </c>
      <c r="AM283" s="1">
        <v>116.7028707921346</v>
      </c>
      <c r="AN283" s="1">
        <v>104.6537395229083</v>
      </c>
      <c r="AO283" s="1">
        <v>98.038754219782703</v>
      </c>
      <c r="AP283" s="1">
        <v>104.18125196236025</v>
      </c>
      <c r="AQ283" s="1">
        <v>94.511240497739976</v>
      </c>
      <c r="AR283" s="1">
        <v>102.41602914572604</v>
      </c>
      <c r="AS283" s="1">
        <v>99.046953672111897</v>
      </c>
      <c r="AT283" s="1">
        <v>101.65029187426869</v>
      </c>
      <c r="AU283" s="1">
        <v>92.683083360025861</v>
      </c>
      <c r="AV283" s="1">
        <v>99.900323214082661</v>
      </c>
      <c r="AW283" s="1">
        <v>100</v>
      </c>
      <c r="AX283" s="1">
        <v>100</v>
      </c>
      <c r="AY283" s="1">
        <v>100</v>
      </c>
      <c r="AZ283" s="1">
        <v>100</v>
      </c>
      <c r="BA283" s="1">
        <v>100</v>
      </c>
      <c r="BB283" s="1">
        <v>100</v>
      </c>
      <c r="BC283" s="1">
        <v>100</v>
      </c>
      <c r="BD283" s="1">
        <v>100</v>
      </c>
      <c r="BE283" s="1">
        <v>100</v>
      </c>
      <c r="BF283" s="1">
        <v>100</v>
      </c>
      <c r="BG283" s="1">
        <v>100</v>
      </c>
      <c r="BH283" s="1">
        <v>100</v>
      </c>
    </row>
    <row r="284" spans="1:60" x14ac:dyDescent="0.25">
      <c r="A284">
        <v>271</v>
      </c>
      <c r="B284" s="1">
        <v>98.218271980747275</v>
      </c>
      <c r="C284" s="1">
        <v>94.353173132071191</v>
      </c>
      <c r="D284" s="1">
        <v>99.900323214082661</v>
      </c>
      <c r="E284" s="1">
        <v>111.6742412765127</v>
      </c>
      <c r="F284" s="1">
        <v>100</v>
      </c>
      <c r="G284" s="1">
        <v>101.20264176422626</v>
      </c>
      <c r="H284" s="1">
        <v>100.64757684147678</v>
      </c>
      <c r="I284" s="1">
        <v>94.812915116027355</v>
      </c>
      <c r="J284" s="1">
        <v>106.38259539360834</v>
      </c>
      <c r="K284" s="1">
        <v>106.16590636000029</v>
      </c>
      <c r="L284" s="1">
        <v>95.69663892742183</v>
      </c>
      <c r="M284" s="1">
        <v>96.715943522481638</v>
      </c>
      <c r="N284" s="1">
        <v>100</v>
      </c>
      <c r="O284" s="1">
        <v>100</v>
      </c>
      <c r="P284" s="1">
        <v>90.428588134904345</v>
      </c>
      <c r="Q284" s="1">
        <v>100</v>
      </c>
      <c r="R284" s="1">
        <v>98.539127000430625</v>
      </c>
      <c r="S284" s="1">
        <v>101.440722287209</v>
      </c>
      <c r="T284" s="1">
        <v>105.85790111542896</v>
      </c>
      <c r="U284" s="1">
        <v>99.563140677786066</v>
      </c>
      <c r="V284" s="1">
        <v>101.48651369335039</v>
      </c>
      <c r="W284" s="1">
        <v>101.3186014054906</v>
      </c>
      <c r="X284" s="1">
        <v>98.938308797866256</v>
      </c>
      <c r="Y284" s="1">
        <v>100</v>
      </c>
      <c r="Z284" s="1">
        <v>91.954453216163841</v>
      </c>
      <c r="AA284" s="1">
        <v>98.079693506275504</v>
      </c>
      <c r="AB284" s="1">
        <v>86.930389853138422</v>
      </c>
      <c r="AC284" s="1">
        <v>101.78077976073585</v>
      </c>
      <c r="AD284" s="1">
        <v>113.07002987575412</v>
      </c>
      <c r="AE284" s="1">
        <v>90.100712561987365</v>
      </c>
      <c r="AF284" s="1">
        <v>104.55322036581302</v>
      </c>
      <c r="AG284" s="1">
        <v>100</v>
      </c>
      <c r="AH284" s="1">
        <v>100</v>
      </c>
      <c r="AI284" s="1">
        <v>101.65218170991882</v>
      </c>
      <c r="AJ284" s="1">
        <v>101.7607159866544</v>
      </c>
      <c r="AK284" s="1">
        <v>89.587975074729883</v>
      </c>
      <c r="AL284" s="1">
        <v>104.1205156078653</v>
      </c>
      <c r="AM284" s="1">
        <v>116.7028707921346</v>
      </c>
      <c r="AN284" s="1">
        <v>104.6537395229083</v>
      </c>
      <c r="AO284" s="1">
        <v>97.320417798482708</v>
      </c>
      <c r="AP284" s="1">
        <v>104.18125196236025</v>
      </c>
      <c r="AQ284" s="1">
        <v>94.511240497739976</v>
      </c>
      <c r="AR284" s="1">
        <v>102.41602914572604</v>
      </c>
      <c r="AS284" s="1">
        <v>99.046953672111897</v>
      </c>
      <c r="AT284" s="1">
        <v>101.65029187426869</v>
      </c>
      <c r="AU284" s="1">
        <v>92.683083360025861</v>
      </c>
      <c r="AV284" s="1">
        <v>99.900323214082661</v>
      </c>
      <c r="AW284" s="1">
        <v>100</v>
      </c>
      <c r="AX284" s="1">
        <v>100</v>
      </c>
      <c r="AY284" s="1">
        <v>100</v>
      </c>
      <c r="AZ284" s="1">
        <v>100</v>
      </c>
      <c r="BA284" s="1">
        <v>100</v>
      </c>
      <c r="BB284" s="1">
        <v>100</v>
      </c>
      <c r="BC284" s="1">
        <v>100</v>
      </c>
      <c r="BD284" s="1">
        <v>100</v>
      </c>
      <c r="BE284" s="1">
        <v>100</v>
      </c>
      <c r="BF284" s="1">
        <v>100</v>
      </c>
      <c r="BG284" s="1">
        <v>100</v>
      </c>
      <c r="BH284" s="1">
        <v>100</v>
      </c>
    </row>
    <row r="285" spans="1:60" x14ac:dyDescent="0.25">
      <c r="A285">
        <v>272</v>
      </c>
      <c r="B285" s="1">
        <v>98.218271980747275</v>
      </c>
      <c r="C285" s="1">
        <v>94.353173132071191</v>
      </c>
      <c r="D285" s="1">
        <v>99.900323214082661</v>
      </c>
      <c r="E285" s="1">
        <v>111.6742412765127</v>
      </c>
      <c r="F285" s="1">
        <v>100</v>
      </c>
      <c r="G285" s="1">
        <v>101.20264176422626</v>
      </c>
      <c r="H285" s="1">
        <v>100.64757684147678</v>
      </c>
      <c r="I285" s="1">
        <v>94.00252266250115</v>
      </c>
      <c r="J285" s="1">
        <v>106.38259539360834</v>
      </c>
      <c r="K285" s="1">
        <v>106.16590636000029</v>
      </c>
      <c r="L285" s="1">
        <v>95.69663892742183</v>
      </c>
      <c r="M285" s="1">
        <v>96.715943522481638</v>
      </c>
      <c r="N285" s="1">
        <v>100</v>
      </c>
      <c r="O285" s="1">
        <v>100</v>
      </c>
      <c r="P285" s="1">
        <v>90.428588134904345</v>
      </c>
      <c r="Q285" s="1">
        <v>100</v>
      </c>
      <c r="R285" s="1">
        <v>98.539127000430625</v>
      </c>
      <c r="S285" s="1">
        <v>101.440722287209</v>
      </c>
      <c r="T285" s="1">
        <v>106.6723470559311</v>
      </c>
      <c r="U285" s="1">
        <v>99.563140677786066</v>
      </c>
      <c r="V285" s="1">
        <v>101.48651369335039</v>
      </c>
      <c r="W285" s="1">
        <v>101.3186014054906</v>
      </c>
      <c r="X285" s="1">
        <v>98.938308797866256</v>
      </c>
      <c r="Y285" s="1">
        <v>100</v>
      </c>
      <c r="Z285" s="1">
        <v>91.954453216163841</v>
      </c>
      <c r="AA285" s="1">
        <v>98.079693506275504</v>
      </c>
      <c r="AB285" s="1">
        <v>86.930389853138422</v>
      </c>
      <c r="AC285" s="1">
        <v>101.78077976073585</v>
      </c>
      <c r="AD285" s="1">
        <v>113.07002987575412</v>
      </c>
      <c r="AE285" s="1">
        <v>90.100712561987365</v>
      </c>
      <c r="AF285" s="1">
        <v>104.55322036581302</v>
      </c>
      <c r="AG285" s="1">
        <v>100</v>
      </c>
      <c r="AH285" s="1">
        <v>100</v>
      </c>
      <c r="AI285" s="1">
        <v>101.65218170991882</v>
      </c>
      <c r="AJ285" s="1">
        <v>101.7607159866544</v>
      </c>
      <c r="AK285" s="1">
        <v>89.587975074729883</v>
      </c>
      <c r="AL285" s="1">
        <v>103.23056849462009</v>
      </c>
      <c r="AM285" s="1">
        <v>116.7028707921346</v>
      </c>
      <c r="AN285" s="1">
        <v>104.6537395229083</v>
      </c>
      <c r="AO285" s="1">
        <v>98.206311424751988</v>
      </c>
      <c r="AP285" s="1">
        <v>104.18125196236025</v>
      </c>
      <c r="AQ285" s="1">
        <v>94.511240497739976</v>
      </c>
      <c r="AR285" s="1">
        <v>102.41602914572604</v>
      </c>
      <c r="AS285" s="1">
        <v>99.046953672111897</v>
      </c>
      <c r="AT285" s="1">
        <v>101.65029187426869</v>
      </c>
      <c r="AU285" s="1">
        <v>92.683083360025861</v>
      </c>
      <c r="AV285" s="1">
        <v>99.900323214082661</v>
      </c>
      <c r="AW285" s="1">
        <v>100</v>
      </c>
      <c r="AX285" s="1">
        <v>100</v>
      </c>
      <c r="AY285" s="1">
        <v>100</v>
      </c>
      <c r="AZ285" s="1">
        <v>100</v>
      </c>
      <c r="BA285" s="1">
        <v>100</v>
      </c>
      <c r="BB285" s="1">
        <v>100</v>
      </c>
      <c r="BC285" s="1">
        <v>100</v>
      </c>
      <c r="BD285" s="1">
        <v>100</v>
      </c>
      <c r="BE285" s="1">
        <v>100</v>
      </c>
      <c r="BF285" s="1">
        <v>100</v>
      </c>
      <c r="BG285" s="1">
        <v>100</v>
      </c>
      <c r="BH285" s="1">
        <v>100</v>
      </c>
    </row>
    <row r="286" spans="1:60" x14ac:dyDescent="0.25">
      <c r="A286">
        <v>273</v>
      </c>
      <c r="B286" s="1">
        <v>98.218271980747275</v>
      </c>
      <c r="C286" s="1">
        <v>94.353173132071191</v>
      </c>
      <c r="D286" s="1">
        <v>99.900323214082661</v>
      </c>
      <c r="E286" s="1">
        <v>111.6742412765127</v>
      </c>
      <c r="F286" s="1">
        <v>100</v>
      </c>
      <c r="G286" s="1">
        <v>101.20264176422626</v>
      </c>
      <c r="H286" s="1">
        <v>100.64757684147678</v>
      </c>
      <c r="I286" s="1">
        <v>93.3751879919229</v>
      </c>
      <c r="J286" s="1">
        <v>106.38259539360834</v>
      </c>
      <c r="K286" s="1">
        <v>106.16590636000029</v>
      </c>
      <c r="L286" s="1">
        <v>95.69663892742183</v>
      </c>
      <c r="M286" s="1">
        <v>96.715943522481638</v>
      </c>
      <c r="N286" s="1">
        <v>100</v>
      </c>
      <c r="O286" s="1">
        <v>100</v>
      </c>
      <c r="P286" s="1">
        <v>90.428588134904345</v>
      </c>
      <c r="Q286" s="1">
        <v>100</v>
      </c>
      <c r="R286" s="1">
        <v>98.539127000430625</v>
      </c>
      <c r="S286" s="1">
        <v>101.440722287209</v>
      </c>
      <c r="T286" s="1">
        <v>107.30327859952207</v>
      </c>
      <c r="U286" s="1">
        <v>99.563140677786066</v>
      </c>
      <c r="V286" s="1">
        <v>101.48651369335039</v>
      </c>
      <c r="W286" s="1">
        <v>101.3186014054906</v>
      </c>
      <c r="X286" s="1">
        <v>98.938308797866256</v>
      </c>
      <c r="Y286" s="1">
        <v>100</v>
      </c>
      <c r="Z286" s="1">
        <v>91.954453216163841</v>
      </c>
      <c r="AA286" s="1">
        <v>98.079693506275504</v>
      </c>
      <c r="AB286" s="1">
        <v>86.930389853138422</v>
      </c>
      <c r="AC286" s="1">
        <v>101.78077976073585</v>
      </c>
      <c r="AD286" s="1">
        <v>113.07002987575412</v>
      </c>
      <c r="AE286" s="1">
        <v>90.100712561987365</v>
      </c>
      <c r="AF286" s="1">
        <v>104.55322036581302</v>
      </c>
      <c r="AG286" s="1">
        <v>100</v>
      </c>
      <c r="AH286" s="1">
        <v>100</v>
      </c>
      <c r="AI286" s="1">
        <v>101.65218170991882</v>
      </c>
      <c r="AJ286" s="1">
        <v>101.7607159866544</v>
      </c>
      <c r="AK286" s="1">
        <v>89.587975074729883</v>
      </c>
      <c r="AL286" s="1">
        <v>102.54164959280841</v>
      </c>
      <c r="AM286" s="1">
        <v>116.7028707921346</v>
      </c>
      <c r="AN286" s="1">
        <v>104.6537395229083</v>
      </c>
      <c r="AO286" s="1">
        <v>98.891633453550924</v>
      </c>
      <c r="AP286" s="1">
        <v>104.18125196236025</v>
      </c>
      <c r="AQ286" s="1">
        <v>94.511240497739976</v>
      </c>
      <c r="AR286" s="1">
        <v>102.41602914572604</v>
      </c>
      <c r="AS286" s="1">
        <v>99.046953672111897</v>
      </c>
      <c r="AT286" s="1">
        <v>101.65029187426869</v>
      </c>
      <c r="AU286" s="1">
        <v>92.683083360025861</v>
      </c>
      <c r="AV286" s="1">
        <v>99.900323214082661</v>
      </c>
      <c r="AW286" s="1">
        <v>100</v>
      </c>
      <c r="AX286" s="1">
        <v>100</v>
      </c>
      <c r="AY286" s="1">
        <v>100</v>
      </c>
      <c r="AZ286" s="1">
        <v>100</v>
      </c>
      <c r="BA286" s="1">
        <v>100</v>
      </c>
      <c r="BB286" s="1">
        <v>100</v>
      </c>
      <c r="BC286" s="1">
        <v>100</v>
      </c>
      <c r="BD286" s="1">
        <v>100</v>
      </c>
      <c r="BE286" s="1">
        <v>100</v>
      </c>
      <c r="BF286" s="1">
        <v>100</v>
      </c>
      <c r="BG286" s="1">
        <v>100</v>
      </c>
      <c r="BH286" s="1">
        <v>100</v>
      </c>
    </row>
    <row r="287" spans="1:60" x14ac:dyDescent="0.25">
      <c r="A287">
        <v>274</v>
      </c>
      <c r="B287" s="1">
        <v>98.218271980747275</v>
      </c>
      <c r="C287" s="1">
        <v>94.353173132071191</v>
      </c>
      <c r="D287" s="1">
        <v>99.900323214082661</v>
      </c>
      <c r="E287" s="1">
        <v>110.20015428202967</v>
      </c>
      <c r="F287" s="1">
        <v>100</v>
      </c>
      <c r="G287" s="1">
        <v>101.20264176422626</v>
      </c>
      <c r="H287" s="1">
        <v>100.64757684147678</v>
      </c>
      <c r="I287" s="1">
        <v>93.3751879919229</v>
      </c>
      <c r="J287" s="1">
        <v>106.38259539360834</v>
      </c>
      <c r="K287" s="1">
        <v>106.16590636000029</v>
      </c>
      <c r="L287" s="1">
        <v>95.69663892742183</v>
      </c>
      <c r="M287" s="1">
        <v>96.715943522481638</v>
      </c>
      <c r="N287" s="1">
        <v>100</v>
      </c>
      <c r="O287" s="1">
        <v>100</v>
      </c>
      <c r="P287" s="1">
        <v>90.428588134904345</v>
      </c>
      <c r="Q287" s="1">
        <v>100</v>
      </c>
      <c r="R287" s="1">
        <v>98.539127000430625</v>
      </c>
      <c r="S287" s="1">
        <v>101.440722287209</v>
      </c>
      <c r="T287" s="1">
        <v>107.30327859952207</v>
      </c>
      <c r="U287" s="1">
        <v>100.87449796391475</v>
      </c>
      <c r="V287" s="1">
        <v>101.48651369335039</v>
      </c>
      <c r="W287" s="1">
        <v>101.3186014054906</v>
      </c>
      <c r="X287" s="1">
        <v>98.938308797866256</v>
      </c>
      <c r="Y287" s="1">
        <v>100</v>
      </c>
      <c r="Z287" s="1">
        <v>91.954453216163841</v>
      </c>
      <c r="AA287" s="1">
        <v>96.785052960990782</v>
      </c>
      <c r="AB287" s="1">
        <v>86.930389853138422</v>
      </c>
      <c r="AC287" s="1">
        <v>101.78077976073585</v>
      </c>
      <c r="AD287" s="1">
        <v>113.07002987575412</v>
      </c>
      <c r="AE287" s="1">
        <v>90.100712561987365</v>
      </c>
      <c r="AF287" s="1">
        <v>104.55322036581302</v>
      </c>
      <c r="AG287" s="1">
        <v>100</v>
      </c>
      <c r="AH287" s="1">
        <v>100</v>
      </c>
      <c r="AI287" s="1">
        <v>101.65218170991882</v>
      </c>
      <c r="AJ287" s="1">
        <v>101.7607159866544</v>
      </c>
      <c r="AK287" s="1">
        <v>91.045345328368953</v>
      </c>
      <c r="AL287" s="1">
        <v>102.54164959280841</v>
      </c>
      <c r="AM287" s="1">
        <v>116.7028707921346</v>
      </c>
      <c r="AN287" s="1">
        <v>104.6537395229083</v>
      </c>
      <c r="AO287" s="1">
        <v>98.891633453550924</v>
      </c>
      <c r="AP287" s="1">
        <v>104.18125196236025</v>
      </c>
      <c r="AQ287" s="1">
        <v>94.511240497739976</v>
      </c>
      <c r="AR287" s="1">
        <v>102.41602914572604</v>
      </c>
      <c r="AS287" s="1">
        <v>99.046953672111897</v>
      </c>
      <c r="AT287" s="1">
        <v>101.65029187426869</v>
      </c>
      <c r="AU287" s="1">
        <v>92.683083360025861</v>
      </c>
      <c r="AV287" s="1">
        <v>99.900323214082661</v>
      </c>
      <c r="AW287" s="1">
        <v>100</v>
      </c>
      <c r="AX287" s="1">
        <v>100</v>
      </c>
      <c r="AY287" s="1">
        <v>100</v>
      </c>
      <c r="AZ287" s="1">
        <v>100</v>
      </c>
      <c r="BA287" s="1">
        <v>100</v>
      </c>
      <c r="BB287" s="1">
        <v>100</v>
      </c>
      <c r="BC287" s="1">
        <v>100</v>
      </c>
      <c r="BD287" s="1">
        <v>100</v>
      </c>
      <c r="BE287" s="1">
        <v>100</v>
      </c>
      <c r="BF287" s="1">
        <v>100</v>
      </c>
      <c r="BG287" s="1">
        <v>100</v>
      </c>
      <c r="BH287" s="1">
        <v>100</v>
      </c>
    </row>
    <row r="288" spans="1:60" x14ac:dyDescent="0.25">
      <c r="A288">
        <v>275</v>
      </c>
      <c r="B288" s="1">
        <v>98.218271980747275</v>
      </c>
      <c r="C288" s="1">
        <v>94.353173132071191</v>
      </c>
      <c r="D288" s="1">
        <v>99.900323214082661</v>
      </c>
      <c r="E288" s="1">
        <v>110.10001653226699</v>
      </c>
      <c r="F288" s="1">
        <v>100</v>
      </c>
      <c r="G288" s="1">
        <v>101.20264176422626</v>
      </c>
      <c r="H288" s="1">
        <v>100.64757684147678</v>
      </c>
      <c r="I288" s="1">
        <v>93.3751879919229</v>
      </c>
      <c r="J288" s="1">
        <v>106.38259539360834</v>
      </c>
      <c r="K288" s="1">
        <v>106.16590636000029</v>
      </c>
      <c r="L288" s="1">
        <v>95.69663892742183</v>
      </c>
      <c r="M288" s="1">
        <v>96.715943522481638</v>
      </c>
      <c r="N288" s="1">
        <v>100</v>
      </c>
      <c r="O288" s="1">
        <v>100</v>
      </c>
      <c r="P288" s="1">
        <v>90.428588134904345</v>
      </c>
      <c r="Q288" s="1">
        <v>100</v>
      </c>
      <c r="R288" s="1">
        <v>98.539127000430625</v>
      </c>
      <c r="S288" s="1">
        <v>101.440722287209</v>
      </c>
      <c r="T288" s="1">
        <v>107.30327859952207</v>
      </c>
      <c r="U288" s="1">
        <v>100.96372424684154</v>
      </c>
      <c r="V288" s="1">
        <v>101.48651369335039</v>
      </c>
      <c r="W288" s="1">
        <v>101.3186014054906</v>
      </c>
      <c r="X288" s="1">
        <v>98.938308797866256</v>
      </c>
      <c r="Y288" s="1">
        <v>100</v>
      </c>
      <c r="Z288" s="1">
        <v>91.954453216163841</v>
      </c>
      <c r="AA288" s="1">
        <v>96.697105376186386</v>
      </c>
      <c r="AB288" s="1">
        <v>86.930389853138422</v>
      </c>
      <c r="AC288" s="1">
        <v>101.78077976073585</v>
      </c>
      <c r="AD288" s="1">
        <v>113.07002987575412</v>
      </c>
      <c r="AE288" s="1">
        <v>90.100712561987365</v>
      </c>
      <c r="AF288" s="1">
        <v>104.55322036581302</v>
      </c>
      <c r="AG288" s="1">
        <v>100</v>
      </c>
      <c r="AH288" s="1">
        <v>100</v>
      </c>
      <c r="AI288" s="1">
        <v>101.65218170991882</v>
      </c>
      <c r="AJ288" s="1">
        <v>101.7607159866544</v>
      </c>
      <c r="AK288" s="1">
        <v>91.144204380009242</v>
      </c>
      <c r="AL288" s="1">
        <v>102.54164959280841</v>
      </c>
      <c r="AM288" s="1">
        <v>116.7028707921346</v>
      </c>
      <c r="AN288" s="1">
        <v>104.6537395229083</v>
      </c>
      <c r="AO288" s="1">
        <v>98.891633453550924</v>
      </c>
      <c r="AP288" s="1">
        <v>104.18125196236025</v>
      </c>
      <c r="AQ288" s="1">
        <v>94.511240497739976</v>
      </c>
      <c r="AR288" s="1">
        <v>102.41602914572604</v>
      </c>
      <c r="AS288" s="1">
        <v>99.046953672111897</v>
      </c>
      <c r="AT288" s="1">
        <v>101.65029187426869</v>
      </c>
      <c r="AU288" s="1">
        <v>92.683083360025861</v>
      </c>
      <c r="AV288" s="1">
        <v>99.900323214082661</v>
      </c>
      <c r="AW288" s="1">
        <v>100</v>
      </c>
      <c r="AX288" s="1">
        <v>100</v>
      </c>
      <c r="AY288" s="1">
        <v>100</v>
      </c>
      <c r="AZ288" s="1">
        <v>100</v>
      </c>
      <c r="BA288" s="1">
        <v>100</v>
      </c>
      <c r="BB288" s="1">
        <v>100</v>
      </c>
      <c r="BC288" s="1">
        <v>100</v>
      </c>
      <c r="BD288" s="1">
        <v>100</v>
      </c>
      <c r="BE288" s="1">
        <v>100</v>
      </c>
      <c r="BF288" s="1">
        <v>100</v>
      </c>
      <c r="BG288" s="1">
        <v>100</v>
      </c>
      <c r="BH288" s="1">
        <v>100</v>
      </c>
    </row>
    <row r="289" spans="1:60" x14ac:dyDescent="0.25">
      <c r="A289">
        <v>276</v>
      </c>
      <c r="B289" s="1">
        <v>98.218271980747275</v>
      </c>
      <c r="C289" s="1">
        <v>94.353173132071191</v>
      </c>
      <c r="D289" s="1">
        <v>99.900323214082661</v>
      </c>
      <c r="E289" s="1">
        <v>110.10001653226699</v>
      </c>
      <c r="F289" s="1">
        <v>100</v>
      </c>
      <c r="G289" s="1">
        <v>101.20264176422626</v>
      </c>
      <c r="H289" s="1">
        <v>100.64757684147678</v>
      </c>
      <c r="I289" s="1">
        <v>93.3751879919229</v>
      </c>
      <c r="J289" s="1">
        <v>106.38259539360834</v>
      </c>
      <c r="K289" s="1">
        <v>106.16590636000029</v>
      </c>
      <c r="L289" s="1">
        <v>95.69663892742183</v>
      </c>
      <c r="M289" s="1">
        <v>96.715943522481638</v>
      </c>
      <c r="N289" s="1">
        <v>100</v>
      </c>
      <c r="O289" s="1">
        <v>100</v>
      </c>
      <c r="P289" s="1">
        <v>88.853793603254289</v>
      </c>
      <c r="Q289" s="1">
        <v>100</v>
      </c>
      <c r="R289" s="1">
        <v>98.539127000430625</v>
      </c>
      <c r="S289" s="1">
        <v>101.440722287209</v>
      </c>
      <c r="T289" s="1">
        <v>107.30327859952207</v>
      </c>
      <c r="U289" s="1">
        <v>100.96372424684154</v>
      </c>
      <c r="V289" s="1">
        <v>99.71914775192829</v>
      </c>
      <c r="W289" s="1">
        <v>101.3186014054906</v>
      </c>
      <c r="X289" s="1">
        <v>98.938308797866256</v>
      </c>
      <c r="Y289" s="1">
        <v>100</v>
      </c>
      <c r="Z289" s="1">
        <v>91.954453216163841</v>
      </c>
      <c r="AA289" s="1">
        <v>96.697105376186386</v>
      </c>
      <c r="AB289" s="1">
        <v>86.930389853138422</v>
      </c>
      <c r="AC289" s="1">
        <v>101.78077976073585</v>
      </c>
      <c r="AD289" s="1">
        <v>113.07002987575412</v>
      </c>
      <c r="AE289" s="1">
        <v>90.100712561987365</v>
      </c>
      <c r="AF289" s="1">
        <v>104.55322036581302</v>
      </c>
      <c r="AG289" s="1">
        <v>100</v>
      </c>
      <c r="AH289" s="1">
        <v>100</v>
      </c>
      <c r="AI289" s="1">
        <v>101.65218170991882</v>
      </c>
      <c r="AJ289" s="1">
        <v>101.7607159866544</v>
      </c>
      <c r="AK289" s="1">
        <v>91.144204380009242</v>
      </c>
      <c r="AL289" s="1">
        <v>102.54164959280841</v>
      </c>
      <c r="AM289" s="1">
        <v>116.7028707921346</v>
      </c>
      <c r="AN289" s="1">
        <v>104.6537395229083</v>
      </c>
      <c r="AO289" s="1">
        <v>100.58570110061814</v>
      </c>
      <c r="AP289" s="1">
        <v>104.18125196236025</v>
      </c>
      <c r="AQ289" s="1">
        <v>94.511240497739976</v>
      </c>
      <c r="AR289" s="1">
        <v>102.41602914572604</v>
      </c>
      <c r="AS289" s="1">
        <v>99.046953672111897</v>
      </c>
      <c r="AT289" s="1">
        <v>103.29838470027363</v>
      </c>
      <c r="AU289" s="1">
        <v>92.683083360025861</v>
      </c>
      <c r="AV289" s="1">
        <v>99.900323214082661</v>
      </c>
      <c r="AW289" s="1">
        <v>100</v>
      </c>
      <c r="AX289" s="1">
        <v>100</v>
      </c>
      <c r="AY289" s="1">
        <v>100</v>
      </c>
      <c r="AZ289" s="1">
        <v>100</v>
      </c>
      <c r="BA289" s="1">
        <v>100</v>
      </c>
      <c r="BB289" s="1">
        <v>100</v>
      </c>
      <c r="BC289" s="1">
        <v>100</v>
      </c>
      <c r="BD289" s="1">
        <v>100</v>
      </c>
      <c r="BE289" s="1">
        <v>100</v>
      </c>
      <c r="BF289" s="1">
        <v>100</v>
      </c>
      <c r="BG289" s="1">
        <v>100</v>
      </c>
      <c r="BH289" s="1">
        <v>100</v>
      </c>
    </row>
    <row r="290" spans="1:60" x14ac:dyDescent="0.25">
      <c r="A290">
        <v>277</v>
      </c>
      <c r="B290" s="1">
        <v>98.218271980747275</v>
      </c>
      <c r="C290" s="1">
        <v>94.353173132071191</v>
      </c>
      <c r="D290" s="1">
        <v>99.900323214082661</v>
      </c>
      <c r="E290" s="1">
        <v>110.10001653226699</v>
      </c>
      <c r="F290" s="1">
        <v>100</v>
      </c>
      <c r="G290" s="1">
        <v>101.20264176422626</v>
      </c>
      <c r="H290" s="1">
        <v>100.64757684147678</v>
      </c>
      <c r="I290" s="1">
        <v>93.3751879919229</v>
      </c>
      <c r="J290" s="1">
        <v>106.38259539360834</v>
      </c>
      <c r="K290" s="1">
        <v>106.16590636000029</v>
      </c>
      <c r="L290" s="1">
        <v>95.69663892742183</v>
      </c>
      <c r="M290" s="1">
        <v>96.715943522481638</v>
      </c>
      <c r="N290" s="1">
        <v>100</v>
      </c>
      <c r="O290" s="1">
        <v>100</v>
      </c>
      <c r="P290" s="1">
        <v>88.966527728374245</v>
      </c>
      <c r="Q290" s="1">
        <v>100</v>
      </c>
      <c r="R290" s="1">
        <v>98.539127000430625</v>
      </c>
      <c r="S290" s="1">
        <v>101.440722287209</v>
      </c>
      <c r="T290" s="1">
        <v>107.30327859952207</v>
      </c>
      <c r="U290" s="1">
        <v>100.96372424684154</v>
      </c>
      <c r="V290" s="1">
        <v>99.819598416733129</v>
      </c>
      <c r="W290" s="1">
        <v>101.3186014054906</v>
      </c>
      <c r="X290" s="1">
        <v>98.938308797866256</v>
      </c>
      <c r="Y290" s="1">
        <v>100</v>
      </c>
      <c r="Z290" s="1">
        <v>91.954453216163841</v>
      </c>
      <c r="AA290" s="1">
        <v>96.697105376186386</v>
      </c>
      <c r="AB290" s="1">
        <v>86.930389853138422</v>
      </c>
      <c r="AC290" s="1">
        <v>101.78077976073585</v>
      </c>
      <c r="AD290" s="1">
        <v>113.07002987575412</v>
      </c>
      <c r="AE290" s="1">
        <v>90.100712561987365</v>
      </c>
      <c r="AF290" s="1">
        <v>104.55322036581302</v>
      </c>
      <c r="AG290" s="1">
        <v>100</v>
      </c>
      <c r="AH290" s="1">
        <v>100</v>
      </c>
      <c r="AI290" s="1">
        <v>101.65218170991882</v>
      </c>
      <c r="AJ290" s="1">
        <v>101.7607159866544</v>
      </c>
      <c r="AK290" s="1">
        <v>91.144204380009242</v>
      </c>
      <c r="AL290" s="1">
        <v>102.54164959280841</v>
      </c>
      <c r="AM290" s="1">
        <v>116.7028707921346</v>
      </c>
      <c r="AN290" s="1">
        <v>104.6537395229083</v>
      </c>
      <c r="AO290" s="1">
        <v>100.48052692052291</v>
      </c>
      <c r="AP290" s="1">
        <v>104.18125196236025</v>
      </c>
      <c r="AQ290" s="1">
        <v>94.511240497739976</v>
      </c>
      <c r="AR290" s="1">
        <v>102.41602914572604</v>
      </c>
      <c r="AS290" s="1">
        <v>99.046953672111897</v>
      </c>
      <c r="AT290" s="1">
        <v>103.19037409044407</v>
      </c>
      <c r="AU290" s="1">
        <v>92.683083360025861</v>
      </c>
      <c r="AV290" s="1">
        <v>99.900323214082661</v>
      </c>
      <c r="AW290" s="1">
        <v>100</v>
      </c>
      <c r="AX290" s="1">
        <v>100</v>
      </c>
      <c r="AY290" s="1">
        <v>100</v>
      </c>
      <c r="AZ290" s="1">
        <v>100</v>
      </c>
      <c r="BA290" s="1">
        <v>100</v>
      </c>
      <c r="BB290" s="1">
        <v>100</v>
      </c>
      <c r="BC290" s="1">
        <v>100</v>
      </c>
      <c r="BD290" s="1">
        <v>100</v>
      </c>
      <c r="BE290" s="1">
        <v>100</v>
      </c>
      <c r="BF290" s="1">
        <v>100</v>
      </c>
      <c r="BG290" s="1">
        <v>100</v>
      </c>
      <c r="BH290" s="1">
        <v>100</v>
      </c>
    </row>
    <row r="291" spans="1:60" x14ac:dyDescent="0.25">
      <c r="A291">
        <v>278</v>
      </c>
      <c r="B291" s="1">
        <v>97.431254500459332</v>
      </c>
      <c r="C291" s="1">
        <v>94.353173132071191</v>
      </c>
      <c r="D291" s="1">
        <v>99.900323214082661</v>
      </c>
      <c r="E291" s="1">
        <v>110.10001653226699</v>
      </c>
      <c r="F291" s="1">
        <v>100</v>
      </c>
      <c r="G291" s="1">
        <v>101.20264176422626</v>
      </c>
      <c r="H291" s="1">
        <v>100.64757684147678</v>
      </c>
      <c r="I291" s="1">
        <v>94.21366324134641</v>
      </c>
      <c r="J291" s="1">
        <v>106.38259539360834</v>
      </c>
      <c r="K291" s="1">
        <v>106.16590636000029</v>
      </c>
      <c r="L291" s="1">
        <v>95.69663892742183</v>
      </c>
      <c r="M291" s="1">
        <v>96.715943522481638</v>
      </c>
      <c r="N291" s="1">
        <v>100</v>
      </c>
      <c r="O291" s="1">
        <v>100</v>
      </c>
      <c r="P291" s="1">
        <v>88.966527728374245</v>
      </c>
      <c r="Q291" s="1">
        <v>100</v>
      </c>
      <c r="R291" s="1">
        <v>98.539127000430625</v>
      </c>
      <c r="S291" s="1">
        <v>101.440722287209</v>
      </c>
      <c r="T291" s="1">
        <v>107.30327859952207</v>
      </c>
      <c r="U291" s="1">
        <v>100.96372424684154</v>
      </c>
      <c r="V291" s="1">
        <v>99.819598416733129</v>
      </c>
      <c r="W291" s="1">
        <v>101.3186014054906</v>
      </c>
      <c r="X291" s="1">
        <v>98.938308797866256</v>
      </c>
      <c r="Y291" s="1">
        <v>100</v>
      </c>
      <c r="Z291" s="1">
        <v>91.954453216163841</v>
      </c>
      <c r="AA291" s="1">
        <v>96.697105376186386</v>
      </c>
      <c r="AB291" s="1">
        <v>86.930389853138422</v>
      </c>
      <c r="AC291" s="1">
        <v>101.78077976073585</v>
      </c>
      <c r="AD291" s="1">
        <v>113.07002987575412</v>
      </c>
      <c r="AE291" s="1">
        <v>90.100712561987365</v>
      </c>
      <c r="AF291" s="1">
        <v>104.55322036581302</v>
      </c>
      <c r="AG291" s="1">
        <v>100</v>
      </c>
      <c r="AH291" s="1">
        <v>100</v>
      </c>
      <c r="AI291" s="1">
        <v>102.4223844023206</v>
      </c>
      <c r="AJ291" s="1">
        <v>101.7607159866544</v>
      </c>
      <c r="AK291" s="1">
        <v>91.144204380009242</v>
      </c>
      <c r="AL291" s="1">
        <v>101.71998913127106</v>
      </c>
      <c r="AM291" s="1">
        <v>116.7028707921346</v>
      </c>
      <c r="AN291" s="1">
        <v>104.6537395229083</v>
      </c>
      <c r="AO291" s="1">
        <v>100.48052692052291</v>
      </c>
      <c r="AP291" s="1">
        <v>104.18125196236025</v>
      </c>
      <c r="AQ291" s="1">
        <v>94.511240497739976</v>
      </c>
      <c r="AR291" s="1">
        <v>102.41602914572604</v>
      </c>
      <c r="AS291" s="1">
        <v>99.046953672111897</v>
      </c>
      <c r="AT291" s="1">
        <v>103.19037409044407</v>
      </c>
      <c r="AU291" s="1">
        <v>92.683083360025861</v>
      </c>
      <c r="AV291" s="1">
        <v>99.900323214082661</v>
      </c>
      <c r="AW291" s="1">
        <v>100</v>
      </c>
      <c r="AX291" s="1">
        <v>100</v>
      </c>
      <c r="AY291" s="1">
        <v>100</v>
      </c>
      <c r="AZ291" s="1">
        <v>100</v>
      </c>
      <c r="BA291" s="1">
        <v>100</v>
      </c>
      <c r="BB291" s="1">
        <v>100</v>
      </c>
      <c r="BC291" s="1">
        <v>100</v>
      </c>
      <c r="BD291" s="1">
        <v>100</v>
      </c>
      <c r="BE291" s="1">
        <v>100</v>
      </c>
      <c r="BF291" s="1">
        <v>100</v>
      </c>
      <c r="BG291" s="1">
        <v>100</v>
      </c>
      <c r="BH291" s="1">
        <v>100</v>
      </c>
    </row>
    <row r="292" spans="1:60" x14ac:dyDescent="0.25">
      <c r="A292">
        <v>279</v>
      </c>
      <c r="B292" s="1">
        <v>98.039451285036449</v>
      </c>
      <c r="C292" s="1">
        <v>94.353173132071191</v>
      </c>
      <c r="D292" s="1">
        <v>99.900323214082661</v>
      </c>
      <c r="E292" s="1">
        <v>110.10001653226699</v>
      </c>
      <c r="F292" s="1">
        <v>100</v>
      </c>
      <c r="G292" s="1">
        <v>101.20264176422626</v>
      </c>
      <c r="H292" s="1">
        <v>100.64757684147678</v>
      </c>
      <c r="I292" s="1">
        <v>93.643142298095242</v>
      </c>
      <c r="J292" s="1">
        <v>106.38259539360834</v>
      </c>
      <c r="K292" s="1">
        <v>106.16590636000029</v>
      </c>
      <c r="L292" s="1">
        <v>95.69663892742183</v>
      </c>
      <c r="M292" s="1">
        <v>96.715943522481638</v>
      </c>
      <c r="N292" s="1">
        <v>100</v>
      </c>
      <c r="O292" s="1">
        <v>100</v>
      </c>
      <c r="P292" s="1">
        <v>88.966527728374245</v>
      </c>
      <c r="Q292" s="1">
        <v>100</v>
      </c>
      <c r="R292" s="1">
        <v>98.539127000430625</v>
      </c>
      <c r="S292" s="1">
        <v>101.440722287209</v>
      </c>
      <c r="T292" s="1">
        <v>107.30327859952207</v>
      </c>
      <c r="U292" s="1">
        <v>100.96372424684154</v>
      </c>
      <c r="V292" s="1">
        <v>99.819598416733129</v>
      </c>
      <c r="W292" s="1">
        <v>101.3186014054906</v>
      </c>
      <c r="X292" s="1">
        <v>98.938308797866256</v>
      </c>
      <c r="Y292" s="1">
        <v>100</v>
      </c>
      <c r="Z292" s="1">
        <v>91.954453216163841</v>
      </c>
      <c r="AA292" s="1">
        <v>96.697105376186386</v>
      </c>
      <c r="AB292" s="1">
        <v>86.930389853138422</v>
      </c>
      <c r="AC292" s="1">
        <v>101.78077976073585</v>
      </c>
      <c r="AD292" s="1">
        <v>113.07002987575412</v>
      </c>
      <c r="AE292" s="1">
        <v>90.100712561987365</v>
      </c>
      <c r="AF292" s="1">
        <v>104.55322036581302</v>
      </c>
      <c r="AG292" s="1">
        <v>100</v>
      </c>
      <c r="AH292" s="1">
        <v>100</v>
      </c>
      <c r="AI292" s="1">
        <v>101.80215466759989</v>
      </c>
      <c r="AJ292" s="1">
        <v>101.7607159866544</v>
      </c>
      <c r="AK292" s="1">
        <v>91.144204380009242</v>
      </c>
      <c r="AL292" s="1">
        <v>102.30254302466582</v>
      </c>
      <c r="AM292" s="1">
        <v>116.7028707921346</v>
      </c>
      <c r="AN292" s="1">
        <v>104.6537395229083</v>
      </c>
      <c r="AO292" s="1">
        <v>100.48052692052291</v>
      </c>
      <c r="AP292" s="1">
        <v>104.18125196236025</v>
      </c>
      <c r="AQ292" s="1">
        <v>94.511240497739976</v>
      </c>
      <c r="AR292" s="1">
        <v>102.41602914572604</v>
      </c>
      <c r="AS292" s="1">
        <v>99.046953672111897</v>
      </c>
      <c r="AT292" s="1">
        <v>103.19037409044407</v>
      </c>
      <c r="AU292" s="1">
        <v>92.683083360025861</v>
      </c>
      <c r="AV292" s="1">
        <v>99.900323214082661</v>
      </c>
      <c r="AW292" s="1">
        <v>100</v>
      </c>
      <c r="AX292" s="1">
        <v>100</v>
      </c>
      <c r="AY292" s="1">
        <v>100</v>
      </c>
      <c r="AZ292" s="1">
        <v>100</v>
      </c>
      <c r="BA292" s="1">
        <v>100</v>
      </c>
      <c r="BB292" s="1">
        <v>100</v>
      </c>
      <c r="BC292" s="1">
        <v>100</v>
      </c>
      <c r="BD292" s="1">
        <v>100</v>
      </c>
      <c r="BE292" s="1">
        <v>100</v>
      </c>
      <c r="BF292" s="1">
        <v>100</v>
      </c>
      <c r="BG292" s="1">
        <v>100</v>
      </c>
      <c r="BH292" s="1">
        <v>100</v>
      </c>
    </row>
    <row r="293" spans="1:60" x14ac:dyDescent="0.25">
      <c r="A293">
        <v>280</v>
      </c>
      <c r="B293" s="1">
        <v>98.039451285036449</v>
      </c>
      <c r="C293" s="1">
        <v>94.353173132071191</v>
      </c>
      <c r="D293" s="1">
        <v>99.900323214082661</v>
      </c>
      <c r="E293" s="1">
        <v>110.10001653226699</v>
      </c>
      <c r="F293" s="1">
        <v>100</v>
      </c>
      <c r="G293" s="1">
        <v>101.20264176422626</v>
      </c>
      <c r="H293" s="1">
        <v>100.64757684147678</v>
      </c>
      <c r="I293" s="1">
        <v>90.395296406087425</v>
      </c>
      <c r="J293" s="1">
        <v>106.38259539360834</v>
      </c>
      <c r="K293" s="1">
        <v>106.16590636000029</v>
      </c>
      <c r="L293" s="1">
        <v>95.69663892742183</v>
      </c>
      <c r="M293" s="1">
        <v>96.715943522481638</v>
      </c>
      <c r="N293" s="1">
        <v>100</v>
      </c>
      <c r="O293" s="1">
        <v>100</v>
      </c>
      <c r="P293" s="1">
        <v>88.966527728374245</v>
      </c>
      <c r="Q293" s="1">
        <v>100</v>
      </c>
      <c r="R293" s="1">
        <v>98.539127000430625</v>
      </c>
      <c r="S293" s="1">
        <v>101.440722287209</v>
      </c>
      <c r="T293" s="1">
        <v>103.58165516778129</v>
      </c>
      <c r="U293" s="1">
        <v>100.96372424684154</v>
      </c>
      <c r="V293" s="1">
        <v>103.14602325306753</v>
      </c>
      <c r="W293" s="1">
        <v>101.3186014054906</v>
      </c>
      <c r="X293" s="1">
        <v>98.938308797866256</v>
      </c>
      <c r="Y293" s="1">
        <v>100</v>
      </c>
      <c r="Z293" s="1">
        <v>91.954453216163841</v>
      </c>
      <c r="AA293" s="1">
        <v>96.697105376186386</v>
      </c>
      <c r="AB293" s="1">
        <v>86.930389853138422</v>
      </c>
      <c r="AC293" s="1">
        <v>101.78077976073585</v>
      </c>
      <c r="AD293" s="1">
        <v>113.07002987575412</v>
      </c>
      <c r="AE293" s="1">
        <v>90.100712561987365</v>
      </c>
      <c r="AF293" s="1">
        <v>104.55322036581302</v>
      </c>
      <c r="AG293" s="1">
        <v>100</v>
      </c>
      <c r="AH293" s="1">
        <v>100</v>
      </c>
      <c r="AI293" s="1">
        <v>101.80215466759989</v>
      </c>
      <c r="AJ293" s="1">
        <v>101.7607159866544</v>
      </c>
      <c r="AK293" s="1">
        <v>94.787248867423443</v>
      </c>
      <c r="AL293" s="1">
        <v>102.30254302466582</v>
      </c>
      <c r="AM293" s="1">
        <v>116.7028707921346</v>
      </c>
      <c r="AN293" s="1">
        <v>104.6537395229083</v>
      </c>
      <c r="AO293" s="1">
        <v>100.48052692052291</v>
      </c>
      <c r="AP293" s="1">
        <v>104.18125196236025</v>
      </c>
      <c r="AQ293" s="1">
        <v>94.511240497739976</v>
      </c>
      <c r="AR293" s="1">
        <v>102.41602914572604</v>
      </c>
      <c r="AS293" s="1">
        <v>99.046953672111897</v>
      </c>
      <c r="AT293" s="1">
        <v>103.19037409044407</v>
      </c>
      <c r="AU293" s="1">
        <v>92.683083360025861</v>
      </c>
      <c r="AV293" s="1">
        <v>99.900323214082661</v>
      </c>
      <c r="AW293" s="1">
        <v>100</v>
      </c>
      <c r="AX293" s="1">
        <v>100</v>
      </c>
      <c r="AY293" s="1">
        <v>100</v>
      </c>
      <c r="AZ293" s="1">
        <v>100</v>
      </c>
      <c r="BA293" s="1">
        <v>100</v>
      </c>
      <c r="BB293" s="1">
        <v>100</v>
      </c>
      <c r="BC293" s="1">
        <v>100</v>
      </c>
      <c r="BD293" s="1">
        <v>100</v>
      </c>
      <c r="BE293" s="1">
        <v>100</v>
      </c>
      <c r="BF293" s="1">
        <v>100</v>
      </c>
      <c r="BG293" s="1">
        <v>100</v>
      </c>
      <c r="BH293" s="1">
        <v>100</v>
      </c>
    </row>
    <row r="294" spans="1:60" x14ac:dyDescent="0.25">
      <c r="A294">
        <v>281</v>
      </c>
      <c r="B294" s="1">
        <v>98.039451285036449</v>
      </c>
      <c r="C294" s="1">
        <v>94.353173132071191</v>
      </c>
      <c r="D294" s="1">
        <v>99.900323214082661</v>
      </c>
      <c r="E294" s="1">
        <v>110.10001653226699</v>
      </c>
      <c r="F294" s="1">
        <v>100</v>
      </c>
      <c r="G294" s="1">
        <v>101.20264176422626</v>
      </c>
      <c r="H294" s="1">
        <v>100.64757684147678</v>
      </c>
      <c r="I294" s="1">
        <v>90.775354036476685</v>
      </c>
      <c r="J294" s="1">
        <v>106.38259539360834</v>
      </c>
      <c r="K294" s="1">
        <v>106.16590636000029</v>
      </c>
      <c r="L294" s="1">
        <v>95.69663892742183</v>
      </c>
      <c r="M294" s="1">
        <v>96.715943522481638</v>
      </c>
      <c r="N294" s="1">
        <v>100</v>
      </c>
      <c r="O294" s="1">
        <v>100</v>
      </c>
      <c r="P294" s="1">
        <v>88.966527728374245</v>
      </c>
      <c r="Q294" s="1">
        <v>100</v>
      </c>
      <c r="R294" s="1">
        <v>98.539127000430625</v>
      </c>
      <c r="S294" s="1">
        <v>101.440722287209</v>
      </c>
      <c r="T294" s="1">
        <v>103.91332994257402</v>
      </c>
      <c r="U294" s="1">
        <v>100.96372424684154</v>
      </c>
      <c r="V294" s="1">
        <v>102.77512872670324</v>
      </c>
      <c r="W294" s="1">
        <v>101.3186014054906</v>
      </c>
      <c r="X294" s="1">
        <v>98.938308797866256</v>
      </c>
      <c r="Y294" s="1">
        <v>100</v>
      </c>
      <c r="Z294" s="1">
        <v>91.954453216163841</v>
      </c>
      <c r="AA294" s="1">
        <v>96.697105376186386</v>
      </c>
      <c r="AB294" s="1">
        <v>86.930389853138422</v>
      </c>
      <c r="AC294" s="1">
        <v>101.78077976073585</v>
      </c>
      <c r="AD294" s="1">
        <v>113.07002987575412</v>
      </c>
      <c r="AE294" s="1">
        <v>90.100712561987365</v>
      </c>
      <c r="AF294" s="1">
        <v>104.55322036581302</v>
      </c>
      <c r="AG294" s="1">
        <v>100</v>
      </c>
      <c r="AH294" s="1">
        <v>100</v>
      </c>
      <c r="AI294" s="1">
        <v>101.80215466759989</v>
      </c>
      <c r="AJ294" s="1">
        <v>101.7607159866544</v>
      </c>
      <c r="AK294" s="1">
        <v>94.446410988605749</v>
      </c>
      <c r="AL294" s="1">
        <v>102.30254302466582</v>
      </c>
      <c r="AM294" s="1">
        <v>116.7028707921346</v>
      </c>
      <c r="AN294" s="1">
        <v>104.6537395229083</v>
      </c>
      <c r="AO294" s="1">
        <v>100.48052692052291</v>
      </c>
      <c r="AP294" s="1">
        <v>104.18125196236025</v>
      </c>
      <c r="AQ294" s="1">
        <v>94.511240497739976</v>
      </c>
      <c r="AR294" s="1">
        <v>102.41602914572604</v>
      </c>
      <c r="AS294" s="1">
        <v>99.046953672111897</v>
      </c>
      <c r="AT294" s="1">
        <v>103.19037409044407</v>
      </c>
      <c r="AU294" s="1">
        <v>92.683083360025861</v>
      </c>
      <c r="AV294" s="1">
        <v>99.900323214082661</v>
      </c>
      <c r="AW294" s="1">
        <v>100</v>
      </c>
      <c r="AX294" s="1">
        <v>100</v>
      </c>
      <c r="AY294" s="1">
        <v>100</v>
      </c>
      <c r="AZ294" s="1">
        <v>100</v>
      </c>
      <c r="BA294" s="1">
        <v>100</v>
      </c>
      <c r="BB294" s="1">
        <v>100</v>
      </c>
      <c r="BC294" s="1">
        <v>100</v>
      </c>
      <c r="BD294" s="1">
        <v>100</v>
      </c>
      <c r="BE294" s="1">
        <v>100</v>
      </c>
      <c r="BF294" s="1">
        <v>100</v>
      </c>
      <c r="BG294" s="1">
        <v>100</v>
      </c>
      <c r="BH294" s="1">
        <v>100</v>
      </c>
    </row>
    <row r="295" spans="1:60" x14ac:dyDescent="0.25">
      <c r="A295">
        <v>282</v>
      </c>
      <c r="B295" s="1">
        <v>98.039451285036449</v>
      </c>
      <c r="C295" s="1">
        <v>94.353173132071191</v>
      </c>
      <c r="D295" s="1">
        <v>99.900323214082661</v>
      </c>
      <c r="E295" s="1">
        <v>110.10001653226699</v>
      </c>
      <c r="F295" s="1">
        <v>100</v>
      </c>
      <c r="G295" s="1">
        <v>101.20264176422626</v>
      </c>
      <c r="H295" s="1">
        <v>100.64757684147678</v>
      </c>
      <c r="I295" s="1">
        <v>90.775354036476685</v>
      </c>
      <c r="J295" s="1">
        <v>106.38259539360834</v>
      </c>
      <c r="K295" s="1">
        <v>106.16590636000029</v>
      </c>
      <c r="L295" s="1">
        <v>95.69663892742183</v>
      </c>
      <c r="M295" s="1">
        <v>96.715943522481638</v>
      </c>
      <c r="N295" s="1">
        <v>100</v>
      </c>
      <c r="O295" s="1">
        <v>100</v>
      </c>
      <c r="P295" s="1">
        <v>88.966527728374245</v>
      </c>
      <c r="Q295" s="1">
        <v>100</v>
      </c>
      <c r="R295" s="1">
        <v>98.539127000430625</v>
      </c>
      <c r="S295" s="1">
        <v>101.440722287209</v>
      </c>
      <c r="T295" s="1">
        <v>103.84673341724411</v>
      </c>
      <c r="U295" s="1">
        <v>100.96372424684154</v>
      </c>
      <c r="V295" s="1">
        <v>102.77512872670324</v>
      </c>
      <c r="W295" s="1">
        <v>101.3186014054906</v>
      </c>
      <c r="X295" s="1">
        <v>98.938308797866256</v>
      </c>
      <c r="Y295" s="1">
        <v>100</v>
      </c>
      <c r="Z295" s="1">
        <v>91.954453216163841</v>
      </c>
      <c r="AA295" s="1">
        <v>96.697105376186386</v>
      </c>
      <c r="AB295" s="1">
        <v>86.930389853138422</v>
      </c>
      <c r="AC295" s="1">
        <v>101.78077976073585</v>
      </c>
      <c r="AD295" s="1">
        <v>113.07002987575412</v>
      </c>
      <c r="AE295" s="1">
        <v>90.100712561987365</v>
      </c>
      <c r="AF295" s="1">
        <v>104.55322036581302</v>
      </c>
      <c r="AG295" s="1">
        <v>100</v>
      </c>
      <c r="AH295" s="1">
        <v>100</v>
      </c>
      <c r="AI295" s="1">
        <v>101.80215466759989</v>
      </c>
      <c r="AJ295" s="1">
        <v>101.7607159866544</v>
      </c>
      <c r="AK295" s="1">
        <v>94.446410988605749</v>
      </c>
      <c r="AL295" s="1">
        <v>102.36832251082483</v>
      </c>
      <c r="AM295" s="1">
        <v>116.7028707921346</v>
      </c>
      <c r="AN295" s="1">
        <v>104.6537395229083</v>
      </c>
      <c r="AO295" s="1">
        <v>100.41613042817757</v>
      </c>
      <c r="AP295" s="1">
        <v>104.18125196236025</v>
      </c>
      <c r="AQ295" s="1">
        <v>94.511240497739976</v>
      </c>
      <c r="AR295" s="1">
        <v>102.41602914572604</v>
      </c>
      <c r="AS295" s="1">
        <v>99.046953672111897</v>
      </c>
      <c r="AT295" s="1">
        <v>103.25558762196033</v>
      </c>
      <c r="AU295" s="1">
        <v>92.683083360025861</v>
      </c>
      <c r="AV295" s="1">
        <v>99.900323214082661</v>
      </c>
      <c r="AW295" s="1">
        <v>100</v>
      </c>
      <c r="AX295" s="1">
        <v>100</v>
      </c>
      <c r="AY295" s="1">
        <v>100</v>
      </c>
      <c r="AZ295" s="1">
        <v>100</v>
      </c>
      <c r="BA295" s="1">
        <v>100</v>
      </c>
      <c r="BB295" s="1">
        <v>100</v>
      </c>
      <c r="BC295" s="1">
        <v>100</v>
      </c>
      <c r="BD295" s="1">
        <v>100</v>
      </c>
      <c r="BE295" s="1">
        <v>100</v>
      </c>
      <c r="BF295" s="1">
        <v>100</v>
      </c>
      <c r="BG295" s="1">
        <v>100</v>
      </c>
      <c r="BH295" s="1">
        <v>100</v>
      </c>
    </row>
    <row r="296" spans="1:60" x14ac:dyDescent="0.25">
      <c r="A296">
        <v>283</v>
      </c>
      <c r="B296" s="1">
        <v>98.039451285036449</v>
      </c>
      <c r="C296" s="1">
        <v>94.353173132071191</v>
      </c>
      <c r="D296" s="1">
        <v>99.900323214082661</v>
      </c>
      <c r="E296" s="1">
        <v>110.10001653226699</v>
      </c>
      <c r="F296" s="1">
        <v>100</v>
      </c>
      <c r="G296" s="1">
        <v>101.20264176422626</v>
      </c>
      <c r="H296" s="1">
        <v>100.64757684147678</v>
      </c>
      <c r="I296" s="1">
        <v>90.775354036476685</v>
      </c>
      <c r="J296" s="1">
        <v>106.38259539360834</v>
      </c>
      <c r="K296" s="1">
        <v>106.16590636000029</v>
      </c>
      <c r="L296" s="1">
        <v>95.69663892742183</v>
      </c>
      <c r="M296" s="1">
        <v>96.715943522481638</v>
      </c>
      <c r="N296" s="1">
        <v>100</v>
      </c>
      <c r="O296" s="1">
        <v>100</v>
      </c>
      <c r="P296" s="1">
        <v>88.966527728374245</v>
      </c>
      <c r="Q296" s="1">
        <v>100</v>
      </c>
      <c r="R296" s="1">
        <v>98.539127000430625</v>
      </c>
      <c r="S296" s="1">
        <v>101.440722287209</v>
      </c>
      <c r="T296" s="1">
        <v>103.64166871779722</v>
      </c>
      <c r="U296" s="1">
        <v>100.96372424684154</v>
      </c>
      <c r="V296" s="1">
        <v>102.77512872670324</v>
      </c>
      <c r="W296" s="1">
        <v>101.3186014054906</v>
      </c>
      <c r="X296" s="1">
        <v>98.938308797866256</v>
      </c>
      <c r="Y296" s="1">
        <v>100</v>
      </c>
      <c r="Z296" s="1">
        <v>91.954453216163841</v>
      </c>
      <c r="AA296" s="1">
        <v>96.697105376186386</v>
      </c>
      <c r="AB296" s="1">
        <v>86.930389853138422</v>
      </c>
      <c r="AC296" s="1">
        <v>101.78077976073585</v>
      </c>
      <c r="AD296" s="1">
        <v>113.07002987575412</v>
      </c>
      <c r="AE296" s="1">
        <v>90.100712561987365</v>
      </c>
      <c r="AF296" s="1">
        <v>104.55322036581302</v>
      </c>
      <c r="AG296" s="1">
        <v>100</v>
      </c>
      <c r="AH296" s="1">
        <v>100</v>
      </c>
      <c r="AI296" s="1">
        <v>101.80215466759989</v>
      </c>
      <c r="AJ296" s="1">
        <v>101.7607159866544</v>
      </c>
      <c r="AK296" s="1">
        <v>94.446410988605749</v>
      </c>
      <c r="AL296" s="1">
        <v>102.57087026474525</v>
      </c>
      <c r="AM296" s="1">
        <v>116.7028707921346</v>
      </c>
      <c r="AN296" s="1">
        <v>104.6537395229083</v>
      </c>
      <c r="AO296" s="1">
        <v>100.21784009271617</v>
      </c>
      <c r="AP296" s="1">
        <v>104.18125196236025</v>
      </c>
      <c r="AQ296" s="1">
        <v>94.511240497739976</v>
      </c>
      <c r="AR296" s="1">
        <v>102.41602914572604</v>
      </c>
      <c r="AS296" s="1">
        <v>99.046953672111897</v>
      </c>
      <c r="AT296" s="1">
        <v>103.45639490294819</v>
      </c>
      <c r="AU296" s="1">
        <v>92.683083360025861</v>
      </c>
      <c r="AV296" s="1">
        <v>99.900323214082661</v>
      </c>
      <c r="AW296" s="1">
        <v>100</v>
      </c>
      <c r="AX296" s="1">
        <v>100</v>
      </c>
      <c r="AY296" s="1">
        <v>100</v>
      </c>
      <c r="AZ296" s="1">
        <v>100</v>
      </c>
      <c r="BA296" s="1">
        <v>100</v>
      </c>
      <c r="BB296" s="1">
        <v>100</v>
      </c>
      <c r="BC296" s="1">
        <v>100</v>
      </c>
      <c r="BD296" s="1">
        <v>100</v>
      </c>
      <c r="BE296" s="1">
        <v>100</v>
      </c>
      <c r="BF296" s="1">
        <v>100</v>
      </c>
      <c r="BG296" s="1">
        <v>100</v>
      </c>
      <c r="BH296" s="1">
        <v>100</v>
      </c>
    </row>
    <row r="297" spans="1:60" x14ac:dyDescent="0.25">
      <c r="A297">
        <v>284</v>
      </c>
      <c r="B297" s="1">
        <v>98.039451285036449</v>
      </c>
      <c r="C297" s="1">
        <v>94.353173132071191</v>
      </c>
      <c r="D297" s="1">
        <v>99.900323214082661</v>
      </c>
      <c r="E297" s="1">
        <v>110.10001653226699</v>
      </c>
      <c r="F297" s="1">
        <v>100</v>
      </c>
      <c r="G297" s="1">
        <v>101.20264176422626</v>
      </c>
      <c r="H297" s="1">
        <v>100.64757684147678</v>
      </c>
      <c r="I297" s="1">
        <v>90.775354036476685</v>
      </c>
      <c r="J297" s="1">
        <v>106.38259539360834</v>
      </c>
      <c r="K297" s="1">
        <v>106.16590636000029</v>
      </c>
      <c r="L297" s="1">
        <v>95.69663892742183</v>
      </c>
      <c r="M297" s="1">
        <v>96.715943522481638</v>
      </c>
      <c r="N297" s="1">
        <v>100</v>
      </c>
      <c r="O297" s="1">
        <v>99.372560716474013</v>
      </c>
      <c r="P297" s="1">
        <v>88.966527728374245</v>
      </c>
      <c r="Q297" s="1">
        <v>100</v>
      </c>
      <c r="R297" s="1">
        <v>98.539127000430625</v>
      </c>
      <c r="S297" s="1">
        <v>101.440722287209</v>
      </c>
      <c r="T297" s="1">
        <v>102.9913801741599</v>
      </c>
      <c r="U297" s="1">
        <v>100.96372424684154</v>
      </c>
      <c r="V297" s="1">
        <v>102.77512872670324</v>
      </c>
      <c r="W297" s="1">
        <v>101.3186014054906</v>
      </c>
      <c r="X297" s="1">
        <v>98.938308797866256</v>
      </c>
      <c r="Y297" s="1">
        <v>100</v>
      </c>
      <c r="Z297" s="1">
        <v>91.954453216163841</v>
      </c>
      <c r="AA297" s="1">
        <v>96.697105376186386</v>
      </c>
      <c r="AB297" s="1">
        <v>86.930389853138422</v>
      </c>
      <c r="AC297" s="1">
        <v>101.78077976073585</v>
      </c>
      <c r="AD297" s="1">
        <v>113.07002987575412</v>
      </c>
      <c r="AE297" s="1">
        <v>90.78701032680307</v>
      </c>
      <c r="AF297" s="1">
        <v>105.14465042816062</v>
      </c>
      <c r="AG297" s="1">
        <v>100</v>
      </c>
      <c r="AH297" s="1">
        <v>100</v>
      </c>
      <c r="AI297" s="1">
        <v>101.80215466759989</v>
      </c>
      <c r="AJ297" s="1">
        <v>101.7607159866544</v>
      </c>
      <c r="AK297" s="1">
        <v>94.446410988605749</v>
      </c>
      <c r="AL297" s="1">
        <v>102.57087026474525</v>
      </c>
      <c r="AM297" s="1">
        <v>116.7028707921346</v>
      </c>
      <c r="AN297" s="1">
        <v>104.6537395229083</v>
      </c>
      <c r="AO297" s="1">
        <v>100.21784009271617</v>
      </c>
      <c r="AP297" s="1">
        <v>104.18125196236025</v>
      </c>
      <c r="AQ297" s="1">
        <v>94.511240497739976</v>
      </c>
      <c r="AR297" s="1">
        <v>102.41602914572604</v>
      </c>
      <c r="AS297" s="1">
        <v>99.046953672111897</v>
      </c>
      <c r="AT297" s="1">
        <v>103.45639490294819</v>
      </c>
      <c r="AU297" s="1">
        <v>92.683083360025861</v>
      </c>
      <c r="AV297" s="1">
        <v>99.900323214082661</v>
      </c>
      <c r="AW297" s="1">
        <v>100</v>
      </c>
      <c r="AX297" s="1">
        <v>100</v>
      </c>
      <c r="AY297" s="1">
        <v>100</v>
      </c>
      <c r="AZ297" s="1">
        <v>100</v>
      </c>
      <c r="BA297" s="1">
        <v>100</v>
      </c>
      <c r="BB297" s="1">
        <v>100</v>
      </c>
      <c r="BC297" s="1">
        <v>100</v>
      </c>
      <c r="BD297" s="1">
        <v>100</v>
      </c>
      <c r="BE297" s="1">
        <v>100</v>
      </c>
      <c r="BF297" s="1">
        <v>100</v>
      </c>
      <c r="BG297" s="1">
        <v>100</v>
      </c>
      <c r="BH297" s="1">
        <v>100</v>
      </c>
    </row>
    <row r="298" spans="1:60" x14ac:dyDescent="0.25">
      <c r="A298">
        <v>285</v>
      </c>
      <c r="B298" s="1">
        <v>98.039451285036449</v>
      </c>
      <c r="C298" s="1">
        <v>94.353173132071191</v>
      </c>
      <c r="D298" s="1">
        <v>99.900323214082661</v>
      </c>
      <c r="E298" s="1">
        <v>110.10001653226699</v>
      </c>
      <c r="F298" s="1">
        <v>100</v>
      </c>
      <c r="G298" s="1">
        <v>101.20264176422626</v>
      </c>
      <c r="H298" s="1">
        <v>100.64757684147678</v>
      </c>
      <c r="I298" s="1">
        <v>90.775354036476685</v>
      </c>
      <c r="J298" s="1">
        <v>106.38259539360834</v>
      </c>
      <c r="K298" s="1">
        <v>106.16590636000029</v>
      </c>
      <c r="L298" s="1">
        <v>95.69663892742183</v>
      </c>
      <c r="M298" s="1">
        <v>96.715943522481638</v>
      </c>
      <c r="N298" s="1">
        <v>100</v>
      </c>
      <c r="O298" s="1">
        <v>98.543812935962578</v>
      </c>
      <c r="P298" s="1">
        <v>88.966527728374245</v>
      </c>
      <c r="Q298" s="1">
        <v>100</v>
      </c>
      <c r="R298" s="1">
        <v>98.539127000430625</v>
      </c>
      <c r="S298" s="1">
        <v>101.440722287209</v>
      </c>
      <c r="T298" s="1">
        <v>102.13245214497614</v>
      </c>
      <c r="U298" s="1">
        <v>100.96372424684154</v>
      </c>
      <c r="V298" s="1">
        <v>102.77512872670324</v>
      </c>
      <c r="W298" s="1">
        <v>101.3186014054906</v>
      </c>
      <c r="X298" s="1">
        <v>98.938308797866256</v>
      </c>
      <c r="Y298" s="1">
        <v>100</v>
      </c>
      <c r="Z298" s="1">
        <v>91.954453216163841</v>
      </c>
      <c r="AA298" s="1">
        <v>96.697105376186386</v>
      </c>
      <c r="AB298" s="1">
        <v>86.930389853138422</v>
      </c>
      <c r="AC298" s="1">
        <v>101.78077976073585</v>
      </c>
      <c r="AD298" s="1">
        <v>113.07002987575412</v>
      </c>
      <c r="AE298" s="1">
        <v>91.692683674146281</v>
      </c>
      <c r="AF298" s="1">
        <v>105.92665289051259</v>
      </c>
      <c r="AG298" s="1">
        <v>100</v>
      </c>
      <c r="AH298" s="1">
        <v>100</v>
      </c>
      <c r="AI298" s="1">
        <v>101.80215466759989</v>
      </c>
      <c r="AJ298" s="1">
        <v>101.7607159866544</v>
      </c>
      <c r="AK298" s="1">
        <v>94.446410988605749</v>
      </c>
      <c r="AL298" s="1">
        <v>102.57087026474525</v>
      </c>
      <c r="AM298" s="1">
        <v>116.7028707921346</v>
      </c>
      <c r="AN298" s="1">
        <v>104.6537395229083</v>
      </c>
      <c r="AO298" s="1">
        <v>100.21784009271617</v>
      </c>
      <c r="AP298" s="1">
        <v>104.18125196236025</v>
      </c>
      <c r="AQ298" s="1">
        <v>94.511240497739976</v>
      </c>
      <c r="AR298" s="1">
        <v>102.41602914572604</v>
      </c>
      <c r="AS298" s="1">
        <v>99.046953672111897</v>
      </c>
      <c r="AT298" s="1">
        <v>103.45639490294819</v>
      </c>
      <c r="AU298" s="1">
        <v>92.683083360025861</v>
      </c>
      <c r="AV298" s="1">
        <v>99.900323214082661</v>
      </c>
      <c r="AW298" s="1">
        <v>100</v>
      </c>
      <c r="AX298" s="1">
        <v>100</v>
      </c>
      <c r="AY298" s="1">
        <v>100</v>
      </c>
      <c r="AZ298" s="1">
        <v>100</v>
      </c>
      <c r="BA298" s="1">
        <v>100</v>
      </c>
      <c r="BB298" s="1">
        <v>100</v>
      </c>
      <c r="BC298" s="1">
        <v>100</v>
      </c>
      <c r="BD298" s="1">
        <v>100</v>
      </c>
      <c r="BE298" s="1">
        <v>100</v>
      </c>
      <c r="BF298" s="1">
        <v>100</v>
      </c>
      <c r="BG298" s="1">
        <v>100</v>
      </c>
      <c r="BH298" s="1">
        <v>100</v>
      </c>
    </row>
    <row r="299" spans="1:60" x14ac:dyDescent="0.25">
      <c r="A299">
        <v>286</v>
      </c>
      <c r="B299" s="1">
        <v>98.039451285036449</v>
      </c>
      <c r="C299" s="1">
        <v>94.353173132071191</v>
      </c>
      <c r="D299" s="1">
        <v>99.900323214082661</v>
      </c>
      <c r="E299" s="1">
        <v>110.10001653226699</v>
      </c>
      <c r="F299" s="1">
        <v>100</v>
      </c>
      <c r="G299" s="1">
        <v>101.20264176422626</v>
      </c>
      <c r="H299" s="1">
        <v>100.64757684147678</v>
      </c>
      <c r="I299" s="1">
        <v>90.775354036476685</v>
      </c>
      <c r="J299" s="1">
        <v>106.38259539360834</v>
      </c>
      <c r="K299" s="1">
        <v>106.16590636000029</v>
      </c>
      <c r="L299" s="1">
        <v>95.69663892742183</v>
      </c>
      <c r="M299" s="1">
        <v>96.715943522481638</v>
      </c>
      <c r="N299" s="1">
        <v>100</v>
      </c>
      <c r="O299" s="1">
        <v>98.543812935962578</v>
      </c>
      <c r="P299" s="1">
        <v>88.966527728374245</v>
      </c>
      <c r="Q299" s="1">
        <v>100</v>
      </c>
      <c r="R299" s="1">
        <v>98.539127000430625</v>
      </c>
      <c r="S299" s="1">
        <v>101.440722287209</v>
      </c>
      <c r="T299" s="1">
        <v>102.31310661147296</v>
      </c>
      <c r="U299" s="1">
        <v>100.96372424684154</v>
      </c>
      <c r="V299" s="1">
        <v>102.58504664247879</v>
      </c>
      <c r="W299" s="1">
        <v>101.3186014054906</v>
      </c>
      <c r="X299" s="1">
        <v>98.938308797866256</v>
      </c>
      <c r="Y299" s="1">
        <v>100</v>
      </c>
      <c r="Z299" s="1">
        <v>91.954453216163841</v>
      </c>
      <c r="AA299" s="1">
        <v>96.697105376186386</v>
      </c>
      <c r="AB299" s="1">
        <v>86.930389853138422</v>
      </c>
      <c r="AC299" s="1">
        <v>101.78077976073585</v>
      </c>
      <c r="AD299" s="1">
        <v>113.07002987575412</v>
      </c>
      <c r="AE299" s="1">
        <v>91.692683674146281</v>
      </c>
      <c r="AF299" s="1">
        <v>105.92665289051259</v>
      </c>
      <c r="AG299" s="1">
        <v>100</v>
      </c>
      <c r="AH299" s="1">
        <v>100</v>
      </c>
      <c r="AI299" s="1">
        <v>101.80215466759989</v>
      </c>
      <c r="AJ299" s="1">
        <v>101.7607159866544</v>
      </c>
      <c r="AK299" s="1">
        <v>94.27173282599334</v>
      </c>
      <c r="AL299" s="1">
        <v>102.57087026474525</v>
      </c>
      <c r="AM299" s="1">
        <v>116.7028707921346</v>
      </c>
      <c r="AN299" s="1">
        <v>104.6537395229083</v>
      </c>
      <c r="AO299" s="1">
        <v>100.40194587305621</v>
      </c>
      <c r="AP299" s="1">
        <v>104.18125196236025</v>
      </c>
      <c r="AQ299" s="1">
        <v>94.511240497739976</v>
      </c>
      <c r="AR299" s="1">
        <v>102.41602914572604</v>
      </c>
      <c r="AS299" s="1">
        <v>99.046953672111897</v>
      </c>
      <c r="AT299" s="1">
        <v>103.45639490294819</v>
      </c>
      <c r="AU299" s="1">
        <v>92.683083360025861</v>
      </c>
      <c r="AV299" s="1">
        <v>99.900323214082661</v>
      </c>
      <c r="AW299" s="1">
        <v>100</v>
      </c>
      <c r="AX299" s="1">
        <v>100</v>
      </c>
      <c r="AY299" s="1">
        <v>100</v>
      </c>
      <c r="AZ299" s="1">
        <v>100</v>
      </c>
      <c r="BA299" s="1">
        <v>100</v>
      </c>
      <c r="BB299" s="1">
        <v>100</v>
      </c>
      <c r="BC299" s="1">
        <v>100</v>
      </c>
      <c r="BD299" s="1">
        <v>100</v>
      </c>
      <c r="BE299" s="1">
        <v>100</v>
      </c>
      <c r="BF299" s="1">
        <v>100</v>
      </c>
      <c r="BG299" s="1">
        <v>100</v>
      </c>
      <c r="BH299" s="1">
        <v>100</v>
      </c>
    </row>
    <row r="300" spans="1:60" x14ac:dyDescent="0.25">
      <c r="A300">
        <v>287</v>
      </c>
      <c r="B300" s="1">
        <v>98.039451285036449</v>
      </c>
      <c r="C300" s="1">
        <v>94.353173132071191</v>
      </c>
      <c r="D300" s="1">
        <v>99.900323214082661</v>
      </c>
      <c r="E300" s="1">
        <v>110.10001653226699</v>
      </c>
      <c r="F300" s="1">
        <v>100</v>
      </c>
      <c r="G300" s="1">
        <v>101.20264176422626</v>
      </c>
      <c r="H300" s="1">
        <v>100.64757684147678</v>
      </c>
      <c r="I300" s="1">
        <v>90.775354036476685</v>
      </c>
      <c r="J300" s="1">
        <v>106.38259539360834</v>
      </c>
      <c r="K300" s="1">
        <v>106.16590636000029</v>
      </c>
      <c r="L300" s="1">
        <v>95.69663892742183</v>
      </c>
      <c r="M300" s="1">
        <v>96.715943522481638</v>
      </c>
      <c r="N300" s="1">
        <v>100</v>
      </c>
      <c r="O300" s="1">
        <v>98.543812935962578</v>
      </c>
      <c r="P300" s="1">
        <v>88.966527728374245</v>
      </c>
      <c r="Q300" s="1">
        <v>100</v>
      </c>
      <c r="R300" s="1">
        <v>98.539127000430625</v>
      </c>
      <c r="S300" s="1">
        <v>101.440722287209</v>
      </c>
      <c r="T300" s="1">
        <v>102.45282810735911</v>
      </c>
      <c r="U300" s="1">
        <v>100.96372424684154</v>
      </c>
      <c r="V300" s="1">
        <v>102.4380387067519</v>
      </c>
      <c r="W300" s="1">
        <v>101.3186014054906</v>
      </c>
      <c r="X300" s="1">
        <v>98.938308797866256</v>
      </c>
      <c r="Y300" s="1">
        <v>100</v>
      </c>
      <c r="Z300" s="1">
        <v>91.954453216163841</v>
      </c>
      <c r="AA300" s="1">
        <v>96.697105376186386</v>
      </c>
      <c r="AB300" s="1">
        <v>86.930389853138422</v>
      </c>
      <c r="AC300" s="1">
        <v>101.78077976073585</v>
      </c>
      <c r="AD300" s="1">
        <v>113.07002987575412</v>
      </c>
      <c r="AE300" s="1">
        <v>91.692683674146281</v>
      </c>
      <c r="AF300" s="1">
        <v>105.92665289051259</v>
      </c>
      <c r="AG300" s="1">
        <v>100</v>
      </c>
      <c r="AH300" s="1">
        <v>100</v>
      </c>
      <c r="AI300" s="1">
        <v>101.80215466759989</v>
      </c>
      <c r="AJ300" s="1">
        <v>101.7607159866544</v>
      </c>
      <c r="AK300" s="1">
        <v>94.136638157776773</v>
      </c>
      <c r="AL300" s="1">
        <v>102.57087026474525</v>
      </c>
      <c r="AM300" s="1">
        <v>116.7028707921346</v>
      </c>
      <c r="AN300" s="1">
        <v>104.6537395229083</v>
      </c>
      <c r="AO300" s="1">
        <v>100.5443269811135</v>
      </c>
      <c r="AP300" s="1">
        <v>104.18125196236025</v>
      </c>
      <c r="AQ300" s="1">
        <v>94.511240497739976</v>
      </c>
      <c r="AR300" s="1">
        <v>102.41602914572604</v>
      </c>
      <c r="AS300" s="1">
        <v>99.046953672111897</v>
      </c>
      <c r="AT300" s="1">
        <v>103.45639490294819</v>
      </c>
      <c r="AU300" s="1">
        <v>92.683083360025861</v>
      </c>
      <c r="AV300" s="1">
        <v>99.900323214082661</v>
      </c>
      <c r="AW300" s="1">
        <v>100</v>
      </c>
      <c r="AX300" s="1">
        <v>100</v>
      </c>
      <c r="AY300" s="1">
        <v>100</v>
      </c>
      <c r="AZ300" s="1">
        <v>100</v>
      </c>
      <c r="BA300" s="1">
        <v>100</v>
      </c>
      <c r="BB300" s="1">
        <v>100</v>
      </c>
      <c r="BC300" s="1">
        <v>100</v>
      </c>
      <c r="BD300" s="1">
        <v>100</v>
      </c>
      <c r="BE300" s="1">
        <v>100</v>
      </c>
      <c r="BF300" s="1">
        <v>100</v>
      </c>
      <c r="BG300" s="1">
        <v>100</v>
      </c>
      <c r="BH300" s="1">
        <v>100</v>
      </c>
    </row>
    <row r="301" spans="1:60" x14ac:dyDescent="0.25">
      <c r="A301">
        <v>288</v>
      </c>
      <c r="B301" s="1">
        <v>97.819560117756183</v>
      </c>
      <c r="C301" s="1">
        <v>94.353173132071191</v>
      </c>
      <c r="D301" s="1">
        <v>99.900323214082661</v>
      </c>
      <c r="E301" s="1">
        <v>110.30661058735031</v>
      </c>
      <c r="F301" s="1">
        <v>100</v>
      </c>
      <c r="G301" s="1">
        <v>101.20264176422626</v>
      </c>
      <c r="H301" s="1">
        <v>100.64757684147678</v>
      </c>
      <c r="I301" s="1">
        <v>90.775354036476685</v>
      </c>
      <c r="J301" s="1">
        <v>106.38259539360834</v>
      </c>
      <c r="K301" s="1">
        <v>106.16590636000029</v>
      </c>
      <c r="L301" s="1">
        <v>95.69663892742183</v>
      </c>
      <c r="M301" s="1">
        <v>96.715943522481638</v>
      </c>
      <c r="N301" s="1">
        <v>100</v>
      </c>
      <c r="O301" s="1">
        <v>98.543812935962578</v>
      </c>
      <c r="P301" s="1">
        <v>88.966527728374245</v>
      </c>
      <c r="Q301" s="1">
        <v>100</v>
      </c>
      <c r="R301" s="1">
        <v>98.539127000430625</v>
      </c>
      <c r="S301" s="1">
        <v>101.440722287209</v>
      </c>
      <c r="T301" s="1">
        <v>102.45282810735911</v>
      </c>
      <c r="U301" s="1">
        <v>100.96372424684154</v>
      </c>
      <c r="V301" s="1">
        <v>102.4380387067519</v>
      </c>
      <c r="W301" s="1">
        <v>101.3186014054906</v>
      </c>
      <c r="X301" s="1">
        <v>98.938308797866256</v>
      </c>
      <c r="Y301" s="1">
        <v>100</v>
      </c>
      <c r="Z301" s="1">
        <v>91.954453216163841</v>
      </c>
      <c r="AA301" s="1">
        <v>96.697105376186386</v>
      </c>
      <c r="AB301" s="1">
        <v>86.930389853138422</v>
      </c>
      <c r="AC301" s="1">
        <v>101.78077976073585</v>
      </c>
      <c r="AD301" s="1">
        <v>113.07002987575412</v>
      </c>
      <c r="AE301" s="1">
        <v>91.692683674146281</v>
      </c>
      <c r="AF301" s="1">
        <v>105.92665289051259</v>
      </c>
      <c r="AG301" s="1">
        <v>100</v>
      </c>
      <c r="AH301" s="1">
        <v>100</v>
      </c>
      <c r="AI301" s="1">
        <v>101.5738241911632</v>
      </c>
      <c r="AJ301" s="1">
        <v>101.7607159866544</v>
      </c>
      <c r="AK301" s="1">
        <v>94.37826574641042</v>
      </c>
      <c r="AL301" s="1">
        <v>102.57087026474525</v>
      </c>
      <c r="AM301" s="1">
        <v>116.7028707921346</v>
      </c>
      <c r="AN301" s="1">
        <v>104.6537395229083</v>
      </c>
      <c r="AO301" s="1">
        <v>100.5443269811135</v>
      </c>
      <c r="AP301" s="1">
        <v>104.18125196236025</v>
      </c>
      <c r="AQ301" s="1">
        <v>94.511240497739976</v>
      </c>
      <c r="AR301" s="1">
        <v>102.41602914572604</v>
      </c>
      <c r="AS301" s="1">
        <v>99.046953672111897</v>
      </c>
      <c r="AT301" s="1">
        <v>103.45639490294819</v>
      </c>
      <c r="AU301" s="1">
        <v>92.683083360025861</v>
      </c>
      <c r="AV301" s="1">
        <v>99.900323214082661</v>
      </c>
      <c r="AW301" s="1">
        <v>100</v>
      </c>
      <c r="AX301" s="1">
        <v>100</v>
      </c>
      <c r="AY301" s="1">
        <v>100</v>
      </c>
      <c r="AZ301" s="1">
        <v>100</v>
      </c>
      <c r="BA301" s="1">
        <v>100</v>
      </c>
      <c r="BB301" s="1">
        <v>100</v>
      </c>
      <c r="BC301" s="1">
        <v>100</v>
      </c>
      <c r="BD301" s="1">
        <v>100</v>
      </c>
      <c r="BE301" s="1">
        <v>100</v>
      </c>
      <c r="BF301" s="1">
        <v>100</v>
      </c>
      <c r="BG301" s="1">
        <v>100</v>
      </c>
      <c r="BH301" s="1">
        <v>100</v>
      </c>
    </row>
    <row r="302" spans="1:60" x14ac:dyDescent="0.25">
      <c r="A302">
        <v>289</v>
      </c>
      <c r="B302" s="1">
        <v>95.99640044150928</v>
      </c>
      <c r="C302" s="1">
        <v>94.353173132071191</v>
      </c>
      <c r="D302" s="1">
        <v>99.900323214082661</v>
      </c>
      <c r="E302" s="1">
        <v>112.02015744049837</v>
      </c>
      <c r="F302" s="1">
        <v>100</v>
      </c>
      <c r="G302" s="1">
        <v>101.20264176422626</v>
      </c>
      <c r="H302" s="1">
        <v>100.64757684147678</v>
      </c>
      <c r="I302" s="1">
        <v>90.775354036476685</v>
      </c>
      <c r="J302" s="1">
        <v>106.38259539360834</v>
      </c>
      <c r="K302" s="1">
        <v>106.16590636000029</v>
      </c>
      <c r="L302" s="1">
        <v>95.69663892742183</v>
      </c>
      <c r="M302" s="1">
        <v>96.715943522481638</v>
      </c>
      <c r="N302" s="1">
        <v>100</v>
      </c>
      <c r="O302" s="1">
        <v>98.543812935962578</v>
      </c>
      <c r="P302" s="1">
        <v>88.966527728374245</v>
      </c>
      <c r="Q302" s="1">
        <v>100</v>
      </c>
      <c r="R302" s="1">
        <v>98.539127000430625</v>
      </c>
      <c r="S302" s="1">
        <v>101.440722287209</v>
      </c>
      <c r="T302" s="1">
        <v>102.45282810735911</v>
      </c>
      <c r="U302" s="1">
        <v>100.96372424684154</v>
      </c>
      <c r="V302" s="1">
        <v>102.4380387067519</v>
      </c>
      <c r="W302" s="1">
        <v>101.3186014054906</v>
      </c>
      <c r="X302" s="1">
        <v>98.938308797866256</v>
      </c>
      <c r="Y302" s="1">
        <v>100</v>
      </c>
      <c r="Z302" s="1">
        <v>91.954453216163841</v>
      </c>
      <c r="AA302" s="1">
        <v>96.697105376186386</v>
      </c>
      <c r="AB302" s="1">
        <v>86.930389853138422</v>
      </c>
      <c r="AC302" s="1">
        <v>101.78077976073585</v>
      </c>
      <c r="AD302" s="1">
        <v>113.07002987575412</v>
      </c>
      <c r="AE302" s="1">
        <v>91.692683674146281</v>
      </c>
      <c r="AF302" s="1">
        <v>105.92665289051259</v>
      </c>
      <c r="AG302" s="1">
        <v>100</v>
      </c>
      <c r="AH302" s="1">
        <v>100</v>
      </c>
      <c r="AI302" s="1">
        <v>99.680692590442519</v>
      </c>
      <c r="AJ302" s="1">
        <v>101.7607159866544</v>
      </c>
      <c r="AK302" s="1">
        <v>96.381010170229956</v>
      </c>
      <c r="AL302" s="1">
        <v>102.57087026474525</v>
      </c>
      <c r="AM302" s="1">
        <v>116.7028707921346</v>
      </c>
      <c r="AN302" s="1">
        <v>104.6537395229083</v>
      </c>
      <c r="AO302" s="1">
        <v>100.5443269811135</v>
      </c>
      <c r="AP302" s="1">
        <v>104.18125196236025</v>
      </c>
      <c r="AQ302" s="1">
        <v>94.511240497739976</v>
      </c>
      <c r="AR302" s="1">
        <v>102.41602914572604</v>
      </c>
      <c r="AS302" s="1">
        <v>99.046953672111897</v>
      </c>
      <c r="AT302" s="1">
        <v>103.45639490294819</v>
      </c>
      <c r="AU302" s="1">
        <v>92.683083360025861</v>
      </c>
      <c r="AV302" s="1">
        <v>99.900323214082661</v>
      </c>
      <c r="AW302" s="1">
        <v>100</v>
      </c>
      <c r="AX302" s="1">
        <v>100</v>
      </c>
      <c r="AY302" s="1">
        <v>100</v>
      </c>
      <c r="AZ302" s="1">
        <v>100</v>
      </c>
      <c r="BA302" s="1">
        <v>100</v>
      </c>
      <c r="BB302" s="1">
        <v>100</v>
      </c>
      <c r="BC302" s="1">
        <v>100</v>
      </c>
      <c r="BD302" s="1">
        <v>100</v>
      </c>
      <c r="BE302" s="1">
        <v>100</v>
      </c>
      <c r="BF302" s="1">
        <v>100</v>
      </c>
      <c r="BG302" s="1">
        <v>100</v>
      </c>
      <c r="BH302" s="1">
        <v>100</v>
      </c>
    </row>
    <row r="303" spans="1:60" x14ac:dyDescent="0.25">
      <c r="A303">
        <v>290</v>
      </c>
      <c r="B303" s="1">
        <v>95.99640044150928</v>
      </c>
      <c r="C303" s="1">
        <v>94.353173132071191</v>
      </c>
      <c r="D303" s="1">
        <v>99.900323214082661</v>
      </c>
      <c r="E303" s="1">
        <v>112.02015744049837</v>
      </c>
      <c r="F303" s="1">
        <v>100</v>
      </c>
      <c r="G303" s="1">
        <v>101.20264176422626</v>
      </c>
      <c r="H303" s="1">
        <v>100.64757684147678</v>
      </c>
      <c r="I303" s="1">
        <v>90.775354036476685</v>
      </c>
      <c r="J303" s="1">
        <v>106.38259539360834</v>
      </c>
      <c r="K303" s="1">
        <v>106.16590636000029</v>
      </c>
      <c r="L303" s="1">
        <v>95.69663892742183</v>
      </c>
      <c r="M303" s="1">
        <v>96.715943522481638</v>
      </c>
      <c r="N303" s="1">
        <v>100.14551196925875</v>
      </c>
      <c r="O303" s="1">
        <v>98.543812935962578</v>
      </c>
      <c r="P303" s="1">
        <v>88.966527728374245</v>
      </c>
      <c r="Q303" s="1">
        <v>100</v>
      </c>
      <c r="R303" s="1">
        <v>98.539127000430625</v>
      </c>
      <c r="S303" s="1">
        <v>101.29298069792877</v>
      </c>
      <c r="T303" s="1">
        <v>102.45282810735911</v>
      </c>
      <c r="U303" s="1">
        <v>100.96372424684154</v>
      </c>
      <c r="V303" s="1">
        <v>102.4380387067519</v>
      </c>
      <c r="W303" s="1">
        <v>101.3186014054906</v>
      </c>
      <c r="X303" s="1">
        <v>98.938308797866256</v>
      </c>
      <c r="Y303" s="1">
        <v>100</v>
      </c>
      <c r="Z303" s="1">
        <v>91.954453216163841</v>
      </c>
      <c r="AA303" s="1">
        <v>96.697105376186386</v>
      </c>
      <c r="AB303" s="1">
        <v>86.930389853138422</v>
      </c>
      <c r="AC303" s="1">
        <v>101.78077976073585</v>
      </c>
      <c r="AD303" s="1">
        <v>113.07002987575412</v>
      </c>
      <c r="AE303" s="1">
        <v>91.692683674146281</v>
      </c>
      <c r="AF303" s="1">
        <v>105.92665289051259</v>
      </c>
      <c r="AG303" s="1">
        <v>100</v>
      </c>
      <c r="AH303" s="1">
        <v>100</v>
      </c>
      <c r="AI303" s="1">
        <v>99.680692590442519</v>
      </c>
      <c r="AJ303" s="1">
        <v>101.7607159866544</v>
      </c>
      <c r="AK303" s="1">
        <v>96.381010170229956</v>
      </c>
      <c r="AL303" s="1">
        <v>102.57087026474525</v>
      </c>
      <c r="AM303" s="1">
        <v>116.7028707921346</v>
      </c>
      <c r="AN303" s="1">
        <v>104.6537395229083</v>
      </c>
      <c r="AO303" s="1">
        <v>100.5443269811135</v>
      </c>
      <c r="AP303" s="1">
        <v>104.02951897593154</v>
      </c>
      <c r="AQ303" s="1">
        <v>94.665203104190184</v>
      </c>
      <c r="AR303" s="1">
        <v>102.41602914572604</v>
      </c>
      <c r="AS303" s="1">
        <v>99.046953672111897</v>
      </c>
      <c r="AT303" s="1">
        <v>103.45639490294819</v>
      </c>
      <c r="AU303" s="1">
        <v>92.683083360025861</v>
      </c>
      <c r="AV303" s="1">
        <v>99.900323214082661</v>
      </c>
      <c r="AW303" s="1">
        <v>100</v>
      </c>
      <c r="AX303" s="1">
        <v>100</v>
      </c>
      <c r="AY303" s="1">
        <v>100</v>
      </c>
      <c r="AZ303" s="1">
        <v>100</v>
      </c>
      <c r="BA303" s="1">
        <v>100</v>
      </c>
      <c r="BB303" s="1">
        <v>100</v>
      </c>
      <c r="BC303" s="1">
        <v>100</v>
      </c>
      <c r="BD303" s="1">
        <v>100</v>
      </c>
      <c r="BE303" s="1">
        <v>100</v>
      </c>
      <c r="BF303" s="1">
        <v>100</v>
      </c>
      <c r="BG303" s="1">
        <v>100</v>
      </c>
      <c r="BH303" s="1">
        <v>100</v>
      </c>
    </row>
    <row r="304" spans="1:60" x14ac:dyDescent="0.25">
      <c r="A304">
        <v>291</v>
      </c>
      <c r="B304" s="1">
        <v>95.99640044150928</v>
      </c>
      <c r="C304" s="1">
        <v>94.353173132071191</v>
      </c>
      <c r="D304" s="1">
        <v>99.900323214082661</v>
      </c>
      <c r="E304" s="1">
        <v>112.02015744049837</v>
      </c>
      <c r="F304" s="1">
        <v>100</v>
      </c>
      <c r="G304" s="1">
        <v>101.20264176422626</v>
      </c>
      <c r="H304" s="1">
        <v>100.64757684147678</v>
      </c>
      <c r="I304" s="1">
        <v>90.775354036476685</v>
      </c>
      <c r="J304" s="1">
        <v>106.38259539360834</v>
      </c>
      <c r="K304" s="1">
        <v>106.16590636000029</v>
      </c>
      <c r="L304" s="1">
        <v>95.69663892742183</v>
      </c>
      <c r="M304" s="1">
        <v>96.715943522481638</v>
      </c>
      <c r="N304" s="1">
        <v>99.631251706469783</v>
      </c>
      <c r="O304" s="1">
        <v>98.543812935962578</v>
      </c>
      <c r="P304" s="1">
        <v>88.966527728374245</v>
      </c>
      <c r="Q304" s="1">
        <v>100</v>
      </c>
      <c r="R304" s="1">
        <v>98.539127000430625</v>
      </c>
      <c r="S304" s="1">
        <v>101.79983643222405</v>
      </c>
      <c r="T304" s="1">
        <v>102.45282810735911</v>
      </c>
      <c r="U304" s="1">
        <v>100.96372424684154</v>
      </c>
      <c r="V304" s="1">
        <v>102.4380387067519</v>
      </c>
      <c r="W304" s="1">
        <v>101.3186014054906</v>
      </c>
      <c r="X304" s="1">
        <v>98.938308797866256</v>
      </c>
      <c r="Y304" s="1">
        <v>100</v>
      </c>
      <c r="Z304" s="1">
        <v>91.954453216163841</v>
      </c>
      <c r="AA304" s="1">
        <v>96.697105376186386</v>
      </c>
      <c r="AB304" s="1">
        <v>86.930389853138422</v>
      </c>
      <c r="AC304" s="1">
        <v>101.78077976073585</v>
      </c>
      <c r="AD304" s="1">
        <v>113.07002987575412</v>
      </c>
      <c r="AE304" s="1">
        <v>91.692683674146281</v>
      </c>
      <c r="AF304" s="1">
        <v>105.92665289051259</v>
      </c>
      <c r="AG304" s="1">
        <v>100</v>
      </c>
      <c r="AH304" s="1">
        <v>100</v>
      </c>
      <c r="AI304" s="1">
        <v>99.680692590442519</v>
      </c>
      <c r="AJ304" s="1">
        <v>101.7607159866544</v>
      </c>
      <c r="AK304" s="1">
        <v>96.381010170229956</v>
      </c>
      <c r="AL304" s="1">
        <v>102.57087026474525</v>
      </c>
      <c r="AM304" s="1">
        <v>116.7028707921346</v>
      </c>
      <c r="AN304" s="1">
        <v>104.6537395229083</v>
      </c>
      <c r="AO304" s="1">
        <v>100.5443269811135</v>
      </c>
      <c r="AP304" s="1">
        <v>104.52304166656789</v>
      </c>
      <c r="AQ304" s="1">
        <v>94.179084942047524</v>
      </c>
      <c r="AR304" s="1">
        <v>102.41602914572604</v>
      </c>
      <c r="AS304" s="1">
        <v>99.046953672111897</v>
      </c>
      <c r="AT304" s="1">
        <v>103.45639490294819</v>
      </c>
      <c r="AU304" s="1">
        <v>92.683083360025861</v>
      </c>
      <c r="AV304" s="1">
        <v>99.900323214082661</v>
      </c>
      <c r="AW304" s="1">
        <v>100</v>
      </c>
      <c r="AX304" s="1">
        <v>100</v>
      </c>
      <c r="AY304" s="1">
        <v>100</v>
      </c>
      <c r="AZ304" s="1">
        <v>100</v>
      </c>
      <c r="BA304" s="1">
        <v>100</v>
      </c>
      <c r="BB304" s="1">
        <v>100</v>
      </c>
      <c r="BC304" s="1">
        <v>100</v>
      </c>
      <c r="BD304" s="1">
        <v>100</v>
      </c>
      <c r="BE304" s="1">
        <v>100</v>
      </c>
      <c r="BF304" s="1">
        <v>100</v>
      </c>
      <c r="BG304" s="1">
        <v>100</v>
      </c>
      <c r="BH304" s="1">
        <v>100</v>
      </c>
    </row>
    <row r="305" spans="1:60" x14ac:dyDescent="0.25">
      <c r="A305">
        <v>292</v>
      </c>
      <c r="B305" s="1">
        <v>95.99640044150928</v>
      </c>
      <c r="C305" s="1">
        <v>94.353173132071191</v>
      </c>
      <c r="D305" s="1">
        <v>99.900323214082661</v>
      </c>
      <c r="E305" s="1">
        <v>112.41180097985708</v>
      </c>
      <c r="F305" s="1">
        <v>100</v>
      </c>
      <c r="G305" s="1">
        <v>101.20264176422626</v>
      </c>
      <c r="H305" s="1">
        <v>100.64757684147678</v>
      </c>
      <c r="I305" s="1">
        <v>90.775354036476685</v>
      </c>
      <c r="J305" s="1">
        <v>106.38259539360834</v>
      </c>
      <c r="K305" s="1">
        <v>106.16590636000029</v>
      </c>
      <c r="L305" s="1">
        <v>95.69663892742183</v>
      </c>
      <c r="M305" s="1">
        <v>96.715943522481638</v>
      </c>
      <c r="N305" s="1">
        <v>99.631251706469783</v>
      </c>
      <c r="O305" s="1">
        <v>98.543812935962578</v>
      </c>
      <c r="P305" s="1">
        <v>88.966527728374245</v>
      </c>
      <c r="Q305" s="1">
        <v>100</v>
      </c>
      <c r="R305" s="1">
        <v>98.539127000430625</v>
      </c>
      <c r="S305" s="1">
        <v>101.79983643222405</v>
      </c>
      <c r="T305" s="1">
        <v>102.01368235313723</v>
      </c>
      <c r="U305" s="1">
        <v>100.96372424684154</v>
      </c>
      <c r="V305" s="1">
        <v>102.4380387067519</v>
      </c>
      <c r="W305" s="1">
        <v>101.3186014054906</v>
      </c>
      <c r="X305" s="1">
        <v>98.938308797866256</v>
      </c>
      <c r="Y305" s="1">
        <v>100</v>
      </c>
      <c r="Z305" s="1">
        <v>91.954453216163841</v>
      </c>
      <c r="AA305" s="1">
        <v>96.697105376186386</v>
      </c>
      <c r="AB305" s="1">
        <v>86.930389853138422</v>
      </c>
      <c r="AC305" s="1">
        <v>101.78077976073585</v>
      </c>
      <c r="AD305" s="1">
        <v>113.07002987575412</v>
      </c>
      <c r="AE305" s="1">
        <v>92.171151193926022</v>
      </c>
      <c r="AF305" s="1">
        <v>105.92665289051259</v>
      </c>
      <c r="AG305" s="1">
        <v>100</v>
      </c>
      <c r="AH305" s="1">
        <v>100</v>
      </c>
      <c r="AI305" s="1">
        <v>99.680692590442519</v>
      </c>
      <c r="AJ305" s="1">
        <v>101.7607159866544</v>
      </c>
      <c r="AK305" s="1">
        <v>96.381010170229956</v>
      </c>
      <c r="AL305" s="1">
        <v>102.57087026474525</v>
      </c>
      <c r="AM305" s="1">
        <v>116.7028707921346</v>
      </c>
      <c r="AN305" s="1">
        <v>104.6537395229083</v>
      </c>
      <c r="AO305" s="1">
        <v>100.11336167619693</v>
      </c>
      <c r="AP305" s="1">
        <v>104.52304166656789</v>
      </c>
      <c r="AQ305" s="1">
        <v>94.179084942047524</v>
      </c>
      <c r="AR305" s="1">
        <v>102.41602914572604</v>
      </c>
      <c r="AS305" s="1">
        <v>99.046953672111897</v>
      </c>
      <c r="AT305" s="1">
        <v>103.45639490294819</v>
      </c>
      <c r="AU305" s="1">
        <v>92.683083360025861</v>
      </c>
      <c r="AV305" s="1">
        <v>99.900323214082661</v>
      </c>
      <c r="AW305" s="1">
        <v>100</v>
      </c>
      <c r="AX305" s="1">
        <v>100</v>
      </c>
      <c r="AY305" s="1">
        <v>100</v>
      </c>
      <c r="AZ305" s="1">
        <v>100</v>
      </c>
      <c r="BA305" s="1">
        <v>100</v>
      </c>
      <c r="BB305" s="1">
        <v>100</v>
      </c>
      <c r="BC305" s="1">
        <v>100</v>
      </c>
      <c r="BD305" s="1">
        <v>100</v>
      </c>
      <c r="BE305" s="1">
        <v>100</v>
      </c>
      <c r="BF305" s="1">
        <v>100</v>
      </c>
      <c r="BG305" s="1">
        <v>100</v>
      </c>
      <c r="BH305" s="1">
        <v>100</v>
      </c>
    </row>
    <row r="306" spans="1:60" x14ac:dyDescent="0.25">
      <c r="A306">
        <v>293</v>
      </c>
      <c r="B306" s="1">
        <v>95.99640044150928</v>
      </c>
      <c r="C306" s="1">
        <v>94.353173132071191</v>
      </c>
      <c r="D306" s="1">
        <v>99.900323214082661</v>
      </c>
      <c r="E306" s="1">
        <v>112.11511796359814</v>
      </c>
      <c r="F306" s="1">
        <v>100</v>
      </c>
      <c r="G306" s="1">
        <v>101.20264176422626</v>
      </c>
      <c r="H306" s="1">
        <v>100.64757684147678</v>
      </c>
      <c r="I306" s="1">
        <v>90.775354036476685</v>
      </c>
      <c r="J306" s="1">
        <v>106.38259539360834</v>
      </c>
      <c r="K306" s="1">
        <v>106.16590636000029</v>
      </c>
      <c r="L306" s="1">
        <v>95.69663892742183</v>
      </c>
      <c r="M306" s="1">
        <v>96.715943522481638</v>
      </c>
      <c r="N306" s="1">
        <v>99.631251706469783</v>
      </c>
      <c r="O306" s="1">
        <v>98.543812935962578</v>
      </c>
      <c r="P306" s="1">
        <v>88.966527728374245</v>
      </c>
      <c r="Q306" s="1">
        <v>100</v>
      </c>
      <c r="R306" s="1">
        <v>98.539127000430625</v>
      </c>
      <c r="S306" s="1">
        <v>101.79983643222405</v>
      </c>
      <c r="T306" s="1">
        <v>102.2811171049526</v>
      </c>
      <c r="U306" s="1">
        <v>100.96372424684154</v>
      </c>
      <c r="V306" s="1">
        <v>102.4380387067519</v>
      </c>
      <c r="W306" s="1">
        <v>101.3186014054906</v>
      </c>
      <c r="X306" s="1">
        <v>98.938308797866256</v>
      </c>
      <c r="Y306" s="1">
        <v>100</v>
      </c>
      <c r="Z306" s="1">
        <v>91.954453216163841</v>
      </c>
      <c r="AA306" s="1">
        <v>96.697105376186386</v>
      </c>
      <c r="AB306" s="1">
        <v>86.930389853138422</v>
      </c>
      <c r="AC306" s="1">
        <v>101.78077976073585</v>
      </c>
      <c r="AD306" s="1">
        <v>113.07002987575412</v>
      </c>
      <c r="AE306" s="1">
        <v>91.927888343318614</v>
      </c>
      <c r="AF306" s="1">
        <v>105.92665289051259</v>
      </c>
      <c r="AG306" s="1">
        <v>100</v>
      </c>
      <c r="AH306" s="1">
        <v>100</v>
      </c>
      <c r="AI306" s="1">
        <v>99.680692590442519</v>
      </c>
      <c r="AJ306" s="1">
        <v>101.7607159866544</v>
      </c>
      <c r="AK306" s="1">
        <v>96.381010170229956</v>
      </c>
      <c r="AL306" s="1">
        <v>102.57087026474525</v>
      </c>
      <c r="AM306" s="1">
        <v>116.7028707921346</v>
      </c>
      <c r="AN306" s="1">
        <v>104.6537395229083</v>
      </c>
      <c r="AO306" s="1">
        <v>100.38587279124792</v>
      </c>
      <c r="AP306" s="1">
        <v>104.52304166656789</v>
      </c>
      <c r="AQ306" s="1">
        <v>94.179084942047524</v>
      </c>
      <c r="AR306" s="1">
        <v>102.41602914572604</v>
      </c>
      <c r="AS306" s="1">
        <v>99.046953672111897</v>
      </c>
      <c r="AT306" s="1">
        <v>103.45639490294819</v>
      </c>
      <c r="AU306" s="1">
        <v>92.683083360025861</v>
      </c>
      <c r="AV306" s="1">
        <v>99.900323214082661</v>
      </c>
      <c r="AW306" s="1">
        <v>100</v>
      </c>
      <c r="AX306" s="1">
        <v>100</v>
      </c>
      <c r="AY306" s="1">
        <v>100</v>
      </c>
      <c r="AZ306" s="1">
        <v>100</v>
      </c>
      <c r="BA306" s="1">
        <v>100</v>
      </c>
      <c r="BB306" s="1">
        <v>100</v>
      </c>
      <c r="BC306" s="1">
        <v>100</v>
      </c>
      <c r="BD306" s="1">
        <v>100</v>
      </c>
      <c r="BE306" s="1">
        <v>100</v>
      </c>
      <c r="BF306" s="1">
        <v>100</v>
      </c>
      <c r="BG306" s="1">
        <v>100</v>
      </c>
      <c r="BH306" s="1">
        <v>100</v>
      </c>
    </row>
    <row r="307" spans="1:60" x14ac:dyDescent="0.25">
      <c r="A307">
        <v>294</v>
      </c>
      <c r="B307" s="1">
        <v>95.99640044150928</v>
      </c>
      <c r="C307" s="1">
        <v>94.353173132071191</v>
      </c>
      <c r="D307" s="1">
        <v>99.900323214082661</v>
      </c>
      <c r="E307" s="1">
        <v>112.11511796359814</v>
      </c>
      <c r="F307" s="1">
        <v>100</v>
      </c>
      <c r="G307" s="1">
        <v>101.20264176422626</v>
      </c>
      <c r="H307" s="1">
        <v>100.64757684147678</v>
      </c>
      <c r="I307" s="1">
        <v>90.775354036476685</v>
      </c>
      <c r="J307" s="1">
        <v>106.38259539360834</v>
      </c>
      <c r="K307" s="1">
        <v>106.16590636000029</v>
      </c>
      <c r="L307" s="1">
        <v>95.69663892742183</v>
      </c>
      <c r="M307" s="1">
        <v>96.715943522481638</v>
      </c>
      <c r="N307" s="1">
        <v>99.631251706469783</v>
      </c>
      <c r="O307" s="1">
        <v>98.543812935962578</v>
      </c>
      <c r="P307" s="1">
        <v>88.97080946577988</v>
      </c>
      <c r="Q307" s="1">
        <v>100</v>
      </c>
      <c r="R307" s="1">
        <v>98.539127000430625</v>
      </c>
      <c r="S307" s="1">
        <v>101.79983643222405</v>
      </c>
      <c r="T307" s="1">
        <v>102.2811171049526</v>
      </c>
      <c r="U307" s="1">
        <v>100.96372424684154</v>
      </c>
      <c r="V307" s="1">
        <v>102.43371353605988</v>
      </c>
      <c r="W307" s="1">
        <v>101.3186014054906</v>
      </c>
      <c r="X307" s="1">
        <v>98.938308797866256</v>
      </c>
      <c r="Y307" s="1">
        <v>100</v>
      </c>
      <c r="Z307" s="1">
        <v>91.954453216163841</v>
      </c>
      <c r="AA307" s="1">
        <v>96.697105376186386</v>
      </c>
      <c r="AB307" s="1">
        <v>86.926719451213671</v>
      </c>
      <c r="AC307" s="1">
        <v>101.78077976073585</v>
      </c>
      <c r="AD307" s="1">
        <v>113.07002987575412</v>
      </c>
      <c r="AE307" s="1">
        <v>91.927888343318614</v>
      </c>
      <c r="AF307" s="1">
        <v>105.92665289051259</v>
      </c>
      <c r="AG307" s="1">
        <v>100</v>
      </c>
      <c r="AH307" s="1">
        <v>100</v>
      </c>
      <c r="AI307" s="1">
        <v>99.680692590442519</v>
      </c>
      <c r="AJ307" s="1">
        <v>101.7607159866544</v>
      </c>
      <c r="AK307" s="1">
        <v>96.381010170229956</v>
      </c>
      <c r="AL307" s="1">
        <v>102.57458409995637</v>
      </c>
      <c r="AM307" s="1">
        <v>116.7028707921346</v>
      </c>
      <c r="AN307" s="1">
        <v>104.6537395229083</v>
      </c>
      <c r="AO307" s="1">
        <v>100.38587279124792</v>
      </c>
      <c r="AP307" s="1">
        <v>104.52304166656789</v>
      </c>
      <c r="AQ307" s="1">
        <v>94.179084942047524</v>
      </c>
      <c r="AR307" s="1">
        <v>102.41602914572604</v>
      </c>
      <c r="AS307" s="1">
        <v>99.046953672111897</v>
      </c>
      <c r="AT307" s="1">
        <v>103.45639490294819</v>
      </c>
      <c r="AU307" s="1">
        <v>92.683083360025861</v>
      </c>
      <c r="AV307" s="1">
        <v>99.900323214082661</v>
      </c>
      <c r="AW307" s="1">
        <v>100</v>
      </c>
      <c r="AX307" s="1">
        <v>100</v>
      </c>
      <c r="AY307" s="1">
        <v>100</v>
      </c>
      <c r="AZ307" s="1">
        <v>100</v>
      </c>
      <c r="BA307" s="1">
        <v>100</v>
      </c>
      <c r="BB307" s="1">
        <v>100</v>
      </c>
      <c r="BC307" s="1">
        <v>100</v>
      </c>
      <c r="BD307" s="1">
        <v>100</v>
      </c>
      <c r="BE307" s="1">
        <v>100</v>
      </c>
      <c r="BF307" s="1">
        <v>100</v>
      </c>
      <c r="BG307" s="1">
        <v>100</v>
      </c>
      <c r="BH307" s="1">
        <v>100</v>
      </c>
    </row>
    <row r="308" spans="1:60" x14ac:dyDescent="0.25">
      <c r="A308">
        <v>295</v>
      </c>
      <c r="B308" s="1">
        <v>95.99640044150928</v>
      </c>
      <c r="C308" s="1">
        <v>94.353173132071191</v>
      </c>
      <c r="D308" s="1">
        <v>99.900323214082661</v>
      </c>
      <c r="E308" s="1">
        <v>112.11511796359814</v>
      </c>
      <c r="F308" s="1">
        <v>100</v>
      </c>
      <c r="G308" s="1">
        <v>101.20264176422626</v>
      </c>
      <c r="H308" s="1">
        <v>100.64757684147678</v>
      </c>
      <c r="I308" s="1">
        <v>90.775354036476685</v>
      </c>
      <c r="J308" s="1">
        <v>106.38259539360834</v>
      </c>
      <c r="K308" s="1">
        <v>106.16590636000029</v>
      </c>
      <c r="L308" s="1">
        <v>95.69663892742183</v>
      </c>
      <c r="M308" s="1">
        <v>96.715943522481638</v>
      </c>
      <c r="N308" s="1">
        <v>99.631251706469783</v>
      </c>
      <c r="O308" s="1">
        <v>98.543812935962578</v>
      </c>
      <c r="P308" s="1">
        <v>88.734458268997159</v>
      </c>
      <c r="Q308" s="1">
        <v>100</v>
      </c>
      <c r="R308" s="1">
        <v>98.539127000430625</v>
      </c>
      <c r="S308" s="1">
        <v>101.79983643222405</v>
      </c>
      <c r="T308" s="1">
        <v>102.2811171049526</v>
      </c>
      <c r="U308" s="1">
        <v>100.96372424684154</v>
      </c>
      <c r="V308" s="1">
        <v>102.66729911565152</v>
      </c>
      <c r="W308" s="1">
        <v>101.3186014054906</v>
      </c>
      <c r="X308" s="1">
        <v>98.938308797866256</v>
      </c>
      <c r="Y308" s="1">
        <v>100</v>
      </c>
      <c r="Z308" s="1">
        <v>91.954453216163841</v>
      </c>
      <c r="AA308" s="1">
        <v>96.697105376186386</v>
      </c>
      <c r="AB308" s="1">
        <v>87.201974729419263</v>
      </c>
      <c r="AC308" s="1">
        <v>101.78077976073585</v>
      </c>
      <c r="AD308" s="1">
        <v>113.07002987575412</v>
      </c>
      <c r="AE308" s="1">
        <v>91.927888343318614</v>
      </c>
      <c r="AF308" s="1">
        <v>105.92665289051259</v>
      </c>
      <c r="AG308" s="1">
        <v>100</v>
      </c>
      <c r="AH308" s="1">
        <v>100</v>
      </c>
      <c r="AI308" s="1">
        <v>99.680692590442519</v>
      </c>
      <c r="AJ308" s="1">
        <v>101.7607159866544</v>
      </c>
      <c r="AK308" s="1">
        <v>96.381010170229956</v>
      </c>
      <c r="AL308" s="1">
        <v>102.30209443894188</v>
      </c>
      <c r="AM308" s="1">
        <v>116.7028707921346</v>
      </c>
      <c r="AN308" s="1">
        <v>104.6537395229083</v>
      </c>
      <c r="AO308" s="1">
        <v>100.38587279124792</v>
      </c>
      <c r="AP308" s="1">
        <v>104.52304166656789</v>
      </c>
      <c r="AQ308" s="1">
        <v>94.179084942047524</v>
      </c>
      <c r="AR308" s="1">
        <v>102.41602914572604</v>
      </c>
      <c r="AS308" s="1">
        <v>99.046953672111897</v>
      </c>
      <c r="AT308" s="1">
        <v>103.45639490294819</v>
      </c>
      <c r="AU308" s="1">
        <v>92.683083360025861</v>
      </c>
      <c r="AV308" s="1">
        <v>99.900323214082661</v>
      </c>
      <c r="AW308" s="1">
        <v>100</v>
      </c>
      <c r="AX308" s="1">
        <v>100</v>
      </c>
      <c r="AY308" s="1">
        <v>100</v>
      </c>
      <c r="AZ308" s="1">
        <v>100</v>
      </c>
      <c r="BA308" s="1">
        <v>100</v>
      </c>
      <c r="BB308" s="1">
        <v>100</v>
      </c>
      <c r="BC308" s="1">
        <v>100</v>
      </c>
      <c r="BD308" s="1">
        <v>100</v>
      </c>
      <c r="BE308" s="1">
        <v>100</v>
      </c>
      <c r="BF308" s="1">
        <v>100</v>
      </c>
      <c r="BG308" s="1">
        <v>100</v>
      </c>
      <c r="BH308" s="1">
        <v>100</v>
      </c>
    </row>
    <row r="309" spans="1:60" x14ac:dyDescent="0.25">
      <c r="A309">
        <v>296</v>
      </c>
      <c r="B309" s="1">
        <v>95.463084937182998</v>
      </c>
      <c r="C309" s="1">
        <v>94.353173132071191</v>
      </c>
      <c r="D309" s="1">
        <v>99.900323214082661</v>
      </c>
      <c r="E309" s="1">
        <v>112.6337915456042</v>
      </c>
      <c r="F309" s="1">
        <v>100</v>
      </c>
      <c r="G309" s="1">
        <v>101.20264176422626</v>
      </c>
      <c r="H309" s="1">
        <v>100.64757684147678</v>
      </c>
      <c r="I309" s="1">
        <v>90.775354036476685</v>
      </c>
      <c r="J309" s="1">
        <v>106.38259539360834</v>
      </c>
      <c r="K309" s="1">
        <v>106.16590636000029</v>
      </c>
      <c r="L309" s="1">
        <v>95.69663892742183</v>
      </c>
      <c r="M309" s="1">
        <v>96.715943522481638</v>
      </c>
      <c r="N309" s="1">
        <v>99.631251706469783</v>
      </c>
      <c r="O309" s="1">
        <v>98.543812935962578</v>
      </c>
      <c r="P309" s="1">
        <v>88.734458268997159</v>
      </c>
      <c r="Q309" s="1">
        <v>100</v>
      </c>
      <c r="R309" s="1">
        <v>98.539127000430625</v>
      </c>
      <c r="S309" s="1">
        <v>101.79983643222405</v>
      </c>
      <c r="T309" s="1">
        <v>102.2811171049526</v>
      </c>
      <c r="U309" s="1">
        <v>100.96372424684154</v>
      </c>
      <c r="V309" s="1">
        <v>102.66729911565152</v>
      </c>
      <c r="W309" s="1">
        <v>101.3186014054906</v>
      </c>
      <c r="X309" s="1">
        <v>98.938308797866256</v>
      </c>
      <c r="Y309" s="1">
        <v>100</v>
      </c>
      <c r="Z309" s="1">
        <v>91.954453216163841</v>
      </c>
      <c r="AA309" s="1">
        <v>96.697105376186386</v>
      </c>
      <c r="AB309" s="1">
        <v>87.201974729419263</v>
      </c>
      <c r="AC309" s="1">
        <v>101.78077976073585</v>
      </c>
      <c r="AD309" s="1">
        <v>113.07002987575412</v>
      </c>
      <c r="AE309" s="1">
        <v>91.927888343318614</v>
      </c>
      <c r="AF309" s="1">
        <v>105.92665289051259</v>
      </c>
      <c r="AG309" s="1">
        <v>100</v>
      </c>
      <c r="AH309" s="1">
        <v>100</v>
      </c>
      <c r="AI309" s="1">
        <v>99.126908713172497</v>
      </c>
      <c r="AJ309" s="1">
        <v>101.7607159866544</v>
      </c>
      <c r="AK309" s="1">
        <v>96.381010170229956</v>
      </c>
      <c r="AL309" s="1">
        <v>102.87052023853212</v>
      </c>
      <c r="AM309" s="1">
        <v>116.7028707921346</v>
      </c>
      <c r="AN309" s="1">
        <v>104.6537395229083</v>
      </c>
      <c r="AO309" s="1">
        <v>100.38587279124792</v>
      </c>
      <c r="AP309" s="1">
        <v>104.52304166656789</v>
      </c>
      <c r="AQ309" s="1">
        <v>94.179084942047524</v>
      </c>
      <c r="AR309" s="1">
        <v>102.41602914572604</v>
      </c>
      <c r="AS309" s="1">
        <v>99.046953672111897</v>
      </c>
      <c r="AT309" s="1">
        <v>103.45639490294819</v>
      </c>
      <c r="AU309" s="1">
        <v>92.683083360025861</v>
      </c>
      <c r="AV309" s="1">
        <v>99.900323214082661</v>
      </c>
      <c r="AW309" s="1">
        <v>100</v>
      </c>
      <c r="AX309" s="1">
        <v>100</v>
      </c>
      <c r="AY309" s="1">
        <v>100</v>
      </c>
      <c r="AZ309" s="1">
        <v>100</v>
      </c>
      <c r="BA309" s="1">
        <v>100</v>
      </c>
      <c r="BB309" s="1">
        <v>100</v>
      </c>
      <c r="BC309" s="1">
        <v>100</v>
      </c>
      <c r="BD309" s="1">
        <v>100</v>
      </c>
      <c r="BE309" s="1">
        <v>100</v>
      </c>
      <c r="BF309" s="1">
        <v>100</v>
      </c>
      <c r="BG309" s="1">
        <v>100</v>
      </c>
      <c r="BH309" s="1">
        <v>100</v>
      </c>
    </row>
    <row r="310" spans="1:60" x14ac:dyDescent="0.25">
      <c r="A310">
        <v>297</v>
      </c>
      <c r="B310" s="1">
        <v>93.695749808003384</v>
      </c>
      <c r="C310" s="1">
        <v>94.353173132071191</v>
      </c>
      <c r="D310" s="1">
        <v>99.900323214082661</v>
      </c>
      <c r="E310" s="1">
        <v>114.35343702134077</v>
      </c>
      <c r="F310" s="1">
        <v>100</v>
      </c>
      <c r="G310" s="1">
        <v>101.20264176422626</v>
      </c>
      <c r="H310" s="1">
        <v>100.64757684147678</v>
      </c>
      <c r="I310" s="1">
        <v>90.775354036476685</v>
      </c>
      <c r="J310" s="1">
        <v>106.38259539360834</v>
      </c>
      <c r="K310" s="1">
        <v>106.16590636000029</v>
      </c>
      <c r="L310" s="1">
        <v>95.69663892742183</v>
      </c>
      <c r="M310" s="1">
        <v>96.715943522481638</v>
      </c>
      <c r="N310" s="1">
        <v>99.631251706469783</v>
      </c>
      <c r="O310" s="1">
        <v>98.543812935962578</v>
      </c>
      <c r="P310" s="1">
        <v>88.734458268997159</v>
      </c>
      <c r="Q310" s="1">
        <v>100</v>
      </c>
      <c r="R310" s="1">
        <v>98.539127000430625</v>
      </c>
      <c r="S310" s="1">
        <v>101.79983643222405</v>
      </c>
      <c r="T310" s="1">
        <v>102.2811171049526</v>
      </c>
      <c r="U310" s="1">
        <v>100.96372424684154</v>
      </c>
      <c r="V310" s="1">
        <v>102.66729911565152</v>
      </c>
      <c r="W310" s="1">
        <v>101.3186014054906</v>
      </c>
      <c r="X310" s="1">
        <v>98.938308797866256</v>
      </c>
      <c r="Y310" s="1">
        <v>100</v>
      </c>
      <c r="Z310" s="1">
        <v>91.954453216163841</v>
      </c>
      <c r="AA310" s="1">
        <v>96.697105376186386</v>
      </c>
      <c r="AB310" s="1">
        <v>87.201974729419263</v>
      </c>
      <c r="AC310" s="1">
        <v>101.78077976073585</v>
      </c>
      <c r="AD310" s="1">
        <v>113.07002987575412</v>
      </c>
      <c r="AE310" s="1">
        <v>91.927888343318614</v>
      </c>
      <c r="AF310" s="1">
        <v>105.92665289051259</v>
      </c>
      <c r="AG310" s="1">
        <v>100</v>
      </c>
      <c r="AH310" s="1">
        <v>100</v>
      </c>
      <c r="AI310" s="1">
        <v>97.291744176733616</v>
      </c>
      <c r="AJ310" s="1">
        <v>101.7607159866544</v>
      </c>
      <c r="AK310" s="1">
        <v>96.381010170229956</v>
      </c>
      <c r="AL310" s="1">
        <v>104.75337442841405</v>
      </c>
      <c r="AM310" s="1">
        <v>116.7028707921346</v>
      </c>
      <c r="AN310" s="1">
        <v>104.6537395229083</v>
      </c>
      <c r="AO310" s="1">
        <v>100.38587279124792</v>
      </c>
      <c r="AP310" s="1">
        <v>104.52304166656789</v>
      </c>
      <c r="AQ310" s="1">
        <v>94.179084942047524</v>
      </c>
      <c r="AR310" s="1">
        <v>102.41602914572604</v>
      </c>
      <c r="AS310" s="1">
        <v>99.046953672111897</v>
      </c>
      <c r="AT310" s="1">
        <v>103.45639490294819</v>
      </c>
      <c r="AU310" s="1">
        <v>92.683083360025861</v>
      </c>
      <c r="AV310" s="1">
        <v>99.900323214082661</v>
      </c>
      <c r="AW310" s="1">
        <v>100</v>
      </c>
      <c r="AX310" s="1">
        <v>100</v>
      </c>
      <c r="AY310" s="1">
        <v>100</v>
      </c>
      <c r="AZ310" s="1">
        <v>100</v>
      </c>
      <c r="BA310" s="1">
        <v>100</v>
      </c>
      <c r="BB310" s="1">
        <v>100</v>
      </c>
      <c r="BC310" s="1">
        <v>100</v>
      </c>
      <c r="BD310" s="1">
        <v>100</v>
      </c>
      <c r="BE310" s="1">
        <v>100</v>
      </c>
      <c r="BF310" s="1">
        <v>100</v>
      </c>
      <c r="BG310" s="1">
        <v>100</v>
      </c>
      <c r="BH310" s="1">
        <v>100</v>
      </c>
    </row>
    <row r="311" spans="1:60" x14ac:dyDescent="0.25">
      <c r="A311">
        <v>298</v>
      </c>
      <c r="B311" s="1">
        <v>93.695749808003384</v>
      </c>
      <c r="C311" s="1">
        <v>94.353173132071191</v>
      </c>
      <c r="D311" s="1">
        <v>99.900323214082661</v>
      </c>
      <c r="E311" s="1">
        <v>113.21348128736396</v>
      </c>
      <c r="F311" s="1">
        <v>100</v>
      </c>
      <c r="G311" s="1">
        <v>101.20264176422626</v>
      </c>
      <c r="H311" s="1">
        <v>100.64757684147678</v>
      </c>
      <c r="I311" s="1">
        <v>90.775354036476685</v>
      </c>
      <c r="J311" s="1">
        <v>106.38259539360834</v>
      </c>
      <c r="K311" s="1">
        <v>106.16590636000029</v>
      </c>
      <c r="L311" s="1">
        <v>95.69663892742183</v>
      </c>
      <c r="M311" s="1">
        <v>96.715943522481638</v>
      </c>
      <c r="N311" s="1">
        <v>99.631251706469783</v>
      </c>
      <c r="O311" s="1">
        <v>98.543812935962578</v>
      </c>
      <c r="P311" s="1">
        <v>88.734458268997159</v>
      </c>
      <c r="Q311" s="1">
        <v>100</v>
      </c>
      <c r="R311" s="1">
        <v>98.539127000430625</v>
      </c>
      <c r="S311" s="1">
        <v>101.79983643222405</v>
      </c>
      <c r="T311" s="1">
        <v>102.2811171049526</v>
      </c>
      <c r="U311" s="1">
        <v>100.96372424684154</v>
      </c>
      <c r="V311" s="1">
        <v>103.70581862577934</v>
      </c>
      <c r="W311" s="1">
        <v>101.3186014054906</v>
      </c>
      <c r="X311" s="1">
        <v>98.938308797866256</v>
      </c>
      <c r="Y311" s="1">
        <v>100</v>
      </c>
      <c r="Z311" s="1">
        <v>91.954453216163841</v>
      </c>
      <c r="AA311" s="1">
        <v>96.697105376186386</v>
      </c>
      <c r="AB311" s="1">
        <v>87.201974729419263</v>
      </c>
      <c r="AC311" s="1">
        <v>101.78077976073585</v>
      </c>
      <c r="AD311" s="1">
        <v>113.07002987575412</v>
      </c>
      <c r="AE311" s="1">
        <v>91.011486299278701</v>
      </c>
      <c r="AF311" s="1">
        <v>105.92665289051259</v>
      </c>
      <c r="AG311" s="1">
        <v>100</v>
      </c>
      <c r="AH311" s="1">
        <v>100</v>
      </c>
      <c r="AI311" s="1">
        <v>97.291744176733616</v>
      </c>
      <c r="AJ311" s="1">
        <v>101.7607159866544</v>
      </c>
      <c r="AK311" s="1">
        <v>96.381010170229956</v>
      </c>
      <c r="AL311" s="1">
        <v>105.77121269630294</v>
      </c>
      <c r="AM311" s="1">
        <v>116.7028707921346</v>
      </c>
      <c r="AN311" s="1">
        <v>104.6537395229083</v>
      </c>
      <c r="AO311" s="1">
        <v>100.38587279124792</v>
      </c>
      <c r="AP311" s="1">
        <v>104.52304166656789</v>
      </c>
      <c r="AQ311" s="1">
        <v>94.179084942047524</v>
      </c>
      <c r="AR311" s="1">
        <v>102.41602914572604</v>
      </c>
      <c r="AS311" s="1">
        <v>99.046953672111897</v>
      </c>
      <c r="AT311" s="1">
        <v>103.45639490294819</v>
      </c>
      <c r="AU311" s="1">
        <v>92.683083360025861</v>
      </c>
      <c r="AV311" s="1">
        <v>99.900323214082661</v>
      </c>
      <c r="AW311" s="1">
        <v>100</v>
      </c>
      <c r="AX311" s="1">
        <v>100</v>
      </c>
      <c r="AY311" s="1">
        <v>100</v>
      </c>
      <c r="AZ311" s="1">
        <v>100</v>
      </c>
      <c r="BA311" s="1">
        <v>100</v>
      </c>
      <c r="BB311" s="1">
        <v>100</v>
      </c>
      <c r="BC311" s="1">
        <v>100</v>
      </c>
      <c r="BD311" s="1">
        <v>100</v>
      </c>
      <c r="BE311" s="1">
        <v>100</v>
      </c>
      <c r="BF311" s="1">
        <v>100</v>
      </c>
      <c r="BG311" s="1">
        <v>100</v>
      </c>
      <c r="BH311" s="1">
        <v>100</v>
      </c>
    </row>
    <row r="312" spans="1:60" x14ac:dyDescent="0.25">
      <c r="A312">
        <v>299</v>
      </c>
      <c r="B312" s="1">
        <v>93.695749808003384</v>
      </c>
      <c r="C312" s="1">
        <v>94.353173132071191</v>
      </c>
      <c r="D312" s="1">
        <v>99.900323214082661</v>
      </c>
      <c r="E312" s="1">
        <v>114.45648541850893</v>
      </c>
      <c r="F312" s="1">
        <v>100</v>
      </c>
      <c r="G312" s="1">
        <v>101.20264176422626</v>
      </c>
      <c r="H312" s="1">
        <v>100.64757684147678</v>
      </c>
      <c r="I312" s="1">
        <v>90.775354036476685</v>
      </c>
      <c r="J312" s="1">
        <v>106.38259539360834</v>
      </c>
      <c r="K312" s="1">
        <v>106.16590636000029</v>
      </c>
      <c r="L312" s="1">
        <v>95.69663892742183</v>
      </c>
      <c r="M312" s="1">
        <v>96.715943522481638</v>
      </c>
      <c r="N312" s="1">
        <v>99.631251706469783</v>
      </c>
      <c r="O312" s="1">
        <v>98.543812935962578</v>
      </c>
      <c r="P312" s="1">
        <v>88.734458268997159</v>
      </c>
      <c r="Q312" s="1">
        <v>100</v>
      </c>
      <c r="R312" s="1">
        <v>98.539127000430625</v>
      </c>
      <c r="S312" s="1">
        <v>101.79983643222405</v>
      </c>
      <c r="T312" s="1">
        <v>102.2811171049526</v>
      </c>
      <c r="U312" s="1">
        <v>100.96372424684154</v>
      </c>
      <c r="V312" s="1">
        <v>102.32495142367047</v>
      </c>
      <c r="W312" s="1">
        <v>101.3186014054906</v>
      </c>
      <c r="X312" s="1">
        <v>98.938308797866256</v>
      </c>
      <c r="Y312" s="1">
        <v>100</v>
      </c>
      <c r="Z312" s="1">
        <v>91.954453216163841</v>
      </c>
      <c r="AA312" s="1">
        <v>96.697105376186386</v>
      </c>
      <c r="AB312" s="1">
        <v>87.201974729419263</v>
      </c>
      <c r="AC312" s="1">
        <v>101.78077976073585</v>
      </c>
      <c r="AD312" s="1">
        <v>113.07002987575412</v>
      </c>
      <c r="AE312" s="1">
        <v>92.55771777690498</v>
      </c>
      <c r="AF312" s="1">
        <v>105.92665289051259</v>
      </c>
      <c r="AG312" s="1">
        <v>100</v>
      </c>
      <c r="AH312" s="1">
        <v>100</v>
      </c>
      <c r="AI312" s="1">
        <v>97.291744176733616</v>
      </c>
      <c r="AJ312" s="1">
        <v>101.7607159866544</v>
      </c>
      <c r="AK312" s="1">
        <v>96.381010170229956</v>
      </c>
      <c r="AL312" s="1">
        <v>104.36284428964056</v>
      </c>
      <c r="AM312" s="1">
        <v>116.7028707921346</v>
      </c>
      <c r="AN312" s="1">
        <v>104.6537395229083</v>
      </c>
      <c r="AO312" s="1">
        <v>100.38587279124792</v>
      </c>
      <c r="AP312" s="1">
        <v>104.52304166656789</v>
      </c>
      <c r="AQ312" s="1">
        <v>94.179084942047524</v>
      </c>
      <c r="AR312" s="1">
        <v>102.41602914572604</v>
      </c>
      <c r="AS312" s="1">
        <v>99.046953672111897</v>
      </c>
      <c r="AT312" s="1">
        <v>103.45639490294819</v>
      </c>
      <c r="AU312" s="1">
        <v>92.683083360025861</v>
      </c>
      <c r="AV312" s="1">
        <v>99.900323214082661</v>
      </c>
      <c r="AW312" s="1">
        <v>100</v>
      </c>
      <c r="AX312" s="1">
        <v>100</v>
      </c>
      <c r="AY312" s="1">
        <v>100</v>
      </c>
      <c r="AZ312" s="1">
        <v>100</v>
      </c>
      <c r="BA312" s="1">
        <v>100</v>
      </c>
      <c r="BB312" s="1">
        <v>100</v>
      </c>
      <c r="BC312" s="1">
        <v>100</v>
      </c>
      <c r="BD312" s="1">
        <v>100</v>
      </c>
      <c r="BE312" s="1">
        <v>100</v>
      </c>
      <c r="BF312" s="1">
        <v>100</v>
      </c>
      <c r="BG312" s="1">
        <v>100</v>
      </c>
      <c r="BH312" s="1">
        <v>100</v>
      </c>
    </row>
    <row r="313" spans="1:60" x14ac:dyDescent="0.25">
      <c r="A313">
        <v>300</v>
      </c>
      <c r="B313" s="1">
        <v>93.695749808003384</v>
      </c>
      <c r="C313" s="1">
        <v>94.353173132071191</v>
      </c>
      <c r="D313" s="1">
        <v>99.900323214082661</v>
      </c>
      <c r="E313" s="1">
        <v>114.45648541850893</v>
      </c>
      <c r="F313" s="1">
        <v>100</v>
      </c>
      <c r="G313" s="1">
        <v>101.20264176422626</v>
      </c>
      <c r="H313" s="1">
        <v>100.64757684147678</v>
      </c>
      <c r="I313" s="1">
        <v>90.775354036476685</v>
      </c>
      <c r="J313" s="1">
        <v>106.38259539360834</v>
      </c>
      <c r="K313" s="1">
        <v>106.16590636000029</v>
      </c>
      <c r="L313" s="1">
        <v>95.69663892742183</v>
      </c>
      <c r="M313" s="1">
        <v>96.715943522481638</v>
      </c>
      <c r="N313" s="1">
        <v>99.631251706469783</v>
      </c>
      <c r="O313" s="1">
        <v>98.543812935962578</v>
      </c>
      <c r="P313" s="1">
        <v>88.734458268997159</v>
      </c>
      <c r="Q313" s="1">
        <v>100</v>
      </c>
      <c r="R313" s="1">
        <v>98.539127000430625</v>
      </c>
      <c r="S313" s="1">
        <v>102.69004696917186</v>
      </c>
      <c r="T313" s="1">
        <v>102.2811171049526</v>
      </c>
      <c r="U313" s="1">
        <v>100.96372424684154</v>
      </c>
      <c r="V313" s="1">
        <v>102.32495142367047</v>
      </c>
      <c r="W313" s="1">
        <v>101.3186014054906</v>
      </c>
      <c r="X313" s="1">
        <v>98.938308797866256</v>
      </c>
      <c r="Y313" s="1">
        <v>99.095047824781915</v>
      </c>
      <c r="Z313" s="1">
        <v>91.954453216163841</v>
      </c>
      <c r="AA313" s="1">
        <v>96.697105376186386</v>
      </c>
      <c r="AB313" s="1">
        <v>87.201974729419263</v>
      </c>
      <c r="AC313" s="1">
        <v>101.78077976073585</v>
      </c>
      <c r="AD313" s="1">
        <v>113.07002987575412</v>
      </c>
      <c r="AE313" s="1">
        <v>92.55771777690498</v>
      </c>
      <c r="AF313" s="1">
        <v>105.92665289051259</v>
      </c>
      <c r="AG313" s="1">
        <v>100</v>
      </c>
      <c r="AH313" s="1">
        <v>100</v>
      </c>
      <c r="AI313" s="1">
        <v>97.291744176733616</v>
      </c>
      <c r="AJ313" s="1">
        <v>101.7607159866544</v>
      </c>
      <c r="AK313" s="1">
        <v>96.381010170229956</v>
      </c>
      <c r="AL313" s="1">
        <v>104.36284428964056</v>
      </c>
      <c r="AM313" s="1">
        <v>116.7028707921346</v>
      </c>
      <c r="AN313" s="1">
        <v>104.6537395229083</v>
      </c>
      <c r="AO313" s="1">
        <v>100.38587279124792</v>
      </c>
      <c r="AP313" s="1">
        <v>105.39005898262171</v>
      </c>
      <c r="AQ313" s="1">
        <v>93.326809264263971</v>
      </c>
      <c r="AR313" s="1">
        <v>102.41602914572604</v>
      </c>
      <c r="AS313" s="1">
        <v>99.046953672111897</v>
      </c>
      <c r="AT313" s="1">
        <v>103.45639490294819</v>
      </c>
      <c r="AU313" s="1">
        <v>92.683083360025861</v>
      </c>
      <c r="AV313" s="1">
        <v>99.900323214082661</v>
      </c>
      <c r="AW313" s="1">
        <v>100</v>
      </c>
      <c r="AX313" s="1">
        <v>100</v>
      </c>
      <c r="AY313" s="1">
        <v>100</v>
      </c>
      <c r="AZ313" s="1">
        <v>100</v>
      </c>
      <c r="BA313" s="1">
        <v>100</v>
      </c>
      <c r="BB313" s="1">
        <v>100</v>
      </c>
      <c r="BC313" s="1">
        <v>100</v>
      </c>
      <c r="BD313" s="1">
        <v>100</v>
      </c>
      <c r="BE313" s="1">
        <v>100</v>
      </c>
      <c r="BF313" s="1">
        <v>100</v>
      </c>
      <c r="BG313" s="1">
        <v>100</v>
      </c>
      <c r="BH313" s="1">
        <v>100</v>
      </c>
    </row>
    <row r="314" spans="1:60" x14ac:dyDescent="0.25">
      <c r="A314">
        <v>301</v>
      </c>
      <c r="B314" s="1">
        <v>93.695749808003384</v>
      </c>
      <c r="C314" s="1">
        <v>94.353173132071191</v>
      </c>
      <c r="D314" s="1">
        <v>99.900323214082661</v>
      </c>
      <c r="E314" s="1">
        <v>114.45648541850893</v>
      </c>
      <c r="F314" s="1">
        <v>100</v>
      </c>
      <c r="G314" s="1">
        <v>101.20264176422626</v>
      </c>
      <c r="H314" s="1">
        <v>100.64757684147678</v>
      </c>
      <c r="I314" s="1">
        <v>90.775354036476685</v>
      </c>
      <c r="J314" s="1">
        <v>106.38259539360834</v>
      </c>
      <c r="K314" s="1">
        <v>106.16590636000029</v>
      </c>
      <c r="L314" s="1">
        <v>95.69663892742183</v>
      </c>
      <c r="M314" s="1">
        <v>96.715943522481638</v>
      </c>
      <c r="N314" s="1">
        <v>99.631251706469783</v>
      </c>
      <c r="O314" s="1">
        <v>98.543812935962578</v>
      </c>
      <c r="P314" s="1">
        <v>88.734458268997159</v>
      </c>
      <c r="Q314" s="1">
        <v>100</v>
      </c>
      <c r="R314" s="1">
        <v>98.539127000430625</v>
      </c>
      <c r="S314" s="1">
        <v>102.30709748699844</v>
      </c>
      <c r="T314" s="1">
        <v>102.2811171049526</v>
      </c>
      <c r="U314" s="1">
        <v>100.96372424684154</v>
      </c>
      <c r="V314" s="1">
        <v>102.32495142367047</v>
      </c>
      <c r="W314" s="1">
        <v>101.3186014054906</v>
      </c>
      <c r="X314" s="1">
        <v>98.938308797866256</v>
      </c>
      <c r="Y314" s="1">
        <v>99.471401109430246</v>
      </c>
      <c r="Z314" s="1">
        <v>91.954453216163841</v>
      </c>
      <c r="AA314" s="1">
        <v>96.697105376186386</v>
      </c>
      <c r="AB314" s="1">
        <v>87.201974729419263</v>
      </c>
      <c r="AC314" s="1">
        <v>101.78077976073585</v>
      </c>
      <c r="AD314" s="1">
        <v>113.07002987575412</v>
      </c>
      <c r="AE314" s="1">
        <v>92.55771777690498</v>
      </c>
      <c r="AF314" s="1">
        <v>105.92665289051259</v>
      </c>
      <c r="AG314" s="1">
        <v>100</v>
      </c>
      <c r="AH314" s="1">
        <v>100</v>
      </c>
      <c r="AI314" s="1">
        <v>97.291744176733616</v>
      </c>
      <c r="AJ314" s="1">
        <v>101.7607159866544</v>
      </c>
      <c r="AK314" s="1">
        <v>96.381010170229956</v>
      </c>
      <c r="AL314" s="1">
        <v>104.36284428964056</v>
      </c>
      <c r="AM314" s="1">
        <v>116.7028707921346</v>
      </c>
      <c r="AN314" s="1">
        <v>104.6537395229083</v>
      </c>
      <c r="AO314" s="1">
        <v>100.38587279124792</v>
      </c>
      <c r="AP314" s="1">
        <v>104.99704067456956</v>
      </c>
      <c r="AQ314" s="1">
        <v>93.726423769841205</v>
      </c>
      <c r="AR314" s="1">
        <v>102.41602914572604</v>
      </c>
      <c r="AS314" s="1">
        <v>99.046953672111897</v>
      </c>
      <c r="AT314" s="1">
        <v>103.45639490294819</v>
      </c>
      <c r="AU314" s="1">
        <v>92.683083360025861</v>
      </c>
      <c r="AV314" s="1">
        <v>99.900323214082661</v>
      </c>
      <c r="AW314" s="1">
        <v>100</v>
      </c>
      <c r="AX314" s="1">
        <v>100</v>
      </c>
      <c r="AY314" s="1">
        <v>100</v>
      </c>
      <c r="AZ314" s="1">
        <v>100</v>
      </c>
      <c r="BA314" s="1">
        <v>100</v>
      </c>
      <c r="BB314" s="1">
        <v>100</v>
      </c>
      <c r="BC314" s="1">
        <v>100</v>
      </c>
      <c r="BD314" s="1">
        <v>100</v>
      </c>
      <c r="BE314" s="1">
        <v>100</v>
      </c>
      <c r="BF314" s="1">
        <v>100</v>
      </c>
      <c r="BG314" s="1">
        <v>100</v>
      </c>
      <c r="BH314" s="1">
        <v>100</v>
      </c>
    </row>
    <row r="315" spans="1:60" x14ac:dyDescent="0.25">
      <c r="A315">
        <v>302</v>
      </c>
      <c r="B315" s="1">
        <v>93.744805938965655</v>
      </c>
      <c r="C315" s="1">
        <v>94.353173132071191</v>
      </c>
      <c r="D315" s="1">
        <v>99.900323214082661</v>
      </c>
      <c r="E315" s="1">
        <v>114.45648541850893</v>
      </c>
      <c r="F315" s="1">
        <v>100</v>
      </c>
      <c r="G315" s="1">
        <v>101.20264176422626</v>
      </c>
      <c r="H315" s="1">
        <v>100.64757684147678</v>
      </c>
      <c r="I315" s="1">
        <v>90.775354036476685</v>
      </c>
      <c r="J315" s="1">
        <v>106.38259539360834</v>
      </c>
      <c r="K315" s="1">
        <v>106.16590636000029</v>
      </c>
      <c r="L315" s="1">
        <v>95.69663892742183</v>
      </c>
      <c r="M315" s="1">
        <v>96.715943522481638</v>
      </c>
      <c r="N315" s="1">
        <v>99.631251706469783</v>
      </c>
      <c r="O315" s="1">
        <v>98.543812935962578</v>
      </c>
      <c r="P315" s="1">
        <v>88.734458268997159</v>
      </c>
      <c r="Q315" s="1">
        <v>100</v>
      </c>
      <c r="R315" s="1">
        <v>98.539127000430625</v>
      </c>
      <c r="S315" s="1">
        <v>102.30709748699844</v>
      </c>
      <c r="T315" s="1">
        <v>102.23446086164239</v>
      </c>
      <c r="U315" s="1">
        <v>100.96372424684154</v>
      </c>
      <c r="V315" s="1">
        <v>102.32495142367047</v>
      </c>
      <c r="W315" s="1">
        <v>101.3186014054906</v>
      </c>
      <c r="X315" s="1">
        <v>98.938308797866256</v>
      </c>
      <c r="Y315" s="1">
        <v>99.471401109430246</v>
      </c>
      <c r="Z315" s="1">
        <v>91.954453216163841</v>
      </c>
      <c r="AA315" s="1">
        <v>96.697105376186386</v>
      </c>
      <c r="AB315" s="1">
        <v>87.201974729419263</v>
      </c>
      <c r="AC315" s="1">
        <v>101.78077976073585</v>
      </c>
      <c r="AD315" s="1">
        <v>113.07002987575412</v>
      </c>
      <c r="AE315" s="1">
        <v>92.55771777690498</v>
      </c>
      <c r="AF315" s="1">
        <v>105.97004471728862</v>
      </c>
      <c r="AG315" s="1">
        <v>100</v>
      </c>
      <c r="AH315" s="1">
        <v>100</v>
      </c>
      <c r="AI315" s="1">
        <v>97.291744176733616</v>
      </c>
      <c r="AJ315" s="1">
        <v>101.7607159866544</v>
      </c>
      <c r="AK315" s="1">
        <v>96.381010170229956</v>
      </c>
      <c r="AL315" s="1">
        <v>104.36284428964056</v>
      </c>
      <c r="AM315" s="1">
        <v>116.7028707921346</v>
      </c>
      <c r="AN315" s="1">
        <v>104.6537395229083</v>
      </c>
      <c r="AO315" s="1">
        <v>100.34008107681983</v>
      </c>
      <c r="AP315" s="1">
        <v>104.99704067456956</v>
      </c>
      <c r="AQ315" s="1">
        <v>93.726423769841205</v>
      </c>
      <c r="AR315" s="1">
        <v>102.41602914572604</v>
      </c>
      <c r="AS315" s="1">
        <v>99.046953672111897</v>
      </c>
      <c r="AT315" s="1">
        <v>103.45639490294819</v>
      </c>
      <c r="AU315" s="1">
        <v>92.683083360025861</v>
      </c>
      <c r="AV315" s="1">
        <v>99.900323214082661</v>
      </c>
      <c r="AW315" s="1">
        <v>100</v>
      </c>
      <c r="AX315" s="1">
        <v>100</v>
      </c>
      <c r="AY315" s="1">
        <v>100</v>
      </c>
      <c r="AZ315" s="1">
        <v>100</v>
      </c>
      <c r="BA315" s="1">
        <v>100</v>
      </c>
      <c r="BB315" s="1">
        <v>100</v>
      </c>
      <c r="BC315" s="1">
        <v>100</v>
      </c>
      <c r="BD315" s="1">
        <v>100</v>
      </c>
      <c r="BE315" s="1">
        <v>100</v>
      </c>
      <c r="BF315" s="1">
        <v>100</v>
      </c>
      <c r="BG315" s="1">
        <v>100</v>
      </c>
      <c r="BH315" s="1">
        <v>100</v>
      </c>
    </row>
    <row r="316" spans="1:60" x14ac:dyDescent="0.25">
      <c r="A316">
        <v>303</v>
      </c>
      <c r="B316" s="1">
        <v>94.216387512264632</v>
      </c>
      <c r="C316" s="1">
        <v>94.353173132071191</v>
      </c>
      <c r="D316" s="1">
        <v>99.900323214082661</v>
      </c>
      <c r="E316" s="1">
        <v>114.45648541850893</v>
      </c>
      <c r="F316" s="1">
        <v>100</v>
      </c>
      <c r="G316" s="1">
        <v>101.20264176422626</v>
      </c>
      <c r="H316" s="1">
        <v>100.64757684147678</v>
      </c>
      <c r="I316" s="1">
        <v>90.775354036476685</v>
      </c>
      <c r="J316" s="1">
        <v>106.38259539360834</v>
      </c>
      <c r="K316" s="1">
        <v>106.16590636000029</v>
      </c>
      <c r="L316" s="1">
        <v>95.69663892742183</v>
      </c>
      <c r="M316" s="1">
        <v>96.715943522481638</v>
      </c>
      <c r="N316" s="1">
        <v>99.631251706469783</v>
      </c>
      <c r="O316" s="1">
        <v>98.543812935962578</v>
      </c>
      <c r="P316" s="1">
        <v>88.734458268997159</v>
      </c>
      <c r="Q316" s="1">
        <v>100</v>
      </c>
      <c r="R316" s="1">
        <v>98.539127000430625</v>
      </c>
      <c r="S316" s="1">
        <v>102.30709748699844</v>
      </c>
      <c r="T316" s="1">
        <v>101.78592567848858</v>
      </c>
      <c r="U316" s="1">
        <v>100.96372424684154</v>
      </c>
      <c r="V316" s="1">
        <v>102.32495142367047</v>
      </c>
      <c r="W316" s="1">
        <v>101.3186014054906</v>
      </c>
      <c r="X316" s="1">
        <v>98.938308797866256</v>
      </c>
      <c r="Y316" s="1">
        <v>99.471401109430246</v>
      </c>
      <c r="Z316" s="1">
        <v>91.954453216163841</v>
      </c>
      <c r="AA316" s="1">
        <v>96.697105376186386</v>
      </c>
      <c r="AB316" s="1">
        <v>87.201974729419263</v>
      </c>
      <c r="AC316" s="1">
        <v>101.78077976073585</v>
      </c>
      <c r="AD316" s="1">
        <v>113.07002987575412</v>
      </c>
      <c r="AE316" s="1">
        <v>92.55771777690498</v>
      </c>
      <c r="AF316" s="1">
        <v>106.38722226204898</v>
      </c>
      <c r="AG316" s="1">
        <v>100</v>
      </c>
      <c r="AH316" s="1">
        <v>100</v>
      </c>
      <c r="AI316" s="1">
        <v>97.291744176733616</v>
      </c>
      <c r="AJ316" s="1">
        <v>101.7607159866544</v>
      </c>
      <c r="AK316" s="1">
        <v>96.381010170229956</v>
      </c>
      <c r="AL316" s="1">
        <v>104.36284428964056</v>
      </c>
      <c r="AM316" s="1">
        <v>116.7028707921346</v>
      </c>
      <c r="AN316" s="1">
        <v>104.6537395229083</v>
      </c>
      <c r="AO316" s="1">
        <v>99.899857141914282</v>
      </c>
      <c r="AP316" s="1">
        <v>104.99704067456956</v>
      </c>
      <c r="AQ316" s="1">
        <v>93.726423769841205</v>
      </c>
      <c r="AR316" s="1">
        <v>102.41602914572604</v>
      </c>
      <c r="AS316" s="1">
        <v>99.046953672111897</v>
      </c>
      <c r="AT316" s="1">
        <v>103.45639490294819</v>
      </c>
      <c r="AU316" s="1">
        <v>92.683083360025861</v>
      </c>
      <c r="AV316" s="1">
        <v>99.900323214082661</v>
      </c>
      <c r="AW316" s="1">
        <v>100</v>
      </c>
      <c r="AX316" s="1">
        <v>100</v>
      </c>
      <c r="AY316" s="1">
        <v>100</v>
      </c>
      <c r="AZ316" s="1">
        <v>100</v>
      </c>
      <c r="BA316" s="1">
        <v>100</v>
      </c>
      <c r="BB316" s="1">
        <v>100</v>
      </c>
      <c r="BC316" s="1">
        <v>100</v>
      </c>
      <c r="BD316" s="1">
        <v>100</v>
      </c>
      <c r="BE316" s="1">
        <v>100</v>
      </c>
      <c r="BF316" s="1">
        <v>100</v>
      </c>
      <c r="BG316" s="1">
        <v>100</v>
      </c>
      <c r="BH316" s="1">
        <v>100</v>
      </c>
    </row>
    <row r="317" spans="1:60" x14ac:dyDescent="0.25">
      <c r="A317">
        <v>304</v>
      </c>
      <c r="B317" s="1">
        <v>94.216387512264632</v>
      </c>
      <c r="C317" s="1">
        <v>94.353173132071191</v>
      </c>
      <c r="D317" s="1">
        <v>99.900323214082661</v>
      </c>
      <c r="E317" s="1">
        <v>114.45648541850893</v>
      </c>
      <c r="F317" s="1">
        <v>100</v>
      </c>
      <c r="G317" s="1">
        <v>101.20264176422626</v>
      </c>
      <c r="H317" s="1">
        <v>100.64757684147678</v>
      </c>
      <c r="I317" s="1">
        <v>90.775354036476685</v>
      </c>
      <c r="J317" s="1">
        <v>106.38259539360834</v>
      </c>
      <c r="K317" s="1">
        <v>106.16590636000029</v>
      </c>
      <c r="L317" s="1">
        <v>95.69663892742183</v>
      </c>
      <c r="M317" s="1">
        <v>96.715943522481638</v>
      </c>
      <c r="N317" s="1">
        <v>99.631251706469783</v>
      </c>
      <c r="O317" s="1">
        <v>93.750583323317187</v>
      </c>
      <c r="P317" s="1">
        <v>88.734458268997159</v>
      </c>
      <c r="Q317" s="1">
        <v>100</v>
      </c>
      <c r="R317" s="1">
        <v>98.539127000430625</v>
      </c>
      <c r="S317" s="1">
        <v>102.30709748699844</v>
      </c>
      <c r="T317" s="1">
        <v>101.78592567848858</v>
      </c>
      <c r="U317" s="1">
        <v>100.96372424684154</v>
      </c>
      <c r="V317" s="1">
        <v>102.32495142367047</v>
      </c>
      <c r="W317" s="1">
        <v>101.3186014054906</v>
      </c>
      <c r="X317" s="1">
        <v>98.938308797866256</v>
      </c>
      <c r="Y317" s="1">
        <v>99.471401109430246</v>
      </c>
      <c r="Z317" s="1">
        <v>87.481733975466781</v>
      </c>
      <c r="AA317" s="1">
        <v>96.697105376186386</v>
      </c>
      <c r="AB317" s="1">
        <v>87.201974729419263</v>
      </c>
      <c r="AC317" s="1">
        <v>101.78077976073585</v>
      </c>
      <c r="AD317" s="1">
        <v>113.07002987575412</v>
      </c>
      <c r="AE317" s="1">
        <v>97.468432875566762</v>
      </c>
      <c r="AF317" s="1">
        <v>106.38722226204898</v>
      </c>
      <c r="AG317" s="1">
        <v>100</v>
      </c>
      <c r="AH317" s="1">
        <v>100</v>
      </c>
      <c r="AI317" s="1">
        <v>97.291744176733616</v>
      </c>
      <c r="AJ317" s="1">
        <v>101.7607159866544</v>
      </c>
      <c r="AK317" s="1">
        <v>96.381010170229956</v>
      </c>
      <c r="AL317" s="1">
        <v>108.71807804432122</v>
      </c>
      <c r="AM317" s="1">
        <v>116.7028707921346</v>
      </c>
      <c r="AN317" s="1">
        <v>104.6537395229083</v>
      </c>
      <c r="AO317" s="1">
        <v>99.899857141914282</v>
      </c>
      <c r="AP317" s="1">
        <v>104.99704067456956</v>
      </c>
      <c r="AQ317" s="1">
        <v>93.726423769841205</v>
      </c>
      <c r="AR317" s="1">
        <v>102.41602914572604</v>
      </c>
      <c r="AS317" s="1">
        <v>99.046953672111897</v>
      </c>
      <c r="AT317" s="1">
        <v>103.45639490294819</v>
      </c>
      <c r="AU317" s="1">
        <v>92.683083360025861</v>
      </c>
      <c r="AV317" s="1">
        <v>99.900323214082661</v>
      </c>
      <c r="AW317" s="1">
        <v>100</v>
      </c>
      <c r="AX317" s="1">
        <v>100</v>
      </c>
      <c r="AY317" s="1">
        <v>100</v>
      </c>
      <c r="AZ317" s="1">
        <v>100</v>
      </c>
      <c r="BA317" s="1">
        <v>100</v>
      </c>
      <c r="BB317" s="1">
        <v>100</v>
      </c>
      <c r="BC317" s="1">
        <v>100</v>
      </c>
      <c r="BD317" s="1">
        <v>100</v>
      </c>
      <c r="BE317" s="1">
        <v>100</v>
      </c>
      <c r="BF317" s="1">
        <v>100</v>
      </c>
      <c r="BG317" s="1">
        <v>100</v>
      </c>
      <c r="BH317" s="1">
        <v>100</v>
      </c>
    </row>
    <row r="318" spans="1:60" x14ac:dyDescent="0.25">
      <c r="A318">
        <v>305</v>
      </c>
      <c r="B318" s="1">
        <v>94.216387512264632</v>
      </c>
      <c r="C318" s="1">
        <v>94.353173132071191</v>
      </c>
      <c r="D318" s="1">
        <v>99.900323214082661</v>
      </c>
      <c r="E318" s="1">
        <v>114.45648541850893</v>
      </c>
      <c r="F318" s="1">
        <v>100</v>
      </c>
      <c r="G318" s="1">
        <v>101.20264176422626</v>
      </c>
      <c r="H318" s="1">
        <v>100.64757684147678</v>
      </c>
      <c r="I318" s="1">
        <v>90.775354036476685</v>
      </c>
      <c r="J318" s="1">
        <v>106.38259539360834</v>
      </c>
      <c r="K318" s="1">
        <v>106.16590636000029</v>
      </c>
      <c r="L318" s="1">
        <v>95.69663892742183</v>
      </c>
      <c r="M318" s="1">
        <v>96.715943522481638</v>
      </c>
      <c r="N318" s="1">
        <v>99.631251706469783</v>
      </c>
      <c r="O318" s="1">
        <v>93.478287852540205</v>
      </c>
      <c r="P318" s="1">
        <v>88.734458268997159</v>
      </c>
      <c r="Q318" s="1">
        <v>100</v>
      </c>
      <c r="R318" s="1">
        <v>98.539127000430625</v>
      </c>
      <c r="S318" s="1">
        <v>102.30709748699844</v>
      </c>
      <c r="T318" s="1">
        <v>101.78592567848858</v>
      </c>
      <c r="U318" s="1">
        <v>100.96372424684154</v>
      </c>
      <c r="V318" s="1">
        <v>102.32495142367047</v>
      </c>
      <c r="W318" s="1">
        <v>101.3186014054906</v>
      </c>
      <c r="X318" s="1">
        <v>98.938308797866256</v>
      </c>
      <c r="Y318" s="1">
        <v>99.471401109430246</v>
      </c>
      <c r="Z318" s="1">
        <v>87.227646170433232</v>
      </c>
      <c r="AA318" s="1">
        <v>96.697105376186386</v>
      </c>
      <c r="AB318" s="1">
        <v>87.201974729419263</v>
      </c>
      <c r="AC318" s="1">
        <v>101.78077976073585</v>
      </c>
      <c r="AD318" s="1">
        <v>113.07002987575412</v>
      </c>
      <c r="AE318" s="1">
        <v>97.745984388541487</v>
      </c>
      <c r="AF318" s="1">
        <v>106.38722226204898</v>
      </c>
      <c r="AG318" s="1">
        <v>100</v>
      </c>
      <c r="AH318" s="1">
        <v>100</v>
      </c>
      <c r="AI318" s="1">
        <v>97.291744176733616</v>
      </c>
      <c r="AJ318" s="1">
        <v>101.7607159866544</v>
      </c>
      <c r="AK318" s="1">
        <v>96.381010170229956</v>
      </c>
      <c r="AL318" s="1">
        <v>108.96690980715702</v>
      </c>
      <c r="AM318" s="1">
        <v>116.7028707921346</v>
      </c>
      <c r="AN318" s="1">
        <v>104.6537395229083</v>
      </c>
      <c r="AO318" s="1">
        <v>99.899857141914282</v>
      </c>
      <c r="AP318" s="1">
        <v>104.99704067456956</v>
      </c>
      <c r="AQ318" s="1">
        <v>93.726423769841205</v>
      </c>
      <c r="AR318" s="1">
        <v>102.41602914572604</v>
      </c>
      <c r="AS318" s="1">
        <v>99.046953672111897</v>
      </c>
      <c r="AT318" s="1">
        <v>103.45639490294819</v>
      </c>
      <c r="AU318" s="1">
        <v>92.683083360025861</v>
      </c>
      <c r="AV318" s="1">
        <v>99.900323214082661</v>
      </c>
      <c r="AW318" s="1">
        <v>100</v>
      </c>
      <c r="AX318" s="1">
        <v>100</v>
      </c>
      <c r="AY318" s="1">
        <v>100</v>
      </c>
      <c r="AZ318" s="1">
        <v>100</v>
      </c>
      <c r="BA318" s="1">
        <v>100</v>
      </c>
      <c r="BB318" s="1">
        <v>100</v>
      </c>
      <c r="BC318" s="1">
        <v>100</v>
      </c>
      <c r="BD318" s="1">
        <v>100</v>
      </c>
      <c r="BE318" s="1">
        <v>100</v>
      </c>
      <c r="BF318" s="1">
        <v>100</v>
      </c>
      <c r="BG318" s="1">
        <v>100</v>
      </c>
      <c r="BH318" s="1">
        <v>100</v>
      </c>
    </row>
    <row r="319" spans="1:60" x14ac:dyDescent="0.25">
      <c r="A319">
        <v>306</v>
      </c>
      <c r="B319" s="1">
        <v>94.216387512264632</v>
      </c>
      <c r="C319" s="1">
        <v>94.353173132071191</v>
      </c>
      <c r="D319" s="1">
        <v>99.900323214082661</v>
      </c>
      <c r="E319" s="1">
        <v>114.45648541850893</v>
      </c>
      <c r="F319" s="1">
        <v>100</v>
      </c>
      <c r="G319" s="1">
        <v>101.20264176422626</v>
      </c>
      <c r="H319" s="1">
        <v>100.64757684147678</v>
      </c>
      <c r="I319" s="1">
        <v>91.728716344844585</v>
      </c>
      <c r="J319" s="1">
        <v>106.38259539360834</v>
      </c>
      <c r="K319" s="1">
        <v>106.16590636000029</v>
      </c>
      <c r="L319" s="1">
        <v>95.69663892742183</v>
      </c>
      <c r="M319" s="1">
        <v>96.715943522481638</v>
      </c>
      <c r="N319" s="1">
        <v>99.631251706469783</v>
      </c>
      <c r="O319" s="1">
        <v>93.478287852540205</v>
      </c>
      <c r="P319" s="1">
        <v>88.734458268997159</v>
      </c>
      <c r="Q319" s="1">
        <v>100</v>
      </c>
      <c r="R319" s="1">
        <v>98.539127000430625</v>
      </c>
      <c r="S319" s="1">
        <v>102.30709748699844</v>
      </c>
      <c r="T319" s="1">
        <v>101.78592567848858</v>
      </c>
      <c r="U319" s="1">
        <v>100.96372424684154</v>
      </c>
      <c r="V319" s="1">
        <v>103.17070605011351</v>
      </c>
      <c r="W319" s="1">
        <v>101.3186014054906</v>
      </c>
      <c r="X319" s="1">
        <v>98.938308797866256</v>
      </c>
      <c r="Y319" s="1">
        <v>99.471401109430246</v>
      </c>
      <c r="Z319" s="1">
        <v>87.227646170433232</v>
      </c>
      <c r="AA319" s="1">
        <v>96.697105376186386</v>
      </c>
      <c r="AB319" s="1">
        <v>87.201974729419263</v>
      </c>
      <c r="AC319" s="1">
        <v>101.78077976073585</v>
      </c>
      <c r="AD319" s="1">
        <v>113.07002987575412</v>
      </c>
      <c r="AE319" s="1">
        <v>97.745984388541487</v>
      </c>
      <c r="AF319" s="1">
        <v>105.49843944009858</v>
      </c>
      <c r="AG319" s="1">
        <v>100</v>
      </c>
      <c r="AH319" s="1">
        <v>100</v>
      </c>
      <c r="AI319" s="1">
        <v>97.291744176733616</v>
      </c>
      <c r="AJ319" s="1">
        <v>101.7607159866544</v>
      </c>
      <c r="AK319" s="1">
        <v>96.381010170229956</v>
      </c>
      <c r="AL319" s="1">
        <v>108.05657569429648</v>
      </c>
      <c r="AM319" s="1">
        <v>116.7028707921346</v>
      </c>
      <c r="AN319" s="1">
        <v>104.6537395229083</v>
      </c>
      <c r="AO319" s="1">
        <v>99.899857141914282</v>
      </c>
      <c r="AP319" s="1">
        <v>104.99704067456956</v>
      </c>
      <c r="AQ319" s="1">
        <v>93.726423769841205</v>
      </c>
      <c r="AR319" s="1">
        <v>102.41602914572604</v>
      </c>
      <c r="AS319" s="1">
        <v>99.046953672111897</v>
      </c>
      <c r="AT319" s="1">
        <v>103.45639490294819</v>
      </c>
      <c r="AU319" s="1">
        <v>92.683083360025861</v>
      </c>
      <c r="AV319" s="1">
        <v>99.900323214082661</v>
      </c>
      <c r="AW319" s="1">
        <v>100</v>
      </c>
      <c r="AX319" s="1">
        <v>100</v>
      </c>
      <c r="AY319" s="1">
        <v>100</v>
      </c>
      <c r="AZ319" s="1">
        <v>100</v>
      </c>
      <c r="BA319" s="1">
        <v>100</v>
      </c>
      <c r="BB319" s="1">
        <v>100</v>
      </c>
      <c r="BC319" s="1">
        <v>100</v>
      </c>
      <c r="BD319" s="1">
        <v>100</v>
      </c>
      <c r="BE319" s="1">
        <v>100</v>
      </c>
      <c r="BF319" s="1">
        <v>100</v>
      </c>
      <c r="BG319" s="1">
        <v>100</v>
      </c>
      <c r="BH319" s="1">
        <v>100</v>
      </c>
    </row>
    <row r="320" spans="1:60" x14ac:dyDescent="0.25">
      <c r="A320">
        <v>307</v>
      </c>
      <c r="B320" s="1">
        <v>94.216387512264632</v>
      </c>
      <c r="C320" s="1">
        <v>94.353173132071191</v>
      </c>
      <c r="D320" s="1">
        <v>99.900323214082661</v>
      </c>
      <c r="E320" s="1">
        <v>114.45648541850893</v>
      </c>
      <c r="F320" s="1">
        <v>100</v>
      </c>
      <c r="G320" s="1">
        <v>101.20264176422626</v>
      </c>
      <c r="H320" s="1">
        <v>100.64757684147678</v>
      </c>
      <c r="I320" s="1">
        <v>90.647298591618593</v>
      </c>
      <c r="J320" s="1">
        <v>106.38259539360834</v>
      </c>
      <c r="K320" s="1">
        <v>106.16590636000029</v>
      </c>
      <c r="L320" s="1">
        <v>95.69663892742183</v>
      </c>
      <c r="M320" s="1">
        <v>96.715943522481638</v>
      </c>
      <c r="N320" s="1">
        <v>99.631251706469783</v>
      </c>
      <c r="O320" s="1">
        <v>93.478287852540205</v>
      </c>
      <c r="P320" s="1">
        <v>88.734458268997159</v>
      </c>
      <c r="Q320" s="1">
        <v>100</v>
      </c>
      <c r="R320" s="1">
        <v>98.539127000430625</v>
      </c>
      <c r="S320" s="1">
        <v>102.30709748699844</v>
      </c>
      <c r="T320" s="1">
        <v>101.78592567848858</v>
      </c>
      <c r="U320" s="1">
        <v>100.96372424684154</v>
      </c>
      <c r="V320" s="1">
        <v>101.95439519805694</v>
      </c>
      <c r="W320" s="1">
        <v>101.3186014054906</v>
      </c>
      <c r="X320" s="1">
        <v>98.938308797866256</v>
      </c>
      <c r="Y320" s="1">
        <v>99.471401109430246</v>
      </c>
      <c r="Z320" s="1">
        <v>87.227646170433232</v>
      </c>
      <c r="AA320" s="1">
        <v>96.697105376186386</v>
      </c>
      <c r="AB320" s="1">
        <v>87.201974729419263</v>
      </c>
      <c r="AC320" s="1">
        <v>101.78077976073585</v>
      </c>
      <c r="AD320" s="1">
        <v>113.07002987575412</v>
      </c>
      <c r="AE320" s="1">
        <v>97.745984388541487</v>
      </c>
      <c r="AF320" s="1">
        <v>106.66106577694866</v>
      </c>
      <c r="AG320" s="1">
        <v>100</v>
      </c>
      <c r="AH320" s="1">
        <v>100</v>
      </c>
      <c r="AI320" s="1">
        <v>97.291744176733616</v>
      </c>
      <c r="AJ320" s="1">
        <v>101.7607159866544</v>
      </c>
      <c r="AK320" s="1">
        <v>96.381010170229956</v>
      </c>
      <c r="AL320" s="1">
        <v>109.19167796272896</v>
      </c>
      <c r="AM320" s="1">
        <v>116.7028707921346</v>
      </c>
      <c r="AN320" s="1">
        <v>104.6537395229083</v>
      </c>
      <c r="AO320" s="1">
        <v>99.899857141914282</v>
      </c>
      <c r="AP320" s="1">
        <v>104.99704067456956</v>
      </c>
      <c r="AQ320" s="1">
        <v>93.726423769841205</v>
      </c>
      <c r="AR320" s="1">
        <v>102.41602914572604</v>
      </c>
      <c r="AS320" s="1">
        <v>99.046953672111897</v>
      </c>
      <c r="AT320" s="1">
        <v>103.45639490294819</v>
      </c>
      <c r="AU320" s="1">
        <v>92.683083360025861</v>
      </c>
      <c r="AV320" s="1">
        <v>99.900323214082661</v>
      </c>
      <c r="AW320" s="1">
        <v>100</v>
      </c>
      <c r="AX320" s="1">
        <v>100</v>
      </c>
      <c r="AY320" s="1">
        <v>100</v>
      </c>
      <c r="AZ320" s="1">
        <v>100</v>
      </c>
      <c r="BA320" s="1">
        <v>100</v>
      </c>
      <c r="BB320" s="1">
        <v>100</v>
      </c>
      <c r="BC320" s="1">
        <v>100</v>
      </c>
      <c r="BD320" s="1">
        <v>100</v>
      </c>
      <c r="BE320" s="1">
        <v>100</v>
      </c>
      <c r="BF320" s="1">
        <v>100</v>
      </c>
      <c r="BG320" s="1">
        <v>100</v>
      </c>
      <c r="BH320" s="1">
        <v>100</v>
      </c>
    </row>
    <row r="321" spans="1:60" x14ac:dyDescent="0.25">
      <c r="A321">
        <v>308</v>
      </c>
      <c r="B321" s="1">
        <v>94.216387512264632</v>
      </c>
      <c r="C321" s="1">
        <v>94.353173132071191</v>
      </c>
      <c r="D321" s="1">
        <v>99.900323214082661</v>
      </c>
      <c r="E321" s="1">
        <v>114.3754706073581</v>
      </c>
      <c r="F321" s="1">
        <v>100</v>
      </c>
      <c r="G321" s="1">
        <v>101.20264176422626</v>
      </c>
      <c r="H321" s="1">
        <v>100.64757684147678</v>
      </c>
      <c r="I321" s="1">
        <v>90.647298591618593</v>
      </c>
      <c r="J321" s="1">
        <v>106.38259539360834</v>
      </c>
      <c r="K321" s="1">
        <v>106.16590636000029</v>
      </c>
      <c r="L321" s="1">
        <v>95.69663892742183</v>
      </c>
      <c r="M321" s="1">
        <v>96.715943522481638</v>
      </c>
      <c r="N321" s="1">
        <v>99.631251706469783</v>
      </c>
      <c r="O321" s="1">
        <v>93.478287852540205</v>
      </c>
      <c r="P321" s="1">
        <v>88.734458268997159</v>
      </c>
      <c r="Q321" s="1">
        <v>100</v>
      </c>
      <c r="R321" s="1">
        <v>98.539127000430625</v>
      </c>
      <c r="S321" s="1">
        <v>102.30709748699844</v>
      </c>
      <c r="T321" s="1">
        <v>101.86179962818041</v>
      </c>
      <c r="U321" s="1">
        <v>100.96372424684154</v>
      </c>
      <c r="V321" s="1">
        <v>101.88222964061592</v>
      </c>
      <c r="W321" s="1">
        <v>101.3186014054906</v>
      </c>
      <c r="X321" s="1">
        <v>98.938308797866256</v>
      </c>
      <c r="Y321" s="1">
        <v>99.471401109430246</v>
      </c>
      <c r="Z321" s="1">
        <v>87.227646170433232</v>
      </c>
      <c r="AA321" s="1">
        <v>96.697105376186386</v>
      </c>
      <c r="AB321" s="1">
        <v>87.201974729419263</v>
      </c>
      <c r="AC321" s="1">
        <v>101.78077976073585</v>
      </c>
      <c r="AD321" s="1">
        <v>113.07002987575412</v>
      </c>
      <c r="AE321" s="1">
        <v>97.745984388541487</v>
      </c>
      <c r="AF321" s="1">
        <v>106.66106577694866</v>
      </c>
      <c r="AG321" s="1">
        <v>100</v>
      </c>
      <c r="AH321" s="1">
        <v>100</v>
      </c>
      <c r="AI321" s="1">
        <v>97.291744176733616</v>
      </c>
      <c r="AJ321" s="1">
        <v>101.7607159866544</v>
      </c>
      <c r="AK321" s="1">
        <v>96.381010170229956</v>
      </c>
      <c r="AL321" s="1">
        <v>109.19167796272896</v>
      </c>
      <c r="AM321" s="1">
        <v>116.7028707921346</v>
      </c>
      <c r="AN321" s="1">
        <v>104.6537395229083</v>
      </c>
      <c r="AO321" s="1">
        <v>99.977163560814319</v>
      </c>
      <c r="AP321" s="1">
        <v>104.99704067456956</v>
      </c>
      <c r="AQ321" s="1">
        <v>93.726423769841205</v>
      </c>
      <c r="AR321" s="1">
        <v>102.41602914572604</v>
      </c>
      <c r="AS321" s="1">
        <v>99.046953672111897</v>
      </c>
      <c r="AT321" s="1">
        <v>103.45639490294819</v>
      </c>
      <c r="AU321" s="1">
        <v>92.683083360025861</v>
      </c>
      <c r="AV321" s="1">
        <v>99.900323214082661</v>
      </c>
      <c r="AW321" s="1">
        <v>100</v>
      </c>
      <c r="AX321" s="1">
        <v>100</v>
      </c>
      <c r="AY321" s="1">
        <v>100</v>
      </c>
      <c r="AZ321" s="1">
        <v>100</v>
      </c>
      <c r="BA321" s="1">
        <v>100</v>
      </c>
      <c r="BB321" s="1">
        <v>100</v>
      </c>
      <c r="BC321" s="1">
        <v>100</v>
      </c>
      <c r="BD321" s="1">
        <v>100</v>
      </c>
      <c r="BE321" s="1">
        <v>100</v>
      </c>
      <c r="BF321" s="1">
        <v>100</v>
      </c>
      <c r="BG321" s="1">
        <v>100</v>
      </c>
      <c r="BH321" s="1">
        <v>100</v>
      </c>
    </row>
    <row r="322" spans="1:60" x14ac:dyDescent="0.25">
      <c r="A322">
        <v>309</v>
      </c>
      <c r="B322" s="1">
        <v>94.216387512264632</v>
      </c>
      <c r="C322" s="1">
        <v>94.353173132071191</v>
      </c>
      <c r="D322" s="1">
        <v>99.900323214082661</v>
      </c>
      <c r="E322" s="1">
        <v>114.03217122156524</v>
      </c>
      <c r="F322" s="1">
        <v>100</v>
      </c>
      <c r="G322" s="1">
        <v>101.20264176422626</v>
      </c>
      <c r="H322" s="1">
        <v>100.64757684147678</v>
      </c>
      <c r="I322" s="1">
        <v>90.647298591618593</v>
      </c>
      <c r="J322" s="1">
        <v>106.38259539360834</v>
      </c>
      <c r="K322" s="1">
        <v>106.16590636000029</v>
      </c>
      <c r="L322" s="1">
        <v>95.69663892742183</v>
      </c>
      <c r="M322" s="1">
        <v>96.715943522481638</v>
      </c>
      <c r="N322" s="1">
        <v>99.631251706469783</v>
      </c>
      <c r="O322" s="1">
        <v>93.478287852540205</v>
      </c>
      <c r="P322" s="1">
        <v>88.734458268997159</v>
      </c>
      <c r="Q322" s="1">
        <v>100</v>
      </c>
      <c r="R322" s="1">
        <v>98.539127000430625</v>
      </c>
      <c r="S322" s="1">
        <v>102.30709748699844</v>
      </c>
      <c r="T322" s="1">
        <v>102.18331927587913</v>
      </c>
      <c r="U322" s="1">
        <v>100.96372424684154</v>
      </c>
      <c r="V322" s="1">
        <v>101.57642887168269</v>
      </c>
      <c r="W322" s="1">
        <v>101.3186014054906</v>
      </c>
      <c r="X322" s="1">
        <v>98.938308797866256</v>
      </c>
      <c r="Y322" s="1">
        <v>99.471401109430246</v>
      </c>
      <c r="Z322" s="1">
        <v>87.227646170433232</v>
      </c>
      <c r="AA322" s="1">
        <v>96.697105376186386</v>
      </c>
      <c r="AB322" s="1">
        <v>87.201974729419263</v>
      </c>
      <c r="AC322" s="1">
        <v>101.78077976073585</v>
      </c>
      <c r="AD322" s="1">
        <v>113.07002987575412</v>
      </c>
      <c r="AE322" s="1">
        <v>97.745984388541487</v>
      </c>
      <c r="AF322" s="1">
        <v>106.66106577694866</v>
      </c>
      <c r="AG322" s="1">
        <v>100</v>
      </c>
      <c r="AH322" s="1">
        <v>100</v>
      </c>
      <c r="AI322" s="1">
        <v>97.291744176733616</v>
      </c>
      <c r="AJ322" s="1">
        <v>101.7607159866544</v>
      </c>
      <c r="AK322" s="1">
        <v>96.381010170229956</v>
      </c>
      <c r="AL322" s="1">
        <v>109.19167796272896</v>
      </c>
      <c r="AM322" s="1">
        <v>116.7028707921346</v>
      </c>
      <c r="AN322" s="1">
        <v>104.6537395229083</v>
      </c>
      <c r="AO322" s="1">
        <v>100.30474406784168</v>
      </c>
      <c r="AP322" s="1">
        <v>104.99704067456956</v>
      </c>
      <c r="AQ322" s="1">
        <v>93.726423769841205</v>
      </c>
      <c r="AR322" s="1">
        <v>102.41602914572604</v>
      </c>
      <c r="AS322" s="1">
        <v>99.046953672111897</v>
      </c>
      <c r="AT322" s="1">
        <v>103.45639490294819</v>
      </c>
      <c r="AU322" s="1">
        <v>92.683083360025861</v>
      </c>
      <c r="AV322" s="1">
        <v>99.900323214082661</v>
      </c>
      <c r="AW322" s="1">
        <v>100</v>
      </c>
      <c r="AX322" s="1">
        <v>100</v>
      </c>
      <c r="AY322" s="1">
        <v>100</v>
      </c>
      <c r="AZ322" s="1">
        <v>100</v>
      </c>
      <c r="BA322" s="1">
        <v>100</v>
      </c>
      <c r="BB322" s="1">
        <v>100</v>
      </c>
      <c r="BC322" s="1">
        <v>100</v>
      </c>
      <c r="BD322" s="1">
        <v>100</v>
      </c>
      <c r="BE322" s="1">
        <v>100</v>
      </c>
      <c r="BF322" s="1">
        <v>100</v>
      </c>
      <c r="BG322" s="1">
        <v>100</v>
      </c>
      <c r="BH322" s="1">
        <v>100</v>
      </c>
    </row>
    <row r="323" spans="1:60" x14ac:dyDescent="0.25">
      <c r="A323">
        <v>310</v>
      </c>
      <c r="B323" s="1">
        <v>94.58850613117977</v>
      </c>
      <c r="C323" s="1">
        <v>94.353173132071191</v>
      </c>
      <c r="D323" s="1">
        <v>99.900323214082661</v>
      </c>
      <c r="E323" s="1">
        <v>114.03217122156524</v>
      </c>
      <c r="F323" s="1">
        <v>100</v>
      </c>
      <c r="G323" s="1">
        <v>101.20264176422626</v>
      </c>
      <c r="H323" s="1">
        <v>100.64757684147678</v>
      </c>
      <c r="I323" s="1">
        <v>90.647298591618593</v>
      </c>
      <c r="J323" s="1">
        <v>106.38259539360834</v>
      </c>
      <c r="K323" s="1">
        <v>106.16590636000029</v>
      </c>
      <c r="L323" s="1">
        <v>95.69663892742183</v>
      </c>
      <c r="M323" s="1">
        <v>96.715943522481638</v>
      </c>
      <c r="N323" s="1">
        <v>99.631251706469783</v>
      </c>
      <c r="O323" s="1">
        <v>93.478287852540205</v>
      </c>
      <c r="P323" s="1">
        <v>88.734458268997159</v>
      </c>
      <c r="Q323" s="1">
        <v>100</v>
      </c>
      <c r="R323" s="1">
        <v>98.539127000430625</v>
      </c>
      <c r="S323" s="1">
        <v>102.30709748699844</v>
      </c>
      <c r="T323" s="1">
        <v>101.81195041449894</v>
      </c>
      <c r="U323" s="1">
        <v>100.96372424684154</v>
      </c>
      <c r="V323" s="1">
        <v>101.57642887168269</v>
      </c>
      <c r="W323" s="1">
        <v>101.3186014054906</v>
      </c>
      <c r="X323" s="1">
        <v>98.938308797866256</v>
      </c>
      <c r="Y323" s="1">
        <v>99.471401109430246</v>
      </c>
      <c r="Z323" s="1">
        <v>87.227646170433232</v>
      </c>
      <c r="AA323" s="1">
        <v>96.697105376186386</v>
      </c>
      <c r="AB323" s="1">
        <v>87.201974729419263</v>
      </c>
      <c r="AC323" s="1">
        <v>101.78077976073585</v>
      </c>
      <c r="AD323" s="1">
        <v>113.07002987575412</v>
      </c>
      <c r="AE323" s="1">
        <v>97.745984388541487</v>
      </c>
      <c r="AF323" s="1">
        <v>106.66106577694866</v>
      </c>
      <c r="AG323" s="1">
        <v>100</v>
      </c>
      <c r="AH323" s="1">
        <v>100</v>
      </c>
      <c r="AI323" s="1">
        <v>97.291744176733616</v>
      </c>
      <c r="AJ323" s="1">
        <v>101.7607159866544</v>
      </c>
      <c r="AK323" s="1">
        <v>96.030728869336258</v>
      </c>
      <c r="AL323" s="1">
        <v>109.19167796272896</v>
      </c>
      <c r="AM323" s="1">
        <v>116.7028707921346</v>
      </c>
      <c r="AN323" s="1">
        <v>104.6537395229083</v>
      </c>
      <c r="AO323" s="1">
        <v>100.65427561120043</v>
      </c>
      <c r="AP323" s="1">
        <v>104.99704067456956</v>
      </c>
      <c r="AQ323" s="1">
        <v>93.726423769841205</v>
      </c>
      <c r="AR323" s="1">
        <v>102.41602914572604</v>
      </c>
      <c r="AS323" s="1">
        <v>99.046953672111897</v>
      </c>
      <c r="AT323" s="1">
        <v>103.45639490294819</v>
      </c>
      <c r="AU323" s="1">
        <v>92.683083360025861</v>
      </c>
      <c r="AV323" s="1">
        <v>99.900323214082661</v>
      </c>
      <c r="AW323" s="1">
        <v>100</v>
      </c>
      <c r="AX323" s="1">
        <v>100</v>
      </c>
      <c r="AY323" s="1">
        <v>100</v>
      </c>
      <c r="AZ323" s="1">
        <v>100</v>
      </c>
      <c r="BA323" s="1">
        <v>100</v>
      </c>
      <c r="BB323" s="1">
        <v>100</v>
      </c>
      <c r="BC323" s="1">
        <v>100</v>
      </c>
      <c r="BD323" s="1">
        <v>100</v>
      </c>
      <c r="BE323" s="1">
        <v>100</v>
      </c>
      <c r="BF323" s="1">
        <v>100</v>
      </c>
      <c r="BG323" s="1">
        <v>100</v>
      </c>
      <c r="BH323" s="1">
        <v>100</v>
      </c>
    </row>
    <row r="324" spans="1:60" x14ac:dyDescent="0.25">
      <c r="A324">
        <v>311</v>
      </c>
      <c r="B324" s="1">
        <v>96.351099679065356</v>
      </c>
      <c r="C324" s="1">
        <v>94.353173132071191</v>
      </c>
      <c r="D324" s="1">
        <v>99.900323214082661</v>
      </c>
      <c r="E324" s="1">
        <v>114.03217122156524</v>
      </c>
      <c r="F324" s="1">
        <v>100</v>
      </c>
      <c r="G324" s="1">
        <v>101.20264176422626</v>
      </c>
      <c r="H324" s="1">
        <v>100.64757684147678</v>
      </c>
      <c r="I324" s="1">
        <v>90.647298591618593</v>
      </c>
      <c r="J324" s="1">
        <v>106.38259539360834</v>
      </c>
      <c r="K324" s="1">
        <v>106.16590636000029</v>
      </c>
      <c r="L324" s="1">
        <v>95.69663892742183</v>
      </c>
      <c r="M324" s="1">
        <v>96.715943522481638</v>
      </c>
      <c r="N324" s="1">
        <v>99.631251706469783</v>
      </c>
      <c r="O324" s="1">
        <v>93.478287852540205</v>
      </c>
      <c r="P324" s="1">
        <v>88.734458268997159</v>
      </c>
      <c r="Q324" s="1">
        <v>100</v>
      </c>
      <c r="R324" s="1">
        <v>98.539127000430625</v>
      </c>
      <c r="S324" s="1">
        <v>102.30709748699844</v>
      </c>
      <c r="T324" s="1">
        <v>100.05251346784478</v>
      </c>
      <c r="U324" s="1">
        <v>100.96372424684154</v>
      </c>
      <c r="V324" s="1">
        <v>101.57642887168269</v>
      </c>
      <c r="W324" s="1">
        <v>101.3186014054906</v>
      </c>
      <c r="X324" s="1">
        <v>98.938308797866256</v>
      </c>
      <c r="Y324" s="1">
        <v>99.471401109430246</v>
      </c>
      <c r="Z324" s="1">
        <v>87.227646170433232</v>
      </c>
      <c r="AA324" s="1">
        <v>96.697105376186386</v>
      </c>
      <c r="AB324" s="1">
        <v>87.201974729419263</v>
      </c>
      <c r="AC324" s="1">
        <v>101.78077976073585</v>
      </c>
      <c r="AD324" s="1">
        <v>113.07002987575412</v>
      </c>
      <c r="AE324" s="1">
        <v>97.745984388541487</v>
      </c>
      <c r="AF324" s="1">
        <v>106.66106577694866</v>
      </c>
      <c r="AG324" s="1">
        <v>100</v>
      </c>
      <c r="AH324" s="1">
        <v>100</v>
      </c>
      <c r="AI324" s="1">
        <v>97.291744176733616</v>
      </c>
      <c r="AJ324" s="1">
        <v>101.7607159866544</v>
      </c>
      <c r="AK324" s="1">
        <v>94.37119861086498</v>
      </c>
      <c r="AL324" s="1">
        <v>109.19167796272896</v>
      </c>
      <c r="AM324" s="1">
        <v>116.7028707921346</v>
      </c>
      <c r="AN324" s="1">
        <v>104.6537395229083</v>
      </c>
      <c r="AO324" s="1">
        <v>102.3106492684403</v>
      </c>
      <c r="AP324" s="1">
        <v>104.99704067456956</v>
      </c>
      <c r="AQ324" s="1">
        <v>93.726423769841205</v>
      </c>
      <c r="AR324" s="1">
        <v>102.41602914572604</v>
      </c>
      <c r="AS324" s="1">
        <v>99.046953672111897</v>
      </c>
      <c r="AT324" s="1">
        <v>103.45639490294819</v>
      </c>
      <c r="AU324" s="1">
        <v>92.683083360025861</v>
      </c>
      <c r="AV324" s="1">
        <v>99.900323214082661</v>
      </c>
      <c r="AW324" s="1">
        <v>100</v>
      </c>
      <c r="AX324" s="1">
        <v>100</v>
      </c>
      <c r="AY324" s="1">
        <v>100</v>
      </c>
      <c r="AZ324" s="1">
        <v>100</v>
      </c>
      <c r="BA324" s="1">
        <v>100</v>
      </c>
      <c r="BB324" s="1">
        <v>100</v>
      </c>
      <c r="BC324" s="1">
        <v>100</v>
      </c>
      <c r="BD324" s="1">
        <v>100</v>
      </c>
      <c r="BE324" s="1">
        <v>100</v>
      </c>
      <c r="BF324" s="1">
        <v>100</v>
      </c>
      <c r="BG324" s="1">
        <v>100</v>
      </c>
      <c r="BH324" s="1">
        <v>100</v>
      </c>
    </row>
    <row r="325" spans="1:60" x14ac:dyDescent="0.25">
      <c r="A325">
        <v>312</v>
      </c>
      <c r="B325" s="1">
        <v>96.351099679065356</v>
      </c>
      <c r="C325" s="1">
        <v>94.353173132071191</v>
      </c>
      <c r="D325" s="1">
        <v>99.900323214082661</v>
      </c>
      <c r="E325" s="1">
        <v>113.34522395475111</v>
      </c>
      <c r="F325" s="1">
        <v>100</v>
      </c>
      <c r="G325" s="1">
        <v>101.20264176422626</v>
      </c>
      <c r="H325" s="1">
        <v>100.64757684147678</v>
      </c>
      <c r="I325" s="1">
        <v>90.647298591618593</v>
      </c>
      <c r="J325" s="1">
        <v>107.01171293294429</v>
      </c>
      <c r="K325" s="1">
        <v>106.16590636000029</v>
      </c>
      <c r="L325" s="1">
        <v>95.69663892742183</v>
      </c>
      <c r="M325" s="1">
        <v>96.715943522481638</v>
      </c>
      <c r="N325" s="1">
        <v>99.631251706469783</v>
      </c>
      <c r="O325" s="1">
        <v>93.478287852540205</v>
      </c>
      <c r="P325" s="1">
        <v>88.734458268997159</v>
      </c>
      <c r="Q325" s="1">
        <v>100</v>
      </c>
      <c r="R325" s="1">
        <v>98.539127000430625</v>
      </c>
      <c r="S325" s="1">
        <v>102.30709748699844</v>
      </c>
      <c r="T325" s="1">
        <v>99.449781800734129</v>
      </c>
      <c r="U325" s="1">
        <v>100.96372424684154</v>
      </c>
      <c r="V325" s="1">
        <v>101.57642887168269</v>
      </c>
      <c r="W325" s="1">
        <v>101.97916280007942</v>
      </c>
      <c r="X325" s="1">
        <v>98.938308797866256</v>
      </c>
      <c r="Y325" s="1">
        <v>99.471401109430246</v>
      </c>
      <c r="Z325" s="1">
        <v>87.227646170433232</v>
      </c>
      <c r="AA325" s="1">
        <v>96.697105376186386</v>
      </c>
      <c r="AB325" s="1">
        <v>87.201974729419263</v>
      </c>
      <c r="AC325" s="1">
        <v>101.78077976073585</v>
      </c>
      <c r="AD325" s="1">
        <v>113.07002987575412</v>
      </c>
      <c r="AE325" s="1">
        <v>97.745984388541487</v>
      </c>
      <c r="AF325" s="1">
        <v>106.66106577694866</v>
      </c>
      <c r="AG325" s="1">
        <v>100</v>
      </c>
      <c r="AH325" s="1">
        <v>100</v>
      </c>
      <c r="AI325" s="1">
        <v>97.291744176733616</v>
      </c>
      <c r="AJ325" s="1">
        <v>101.7607159866544</v>
      </c>
      <c r="AK325" s="1">
        <v>94.37119861086498</v>
      </c>
      <c r="AL325" s="1">
        <v>109.19167796272896</v>
      </c>
      <c r="AM325" s="1">
        <v>116.7028707921346</v>
      </c>
      <c r="AN325" s="1">
        <v>104.6537395229083</v>
      </c>
      <c r="AO325" s="1">
        <v>102.3106492684403</v>
      </c>
      <c r="AP325" s="1">
        <v>104.99704067456956</v>
      </c>
      <c r="AQ325" s="1">
        <v>93.726423769841205</v>
      </c>
      <c r="AR325" s="1">
        <v>102.41602914572604</v>
      </c>
      <c r="AS325" s="1">
        <v>99.046953672111897</v>
      </c>
      <c r="AT325" s="1">
        <v>103.45639490294819</v>
      </c>
      <c r="AU325" s="1">
        <v>92.683083360025861</v>
      </c>
      <c r="AV325" s="1">
        <v>99.900323214082661</v>
      </c>
      <c r="AW325" s="1">
        <v>100</v>
      </c>
      <c r="AX325" s="1">
        <v>100</v>
      </c>
      <c r="AY325" s="1">
        <v>100</v>
      </c>
      <c r="AZ325" s="1">
        <v>100</v>
      </c>
      <c r="BA325" s="1">
        <v>100</v>
      </c>
      <c r="BB325" s="1">
        <v>100</v>
      </c>
      <c r="BC325" s="1">
        <v>100</v>
      </c>
      <c r="BD325" s="1">
        <v>100</v>
      </c>
      <c r="BE325" s="1">
        <v>100</v>
      </c>
      <c r="BF325" s="1">
        <v>100</v>
      </c>
      <c r="BG325" s="1">
        <v>100</v>
      </c>
      <c r="BH325" s="1">
        <v>100</v>
      </c>
    </row>
    <row r="326" spans="1:60" x14ac:dyDescent="0.25">
      <c r="A326">
        <v>313</v>
      </c>
      <c r="B326" s="1">
        <v>96.351099679065356</v>
      </c>
      <c r="C326" s="1">
        <v>94.353173132071191</v>
      </c>
      <c r="D326" s="1">
        <v>99.900323214082661</v>
      </c>
      <c r="E326" s="1">
        <v>113.11253589290945</v>
      </c>
      <c r="F326" s="1">
        <v>100</v>
      </c>
      <c r="G326" s="1">
        <v>101.20264176422626</v>
      </c>
      <c r="H326" s="1">
        <v>100.64757684147678</v>
      </c>
      <c r="I326" s="1">
        <v>90.647298591618593</v>
      </c>
      <c r="J326" s="1">
        <v>107.22487819123964</v>
      </c>
      <c r="K326" s="1">
        <v>106.16590636000029</v>
      </c>
      <c r="L326" s="1">
        <v>95.69663892742183</v>
      </c>
      <c r="M326" s="1">
        <v>96.715943522481638</v>
      </c>
      <c r="N326" s="1">
        <v>99.631251706469783</v>
      </c>
      <c r="O326" s="1">
        <v>93.478287852540205</v>
      </c>
      <c r="P326" s="1">
        <v>88.734458268997159</v>
      </c>
      <c r="Q326" s="1">
        <v>100</v>
      </c>
      <c r="R326" s="1">
        <v>98.539127000430625</v>
      </c>
      <c r="S326" s="1">
        <v>102.30709748699844</v>
      </c>
      <c r="T326" s="1">
        <v>99.245619894564825</v>
      </c>
      <c r="U326" s="1">
        <v>100.96372424684154</v>
      </c>
      <c r="V326" s="1">
        <v>101.57642887168269</v>
      </c>
      <c r="W326" s="1">
        <v>102.20284750979505</v>
      </c>
      <c r="X326" s="1">
        <v>98.938308797866256</v>
      </c>
      <c r="Y326" s="1">
        <v>99.471401109430246</v>
      </c>
      <c r="Z326" s="1">
        <v>87.227646170433232</v>
      </c>
      <c r="AA326" s="1">
        <v>96.697105376186386</v>
      </c>
      <c r="AB326" s="1">
        <v>87.201974729419263</v>
      </c>
      <c r="AC326" s="1">
        <v>101.78077976073585</v>
      </c>
      <c r="AD326" s="1">
        <v>113.07002987575412</v>
      </c>
      <c r="AE326" s="1">
        <v>97.745984388541487</v>
      </c>
      <c r="AF326" s="1">
        <v>106.66106577694866</v>
      </c>
      <c r="AG326" s="1">
        <v>100</v>
      </c>
      <c r="AH326" s="1">
        <v>100</v>
      </c>
      <c r="AI326" s="1">
        <v>97.291744176733616</v>
      </c>
      <c r="AJ326" s="1">
        <v>101.7607159866544</v>
      </c>
      <c r="AK326" s="1">
        <v>94.37119861086498</v>
      </c>
      <c r="AL326" s="1">
        <v>109.19167796272896</v>
      </c>
      <c r="AM326" s="1">
        <v>116.7028707921346</v>
      </c>
      <c r="AN326" s="1">
        <v>104.6537395229083</v>
      </c>
      <c r="AO326" s="1">
        <v>102.3106492684403</v>
      </c>
      <c r="AP326" s="1">
        <v>104.99704067456956</v>
      </c>
      <c r="AQ326" s="1">
        <v>93.726423769841205</v>
      </c>
      <c r="AR326" s="1">
        <v>102.41602914572604</v>
      </c>
      <c r="AS326" s="1">
        <v>99.046953672111897</v>
      </c>
      <c r="AT326" s="1">
        <v>103.45639490294819</v>
      </c>
      <c r="AU326" s="1">
        <v>92.683083360025861</v>
      </c>
      <c r="AV326" s="1">
        <v>99.900323214082661</v>
      </c>
      <c r="AW326" s="1">
        <v>100</v>
      </c>
      <c r="AX326" s="1">
        <v>100</v>
      </c>
      <c r="AY326" s="1">
        <v>100</v>
      </c>
      <c r="AZ326" s="1">
        <v>100</v>
      </c>
      <c r="BA326" s="1">
        <v>100</v>
      </c>
      <c r="BB326" s="1">
        <v>100</v>
      </c>
      <c r="BC326" s="1">
        <v>100</v>
      </c>
      <c r="BD326" s="1">
        <v>100</v>
      </c>
      <c r="BE326" s="1">
        <v>100</v>
      </c>
      <c r="BF326" s="1">
        <v>100</v>
      </c>
      <c r="BG326" s="1">
        <v>100</v>
      </c>
      <c r="BH326" s="1">
        <v>100</v>
      </c>
    </row>
    <row r="327" spans="1:60" x14ac:dyDescent="0.25">
      <c r="A327">
        <v>314</v>
      </c>
      <c r="B327" s="1">
        <v>96.351099679065356</v>
      </c>
      <c r="C327" s="1">
        <v>94.353173132071191</v>
      </c>
      <c r="D327" s="1">
        <v>99.900323214082661</v>
      </c>
      <c r="E327" s="1">
        <v>113.11253589290945</v>
      </c>
      <c r="F327" s="1">
        <v>100</v>
      </c>
      <c r="G327" s="1">
        <v>101.20264176422626</v>
      </c>
      <c r="H327" s="1">
        <v>100.64757684147678</v>
      </c>
      <c r="I327" s="1">
        <v>90.647298591618593</v>
      </c>
      <c r="J327" s="1">
        <v>107.22487819123964</v>
      </c>
      <c r="K327" s="1">
        <v>106.16590636000029</v>
      </c>
      <c r="L327" s="1">
        <v>95.69663892742183</v>
      </c>
      <c r="M327" s="1">
        <v>96.715943522481638</v>
      </c>
      <c r="N327" s="1">
        <v>99.631251706469783</v>
      </c>
      <c r="O327" s="1">
        <v>93.478287852540205</v>
      </c>
      <c r="P327" s="1">
        <v>88.734458268997159</v>
      </c>
      <c r="Q327" s="1">
        <v>100</v>
      </c>
      <c r="R327" s="1">
        <v>98.539127000430625</v>
      </c>
      <c r="S327" s="1">
        <v>102.30709748699844</v>
      </c>
      <c r="T327" s="1">
        <v>99.245619894564825</v>
      </c>
      <c r="U327" s="1">
        <v>100.96372424684154</v>
      </c>
      <c r="V327" s="1">
        <v>103.03278647935737</v>
      </c>
      <c r="W327" s="1">
        <v>102.20284750979505</v>
      </c>
      <c r="X327" s="1">
        <v>98.938308797866256</v>
      </c>
      <c r="Y327" s="1">
        <v>98.053531082960347</v>
      </c>
      <c r="Z327" s="1">
        <v>87.227646170433232</v>
      </c>
      <c r="AA327" s="1">
        <v>96.697105376186386</v>
      </c>
      <c r="AB327" s="1">
        <v>87.201974729419263</v>
      </c>
      <c r="AC327" s="1">
        <v>101.78077976073585</v>
      </c>
      <c r="AD327" s="1">
        <v>113.07002987575412</v>
      </c>
      <c r="AE327" s="1">
        <v>96.352708533103993</v>
      </c>
      <c r="AF327" s="1">
        <v>106.66106577694866</v>
      </c>
      <c r="AG327" s="1">
        <v>100</v>
      </c>
      <c r="AH327" s="1">
        <v>100</v>
      </c>
      <c r="AI327" s="1">
        <v>97.291744176733616</v>
      </c>
      <c r="AJ327" s="1">
        <v>101.7607159866544</v>
      </c>
      <c r="AK327" s="1">
        <v>94.37119861086498</v>
      </c>
      <c r="AL327" s="1">
        <v>110.54646623696168</v>
      </c>
      <c r="AM327" s="1">
        <v>116.7028707921346</v>
      </c>
      <c r="AN327" s="1">
        <v>104.6537395229083</v>
      </c>
      <c r="AO327" s="1">
        <v>102.3106492684403</v>
      </c>
      <c r="AP327" s="1">
        <v>104.99704067456956</v>
      </c>
      <c r="AQ327" s="1">
        <v>93.726423769841205</v>
      </c>
      <c r="AR327" s="1">
        <v>102.41602914572604</v>
      </c>
      <c r="AS327" s="1">
        <v>99.046953672111897</v>
      </c>
      <c r="AT327" s="1">
        <v>103.45639490294819</v>
      </c>
      <c r="AU327" s="1">
        <v>92.683083360025861</v>
      </c>
      <c r="AV327" s="1">
        <v>99.900323214082661</v>
      </c>
      <c r="AW327" s="1">
        <v>100</v>
      </c>
      <c r="AX327" s="1">
        <v>100</v>
      </c>
      <c r="AY327" s="1">
        <v>100</v>
      </c>
      <c r="AZ327" s="1">
        <v>100</v>
      </c>
      <c r="BA327" s="1">
        <v>100</v>
      </c>
      <c r="BB327" s="1">
        <v>100</v>
      </c>
      <c r="BC327" s="1">
        <v>100</v>
      </c>
      <c r="BD327" s="1">
        <v>100</v>
      </c>
      <c r="BE327" s="1">
        <v>100</v>
      </c>
      <c r="BF327" s="1">
        <v>100</v>
      </c>
      <c r="BG327" s="1">
        <v>100</v>
      </c>
      <c r="BH327" s="1">
        <v>100</v>
      </c>
    </row>
    <row r="328" spans="1:60" x14ac:dyDescent="0.25">
      <c r="A328">
        <v>315</v>
      </c>
      <c r="B328" s="1">
        <v>96.351099679065356</v>
      </c>
      <c r="C328" s="1">
        <v>94.353173132071191</v>
      </c>
      <c r="D328" s="1">
        <v>99.900323214082661</v>
      </c>
      <c r="E328" s="1">
        <v>113.11253589290945</v>
      </c>
      <c r="F328" s="1">
        <v>100</v>
      </c>
      <c r="G328" s="1">
        <v>101.20264176422626</v>
      </c>
      <c r="H328" s="1">
        <v>100.64757684147678</v>
      </c>
      <c r="I328" s="1">
        <v>90.647298591618593</v>
      </c>
      <c r="J328" s="1">
        <v>107.22487819123964</v>
      </c>
      <c r="K328" s="1">
        <v>106.16590636000029</v>
      </c>
      <c r="L328" s="1">
        <v>95.69663892742183</v>
      </c>
      <c r="M328" s="1">
        <v>96.715943522481638</v>
      </c>
      <c r="N328" s="1">
        <v>99.631251706469783</v>
      </c>
      <c r="O328" s="1">
        <v>93.478287852540205</v>
      </c>
      <c r="P328" s="1">
        <v>88.734458268997159</v>
      </c>
      <c r="Q328" s="1">
        <v>100</v>
      </c>
      <c r="R328" s="1">
        <v>98.539127000430625</v>
      </c>
      <c r="S328" s="1">
        <v>102.30709748699844</v>
      </c>
      <c r="T328" s="1">
        <v>99.245619894564825</v>
      </c>
      <c r="U328" s="1">
        <v>100.96372424684154</v>
      </c>
      <c r="V328" s="1">
        <v>104.98185857173245</v>
      </c>
      <c r="W328" s="1">
        <v>102.20284750979505</v>
      </c>
      <c r="X328" s="1">
        <v>98.938308797866256</v>
      </c>
      <c r="Y328" s="1">
        <v>96.154224210919651</v>
      </c>
      <c r="Z328" s="1">
        <v>87.227646170433232</v>
      </c>
      <c r="AA328" s="1">
        <v>96.697105376186386</v>
      </c>
      <c r="AB328" s="1">
        <v>87.201974729419263</v>
      </c>
      <c r="AC328" s="1">
        <v>101.78077976073585</v>
      </c>
      <c r="AD328" s="1">
        <v>113.07002987575412</v>
      </c>
      <c r="AE328" s="1">
        <v>94.486346766878313</v>
      </c>
      <c r="AF328" s="1">
        <v>106.66106577694866</v>
      </c>
      <c r="AG328" s="1">
        <v>100</v>
      </c>
      <c r="AH328" s="1">
        <v>100</v>
      </c>
      <c r="AI328" s="1">
        <v>97.291744176733616</v>
      </c>
      <c r="AJ328" s="1">
        <v>101.7607159866544</v>
      </c>
      <c r="AK328" s="1">
        <v>94.37119861086498</v>
      </c>
      <c r="AL328" s="1">
        <v>112.36306278285299</v>
      </c>
      <c r="AM328" s="1">
        <v>116.7028707921346</v>
      </c>
      <c r="AN328" s="1">
        <v>104.6537395229083</v>
      </c>
      <c r="AO328" s="1">
        <v>102.3106492684403</v>
      </c>
      <c r="AP328" s="1">
        <v>104.99704067456956</v>
      </c>
      <c r="AQ328" s="1">
        <v>93.726423769841205</v>
      </c>
      <c r="AR328" s="1">
        <v>102.41602914572604</v>
      </c>
      <c r="AS328" s="1">
        <v>99.046953672111897</v>
      </c>
      <c r="AT328" s="1">
        <v>103.45639490294819</v>
      </c>
      <c r="AU328" s="1">
        <v>92.683083360025861</v>
      </c>
      <c r="AV328" s="1">
        <v>99.900323214082661</v>
      </c>
      <c r="AW328" s="1">
        <v>100</v>
      </c>
      <c r="AX328" s="1">
        <v>100</v>
      </c>
      <c r="AY328" s="1">
        <v>100</v>
      </c>
      <c r="AZ328" s="1">
        <v>100</v>
      </c>
      <c r="BA328" s="1">
        <v>100</v>
      </c>
      <c r="BB328" s="1">
        <v>100</v>
      </c>
      <c r="BC328" s="1">
        <v>100</v>
      </c>
      <c r="BD328" s="1">
        <v>100</v>
      </c>
      <c r="BE328" s="1">
        <v>100</v>
      </c>
      <c r="BF328" s="1">
        <v>100</v>
      </c>
      <c r="BG328" s="1">
        <v>100</v>
      </c>
      <c r="BH328" s="1">
        <v>100</v>
      </c>
    </row>
    <row r="329" spans="1:60" x14ac:dyDescent="0.25">
      <c r="A329">
        <v>316</v>
      </c>
      <c r="B329" s="1">
        <v>96.351099679065356</v>
      </c>
      <c r="C329" s="1">
        <v>94.353173132071191</v>
      </c>
      <c r="D329" s="1">
        <v>99.900323214082661</v>
      </c>
      <c r="E329" s="1">
        <v>112.18900092199613</v>
      </c>
      <c r="F329" s="1">
        <v>100</v>
      </c>
      <c r="G329" s="1">
        <v>101.20264176422626</v>
      </c>
      <c r="H329" s="1">
        <v>100.64757684147678</v>
      </c>
      <c r="I329" s="1">
        <v>90.647298591618593</v>
      </c>
      <c r="J329" s="1">
        <v>107.22487819123964</v>
      </c>
      <c r="K329" s="1">
        <v>106.16590636000029</v>
      </c>
      <c r="L329" s="1">
        <v>95.69663892742183</v>
      </c>
      <c r="M329" s="1">
        <v>96.715943522481638</v>
      </c>
      <c r="N329" s="1">
        <v>99.631251706469783</v>
      </c>
      <c r="O329" s="1">
        <v>93.478287852540205</v>
      </c>
      <c r="P329" s="1">
        <v>88.734458268997159</v>
      </c>
      <c r="Q329" s="1">
        <v>100</v>
      </c>
      <c r="R329" s="1">
        <v>98.539127000430625</v>
      </c>
      <c r="S329" s="1">
        <v>102.30709748699844</v>
      </c>
      <c r="T329" s="1">
        <v>100.10291716432296</v>
      </c>
      <c r="U329" s="1">
        <v>100.96372424684154</v>
      </c>
      <c r="V329" s="1">
        <v>104.98185857173245</v>
      </c>
      <c r="W329" s="1">
        <v>102.20284750979505</v>
      </c>
      <c r="X329" s="1">
        <v>98.938308797866256</v>
      </c>
      <c r="Y329" s="1">
        <v>96.154224210919651</v>
      </c>
      <c r="Z329" s="1">
        <v>87.227646170433232</v>
      </c>
      <c r="AA329" s="1">
        <v>96.697105376186386</v>
      </c>
      <c r="AB329" s="1">
        <v>87.201974729419263</v>
      </c>
      <c r="AC329" s="1">
        <v>101.78077976073585</v>
      </c>
      <c r="AD329" s="1">
        <v>113.07002987575412</v>
      </c>
      <c r="AE329" s="1">
        <v>94.486346766878313</v>
      </c>
      <c r="AF329" s="1">
        <v>106.66106577694866</v>
      </c>
      <c r="AG329" s="1">
        <v>100</v>
      </c>
      <c r="AH329" s="1">
        <v>100</v>
      </c>
      <c r="AI329" s="1">
        <v>97.291744176733616</v>
      </c>
      <c r="AJ329" s="1">
        <v>101.7607159866544</v>
      </c>
      <c r="AK329" s="1">
        <v>95.272776637036912</v>
      </c>
      <c r="AL329" s="1">
        <v>112.36306278285299</v>
      </c>
      <c r="AM329" s="1">
        <v>116.7028707921346</v>
      </c>
      <c r="AN329" s="1">
        <v>104.6537395229083</v>
      </c>
      <c r="AO329" s="1">
        <v>101.47530894342356</v>
      </c>
      <c r="AP329" s="1">
        <v>104.99704067456956</v>
      </c>
      <c r="AQ329" s="1">
        <v>93.726423769841205</v>
      </c>
      <c r="AR329" s="1">
        <v>102.41602914572604</v>
      </c>
      <c r="AS329" s="1">
        <v>99.046953672111897</v>
      </c>
      <c r="AT329" s="1">
        <v>103.45639490294819</v>
      </c>
      <c r="AU329" s="1">
        <v>92.683083360025861</v>
      </c>
      <c r="AV329" s="1">
        <v>99.900323214082661</v>
      </c>
      <c r="AW329" s="1">
        <v>100</v>
      </c>
      <c r="AX329" s="1">
        <v>100</v>
      </c>
      <c r="AY329" s="1">
        <v>100</v>
      </c>
      <c r="AZ329" s="1">
        <v>100</v>
      </c>
      <c r="BA329" s="1">
        <v>100</v>
      </c>
      <c r="BB329" s="1">
        <v>100</v>
      </c>
      <c r="BC329" s="1">
        <v>100</v>
      </c>
      <c r="BD329" s="1">
        <v>100</v>
      </c>
      <c r="BE329" s="1">
        <v>100</v>
      </c>
      <c r="BF329" s="1">
        <v>100</v>
      </c>
      <c r="BG329" s="1">
        <v>100</v>
      </c>
      <c r="BH329" s="1">
        <v>100</v>
      </c>
    </row>
    <row r="330" spans="1:60" x14ac:dyDescent="0.25">
      <c r="A330">
        <v>317</v>
      </c>
      <c r="B330" s="1">
        <v>96.351099679065356</v>
      </c>
      <c r="C330" s="1">
        <v>94.353173132071191</v>
      </c>
      <c r="D330" s="1">
        <v>99.900323214082661</v>
      </c>
      <c r="E330" s="1">
        <v>112.72598869474743</v>
      </c>
      <c r="F330" s="1">
        <v>100</v>
      </c>
      <c r="G330" s="1">
        <v>101.20264176422626</v>
      </c>
      <c r="H330" s="1">
        <v>100.64757684147678</v>
      </c>
      <c r="I330" s="1">
        <v>90.647298591618593</v>
      </c>
      <c r="J330" s="1">
        <v>107.22487819123964</v>
      </c>
      <c r="K330" s="1">
        <v>106.16590636000029</v>
      </c>
      <c r="L330" s="1">
        <v>95.69663892742183</v>
      </c>
      <c r="M330" s="1">
        <v>96.715943522481638</v>
      </c>
      <c r="N330" s="1">
        <v>99.631251706469783</v>
      </c>
      <c r="O330" s="1">
        <v>93.478287852540205</v>
      </c>
      <c r="P330" s="1">
        <v>88.734458268997159</v>
      </c>
      <c r="Q330" s="1">
        <v>100</v>
      </c>
      <c r="R330" s="1">
        <v>98.539127000430625</v>
      </c>
      <c r="S330" s="1">
        <v>102.30709748699844</v>
      </c>
      <c r="T330" s="1">
        <v>99.523605598016857</v>
      </c>
      <c r="U330" s="1">
        <v>100.96372424684154</v>
      </c>
      <c r="V330" s="1">
        <v>104.98185857173245</v>
      </c>
      <c r="W330" s="1">
        <v>102.20284750979505</v>
      </c>
      <c r="X330" s="1">
        <v>98.938308797866256</v>
      </c>
      <c r="Y330" s="1">
        <v>96.154224210919651</v>
      </c>
      <c r="Z330" s="1">
        <v>87.227646170433232</v>
      </c>
      <c r="AA330" s="1">
        <v>96.697105376186386</v>
      </c>
      <c r="AB330" s="1">
        <v>87.201974729419263</v>
      </c>
      <c r="AC330" s="1">
        <v>101.78077976073585</v>
      </c>
      <c r="AD330" s="1">
        <v>113.07002987575412</v>
      </c>
      <c r="AE330" s="1">
        <v>94.486346766878313</v>
      </c>
      <c r="AF330" s="1">
        <v>106.66106577694866</v>
      </c>
      <c r="AG330" s="1">
        <v>100</v>
      </c>
      <c r="AH330" s="1">
        <v>100</v>
      </c>
      <c r="AI330" s="1">
        <v>97.291744176733616</v>
      </c>
      <c r="AJ330" s="1">
        <v>101.7607159866544</v>
      </c>
      <c r="AK330" s="1">
        <v>94.721417865250757</v>
      </c>
      <c r="AL330" s="1">
        <v>112.36306278285299</v>
      </c>
      <c r="AM330" s="1">
        <v>116.7028707921346</v>
      </c>
      <c r="AN330" s="1">
        <v>104.6537395229083</v>
      </c>
      <c r="AO330" s="1">
        <v>102.06899150876451</v>
      </c>
      <c r="AP330" s="1">
        <v>104.99704067456956</v>
      </c>
      <c r="AQ330" s="1">
        <v>93.726423769841205</v>
      </c>
      <c r="AR330" s="1">
        <v>102.41602914572604</v>
      </c>
      <c r="AS330" s="1">
        <v>99.046953672111897</v>
      </c>
      <c r="AT330" s="1">
        <v>103.45639490294819</v>
      </c>
      <c r="AU330" s="1">
        <v>92.683083360025861</v>
      </c>
      <c r="AV330" s="1">
        <v>99.900323214082661</v>
      </c>
      <c r="AW330" s="1">
        <v>100</v>
      </c>
      <c r="AX330" s="1">
        <v>100</v>
      </c>
      <c r="AY330" s="1">
        <v>100</v>
      </c>
      <c r="AZ330" s="1">
        <v>100</v>
      </c>
      <c r="BA330" s="1">
        <v>100</v>
      </c>
      <c r="BB330" s="1">
        <v>100</v>
      </c>
      <c r="BC330" s="1">
        <v>100</v>
      </c>
      <c r="BD330" s="1">
        <v>100</v>
      </c>
      <c r="BE330" s="1">
        <v>100</v>
      </c>
      <c r="BF330" s="1">
        <v>100</v>
      </c>
      <c r="BG330" s="1">
        <v>100</v>
      </c>
      <c r="BH330" s="1">
        <v>100</v>
      </c>
    </row>
    <row r="331" spans="1:60" x14ac:dyDescent="0.25">
      <c r="A331">
        <v>318</v>
      </c>
      <c r="B331" s="1">
        <v>96.351099679065356</v>
      </c>
      <c r="C331" s="1">
        <v>94.353173132071191</v>
      </c>
      <c r="D331" s="1">
        <v>99.900323214082661</v>
      </c>
      <c r="E331" s="1">
        <v>112.72598869474743</v>
      </c>
      <c r="F331" s="1">
        <v>100</v>
      </c>
      <c r="G331" s="1">
        <v>101.20264176422626</v>
      </c>
      <c r="H331" s="1">
        <v>100.64757684147678</v>
      </c>
      <c r="I331" s="1">
        <v>90.647298591618593</v>
      </c>
      <c r="J331" s="1">
        <v>107.22487819123964</v>
      </c>
      <c r="K331" s="1">
        <v>106.16590636000029</v>
      </c>
      <c r="L331" s="1">
        <v>95.69663892742183</v>
      </c>
      <c r="M331" s="1">
        <v>96.715943522481638</v>
      </c>
      <c r="N331" s="1">
        <v>99.631251706469783</v>
      </c>
      <c r="O331" s="1">
        <v>93.478287852540205</v>
      </c>
      <c r="P331" s="1">
        <v>88.734458268997159</v>
      </c>
      <c r="Q331" s="1">
        <v>100</v>
      </c>
      <c r="R331" s="1">
        <v>98.539127000430625</v>
      </c>
      <c r="S331" s="1">
        <v>102.30709748699844</v>
      </c>
      <c r="T331" s="1">
        <v>101.75309330796156</v>
      </c>
      <c r="U331" s="1">
        <v>100.96372424684154</v>
      </c>
      <c r="V331" s="1">
        <v>102.66074028461232</v>
      </c>
      <c r="W331" s="1">
        <v>102.20284750979505</v>
      </c>
      <c r="X331" s="1">
        <v>98.938308797866256</v>
      </c>
      <c r="Y331" s="1">
        <v>96.154224210919651</v>
      </c>
      <c r="Z331" s="1">
        <v>87.227646170433232</v>
      </c>
      <c r="AA331" s="1">
        <v>96.697105376186386</v>
      </c>
      <c r="AB331" s="1">
        <v>87.201974729419263</v>
      </c>
      <c r="AC331" s="1">
        <v>101.78077976073585</v>
      </c>
      <c r="AD331" s="1">
        <v>113.07002987575412</v>
      </c>
      <c r="AE331" s="1">
        <v>96.834692989614737</v>
      </c>
      <c r="AF331" s="1">
        <v>106.66106577694866</v>
      </c>
      <c r="AG331" s="1">
        <v>100</v>
      </c>
      <c r="AH331" s="1">
        <v>100</v>
      </c>
      <c r="AI331" s="1">
        <v>97.291744176733616</v>
      </c>
      <c r="AJ331" s="1">
        <v>101.7607159866544</v>
      </c>
      <c r="AK331" s="1">
        <v>94.721417865250757</v>
      </c>
      <c r="AL331" s="1">
        <v>112.36306278285299</v>
      </c>
      <c r="AM331" s="1">
        <v>116.7028707921346</v>
      </c>
      <c r="AN331" s="1">
        <v>104.6537395229083</v>
      </c>
      <c r="AO331" s="1">
        <v>99.812275863203496</v>
      </c>
      <c r="AP331" s="1">
        <v>104.99704067456956</v>
      </c>
      <c r="AQ331" s="1">
        <v>93.726423769841205</v>
      </c>
      <c r="AR331" s="1">
        <v>102.41602914572604</v>
      </c>
      <c r="AS331" s="1">
        <v>99.046953672111897</v>
      </c>
      <c r="AT331" s="1">
        <v>103.45639490294819</v>
      </c>
      <c r="AU331" s="1">
        <v>92.683083360025861</v>
      </c>
      <c r="AV331" s="1">
        <v>99.900323214082661</v>
      </c>
      <c r="AW331" s="1">
        <v>100</v>
      </c>
      <c r="AX331" s="1">
        <v>100</v>
      </c>
      <c r="AY331" s="1">
        <v>100</v>
      </c>
      <c r="AZ331" s="1">
        <v>100</v>
      </c>
      <c r="BA331" s="1">
        <v>100</v>
      </c>
      <c r="BB331" s="1">
        <v>100</v>
      </c>
      <c r="BC331" s="1">
        <v>100</v>
      </c>
      <c r="BD331" s="1">
        <v>100</v>
      </c>
      <c r="BE331" s="1">
        <v>100</v>
      </c>
      <c r="BF331" s="1">
        <v>100</v>
      </c>
      <c r="BG331" s="1">
        <v>100</v>
      </c>
      <c r="BH331" s="1">
        <v>100</v>
      </c>
    </row>
    <row r="332" spans="1:60" x14ac:dyDescent="0.25">
      <c r="A332">
        <v>319</v>
      </c>
      <c r="B332" s="1">
        <v>96.351099679065356</v>
      </c>
      <c r="C332" s="1">
        <v>94.353173132071191</v>
      </c>
      <c r="D332" s="1">
        <v>99.900323214082661</v>
      </c>
      <c r="E332" s="1">
        <v>112.72598869474743</v>
      </c>
      <c r="F332" s="1">
        <v>100</v>
      </c>
      <c r="G332" s="1">
        <v>101.20264176422626</v>
      </c>
      <c r="H332" s="1">
        <v>100.64757684147678</v>
      </c>
      <c r="I332" s="1">
        <v>90.647298591618593</v>
      </c>
      <c r="J332" s="1">
        <v>107.22487819123964</v>
      </c>
      <c r="K332" s="1">
        <v>106.16590636000029</v>
      </c>
      <c r="L332" s="1">
        <v>95.69663892742183</v>
      </c>
      <c r="M332" s="1">
        <v>96.715943522481638</v>
      </c>
      <c r="N332" s="1">
        <v>99.631251706469783</v>
      </c>
      <c r="O332" s="1">
        <v>93.478287852540205</v>
      </c>
      <c r="P332" s="1">
        <v>88.734458268997159</v>
      </c>
      <c r="Q332" s="1">
        <v>100</v>
      </c>
      <c r="R332" s="1">
        <v>98.539127000430625</v>
      </c>
      <c r="S332" s="1">
        <v>102.30709748699844</v>
      </c>
      <c r="T332" s="1">
        <v>101.69474007636704</v>
      </c>
      <c r="U332" s="1">
        <v>100.96372424684154</v>
      </c>
      <c r="V332" s="1">
        <v>102.71688212330129</v>
      </c>
      <c r="W332" s="1">
        <v>102.20284750979505</v>
      </c>
      <c r="X332" s="1">
        <v>98.938308797866256</v>
      </c>
      <c r="Y332" s="1">
        <v>96.154224210919651</v>
      </c>
      <c r="Z332" s="1">
        <v>87.227646170433232</v>
      </c>
      <c r="AA332" s="1">
        <v>96.697105376186386</v>
      </c>
      <c r="AB332" s="1">
        <v>87.201974729419263</v>
      </c>
      <c r="AC332" s="1">
        <v>101.78077976073585</v>
      </c>
      <c r="AD332" s="1">
        <v>113.07002987575412</v>
      </c>
      <c r="AE332" s="1">
        <v>96.779160355837149</v>
      </c>
      <c r="AF332" s="1">
        <v>106.66106577694866</v>
      </c>
      <c r="AG332" s="1">
        <v>100</v>
      </c>
      <c r="AH332" s="1">
        <v>100</v>
      </c>
      <c r="AI332" s="1">
        <v>97.291744176733616</v>
      </c>
      <c r="AJ332" s="1">
        <v>101.7607159866544</v>
      </c>
      <c r="AK332" s="1">
        <v>94.721417865250757</v>
      </c>
      <c r="AL332" s="1">
        <v>112.36306278285299</v>
      </c>
      <c r="AM332" s="1">
        <v>116.7028707921346</v>
      </c>
      <c r="AN332" s="1">
        <v>104.6537395229083</v>
      </c>
      <c r="AO332" s="1">
        <v>99.870019889886635</v>
      </c>
      <c r="AP332" s="1">
        <v>104.99704067456956</v>
      </c>
      <c r="AQ332" s="1">
        <v>93.726423769841205</v>
      </c>
      <c r="AR332" s="1">
        <v>102.41602914572604</v>
      </c>
      <c r="AS332" s="1">
        <v>99.046953672111897</v>
      </c>
      <c r="AT332" s="1">
        <v>103.45639490294819</v>
      </c>
      <c r="AU332" s="1">
        <v>92.683083360025861</v>
      </c>
      <c r="AV332" s="1">
        <v>99.900323214082661</v>
      </c>
      <c r="AW332" s="1">
        <v>100</v>
      </c>
      <c r="AX332" s="1">
        <v>100</v>
      </c>
      <c r="AY332" s="1">
        <v>100</v>
      </c>
      <c r="AZ332" s="1">
        <v>100</v>
      </c>
      <c r="BA332" s="1">
        <v>100</v>
      </c>
      <c r="BB332" s="1">
        <v>100</v>
      </c>
      <c r="BC332" s="1">
        <v>100</v>
      </c>
      <c r="BD332" s="1">
        <v>100</v>
      </c>
      <c r="BE332" s="1">
        <v>100</v>
      </c>
      <c r="BF332" s="1">
        <v>100</v>
      </c>
      <c r="BG332" s="1">
        <v>100</v>
      </c>
      <c r="BH332" s="1">
        <v>100</v>
      </c>
    </row>
    <row r="333" spans="1:60" x14ac:dyDescent="0.25">
      <c r="A333">
        <v>320</v>
      </c>
      <c r="B333" s="1">
        <v>96.351099679065356</v>
      </c>
      <c r="C333" s="1">
        <v>94.353173132071191</v>
      </c>
      <c r="D333" s="1">
        <v>99.900323214082661</v>
      </c>
      <c r="E333" s="1">
        <v>112.72598869474743</v>
      </c>
      <c r="F333" s="1">
        <v>100</v>
      </c>
      <c r="G333" s="1">
        <v>101.20264176422626</v>
      </c>
      <c r="H333" s="1">
        <v>100.64757684147678</v>
      </c>
      <c r="I333" s="1">
        <v>90.647298591618593</v>
      </c>
      <c r="J333" s="1">
        <v>107.22487819123964</v>
      </c>
      <c r="K333" s="1">
        <v>106.16590636000029</v>
      </c>
      <c r="L333" s="1">
        <v>95.69663892742183</v>
      </c>
      <c r="M333" s="1">
        <v>96.715943522481638</v>
      </c>
      <c r="N333" s="1">
        <v>99.631251706469783</v>
      </c>
      <c r="O333" s="1">
        <v>93.478287852540205</v>
      </c>
      <c r="P333" s="1">
        <v>88.734458268997159</v>
      </c>
      <c r="Q333" s="1">
        <v>100</v>
      </c>
      <c r="R333" s="1">
        <v>98.539127000430625</v>
      </c>
      <c r="S333" s="1">
        <v>102.30709748699844</v>
      </c>
      <c r="T333" s="1">
        <v>101.69474007636704</v>
      </c>
      <c r="U333" s="1">
        <v>100.96372424684154</v>
      </c>
      <c r="V333" s="1">
        <v>102.71688212330129</v>
      </c>
      <c r="W333" s="1">
        <v>102.20284750979505</v>
      </c>
      <c r="X333" s="1">
        <v>98.938308797866256</v>
      </c>
      <c r="Y333" s="1">
        <v>96.154224210919651</v>
      </c>
      <c r="Z333" s="1">
        <v>86.86415964524889</v>
      </c>
      <c r="AA333" s="1">
        <v>96.697105376186386</v>
      </c>
      <c r="AB333" s="1">
        <v>87.201974729419263</v>
      </c>
      <c r="AC333" s="1">
        <v>101.78077976073585</v>
      </c>
      <c r="AD333" s="1">
        <v>113.07002987575412</v>
      </c>
      <c r="AE333" s="1">
        <v>97.198035298071332</v>
      </c>
      <c r="AF333" s="1">
        <v>106.66106577694866</v>
      </c>
      <c r="AG333" s="1">
        <v>100</v>
      </c>
      <c r="AH333" s="1">
        <v>100</v>
      </c>
      <c r="AI333" s="1">
        <v>97.291744176733616</v>
      </c>
      <c r="AJ333" s="1">
        <v>101.7607159866544</v>
      </c>
      <c r="AK333" s="1">
        <v>94.721417865250757</v>
      </c>
      <c r="AL333" s="1">
        <v>112.72384295562085</v>
      </c>
      <c r="AM333" s="1">
        <v>116.7028707921346</v>
      </c>
      <c r="AN333" s="1">
        <v>104.6537395229083</v>
      </c>
      <c r="AO333" s="1">
        <v>99.453851300068933</v>
      </c>
      <c r="AP333" s="1">
        <v>104.99704067456956</v>
      </c>
      <c r="AQ333" s="1">
        <v>93.726423769841205</v>
      </c>
      <c r="AR333" s="1">
        <v>102.41602914572604</v>
      </c>
      <c r="AS333" s="1">
        <v>99.046953672111897</v>
      </c>
      <c r="AT333" s="1">
        <v>103.45639490294819</v>
      </c>
      <c r="AU333" s="1">
        <v>92.683083360025861</v>
      </c>
      <c r="AV333" s="1">
        <v>99.900323214082661</v>
      </c>
      <c r="AW333" s="1">
        <v>100</v>
      </c>
      <c r="AX333" s="1">
        <v>100</v>
      </c>
      <c r="AY333" s="1">
        <v>100</v>
      </c>
      <c r="AZ333" s="1">
        <v>100</v>
      </c>
      <c r="BA333" s="1">
        <v>100</v>
      </c>
      <c r="BB333" s="1">
        <v>100</v>
      </c>
      <c r="BC333" s="1">
        <v>100</v>
      </c>
      <c r="BD333" s="1">
        <v>100</v>
      </c>
      <c r="BE333" s="1">
        <v>100</v>
      </c>
      <c r="BF333" s="1">
        <v>100</v>
      </c>
      <c r="BG333" s="1">
        <v>100</v>
      </c>
      <c r="BH333" s="1">
        <v>100</v>
      </c>
    </row>
    <row r="334" spans="1:60" x14ac:dyDescent="0.25">
      <c r="A334">
        <v>321</v>
      </c>
      <c r="B334" s="1">
        <v>96.351099679065356</v>
      </c>
      <c r="C334" s="1">
        <v>94.353173132071191</v>
      </c>
      <c r="D334" s="1">
        <v>99.900323214082661</v>
      </c>
      <c r="E334" s="1">
        <v>112.72598869474743</v>
      </c>
      <c r="F334" s="1">
        <v>100</v>
      </c>
      <c r="G334" s="1">
        <v>101.20264176422626</v>
      </c>
      <c r="H334" s="1">
        <v>100.64757684147678</v>
      </c>
      <c r="I334" s="1">
        <v>90.647298591618593</v>
      </c>
      <c r="J334" s="1">
        <v>107.22487819123964</v>
      </c>
      <c r="K334" s="1">
        <v>106.16590636000029</v>
      </c>
      <c r="L334" s="1">
        <v>95.69663892742183</v>
      </c>
      <c r="M334" s="1">
        <v>96.715943522481638</v>
      </c>
      <c r="N334" s="1">
        <v>99.631251706469783</v>
      </c>
      <c r="O334" s="1">
        <v>93.478287852540205</v>
      </c>
      <c r="P334" s="1">
        <v>88.734458268997159</v>
      </c>
      <c r="Q334" s="1">
        <v>100</v>
      </c>
      <c r="R334" s="1">
        <v>98.539127000430625</v>
      </c>
      <c r="S334" s="1">
        <v>102.30709748699844</v>
      </c>
      <c r="T334" s="1">
        <v>101.69474007636704</v>
      </c>
      <c r="U334" s="1">
        <v>100.96372424684154</v>
      </c>
      <c r="V334" s="1">
        <v>102.71688212330129</v>
      </c>
      <c r="W334" s="1">
        <v>102.20284750979505</v>
      </c>
      <c r="X334" s="1">
        <v>98.938308797866256</v>
      </c>
      <c r="Y334" s="1">
        <v>96.154224210919651</v>
      </c>
      <c r="Z334" s="1">
        <v>88.485885661512228</v>
      </c>
      <c r="AA334" s="1">
        <v>96.697105376186386</v>
      </c>
      <c r="AB334" s="1">
        <v>87.201974729419263</v>
      </c>
      <c r="AC334" s="1">
        <v>101.78077976073585</v>
      </c>
      <c r="AD334" s="1">
        <v>113.07002987575412</v>
      </c>
      <c r="AE334" s="1">
        <v>95.791306104510397</v>
      </c>
      <c r="AF334" s="1">
        <v>106.66106577694866</v>
      </c>
      <c r="AG334" s="1">
        <v>100</v>
      </c>
      <c r="AH334" s="1">
        <v>100</v>
      </c>
      <c r="AI334" s="1">
        <v>97.291744176733616</v>
      </c>
      <c r="AJ334" s="1">
        <v>101.7607159866544</v>
      </c>
      <c r="AK334" s="1">
        <v>94.721417865250757</v>
      </c>
      <c r="AL334" s="1">
        <v>111.09241161845682</v>
      </c>
      <c r="AM334" s="1">
        <v>116.7028707921346</v>
      </c>
      <c r="AN334" s="1">
        <v>104.6537395229083</v>
      </c>
      <c r="AO334" s="1">
        <v>100.87028581453056</v>
      </c>
      <c r="AP334" s="1">
        <v>104.99704067456956</v>
      </c>
      <c r="AQ334" s="1">
        <v>93.726423769841205</v>
      </c>
      <c r="AR334" s="1">
        <v>102.41602914572604</v>
      </c>
      <c r="AS334" s="1">
        <v>99.046953672111897</v>
      </c>
      <c r="AT334" s="1">
        <v>103.45639490294819</v>
      </c>
      <c r="AU334" s="1">
        <v>92.683083360025861</v>
      </c>
      <c r="AV334" s="1">
        <v>99.900323214082661</v>
      </c>
      <c r="AW334" s="1">
        <v>100</v>
      </c>
      <c r="AX334" s="1">
        <v>100</v>
      </c>
      <c r="AY334" s="1">
        <v>100</v>
      </c>
      <c r="AZ334" s="1">
        <v>100</v>
      </c>
      <c r="BA334" s="1">
        <v>100</v>
      </c>
      <c r="BB334" s="1">
        <v>100</v>
      </c>
      <c r="BC334" s="1">
        <v>100</v>
      </c>
      <c r="BD334" s="1">
        <v>100</v>
      </c>
      <c r="BE334" s="1">
        <v>100</v>
      </c>
      <c r="BF334" s="1">
        <v>100</v>
      </c>
      <c r="BG334" s="1">
        <v>100</v>
      </c>
      <c r="BH334" s="1">
        <v>100</v>
      </c>
    </row>
    <row r="335" spans="1:60" x14ac:dyDescent="0.25">
      <c r="A335">
        <v>322</v>
      </c>
      <c r="B335" s="1">
        <v>95.739392058402345</v>
      </c>
      <c r="C335" s="1">
        <v>94.353173132071191</v>
      </c>
      <c r="D335" s="1">
        <v>99.900323214082661</v>
      </c>
      <c r="E335" s="1">
        <v>113.28326355801664</v>
      </c>
      <c r="F335" s="1">
        <v>100</v>
      </c>
      <c r="G335" s="1">
        <v>101.20264176422626</v>
      </c>
      <c r="H335" s="1">
        <v>100.64757684147678</v>
      </c>
      <c r="I335" s="1">
        <v>90.647298591618593</v>
      </c>
      <c r="J335" s="1">
        <v>107.22487819123964</v>
      </c>
      <c r="K335" s="1">
        <v>106.16590636000029</v>
      </c>
      <c r="L335" s="1">
        <v>95.69663892742183</v>
      </c>
      <c r="M335" s="1">
        <v>96.715943522481638</v>
      </c>
      <c r="N335" s="1">
        <v>99.631251706469783</v>
      </c>
      <c r="O335" s="1">
        <v>93.478287852540205</v>
      </c>
      <c r="P335" s="1">
        <v>88.734458268997159</v>
      </c>
      <c r="Q335" s="1">
        <v>100</v>
      </c>
      <c r="R335" s="1">
        <v>98.539127000430625</v>
      </c>
      <c r="S335" s="1">
        <v>102.30709748699844</v>
      </c>
      <c r="T335" s="1">
        <v>101.69474007636704</v>
      </c>
      <c r="U335" s="1">
        <v>100.96372424684154</v>
      </c>
      <c r="V335" s="1">
        <v>102.71688212330129</v>
      </c>
      <c r="W335" s="1">
        <v>102.20284750979505</v>
      </c>
      <c r="X335" s="1">
        <v>98.938308797866256</v>
      </c>
      <c r="Y335" s="1">
        <v>96.154224210919651</v>
      </c>
      <c r="Z335" s="1">
        <v>88.485885661512228</v>
      </c>
      <c r="AA335" s="1">
        <v>96.697105376186386</v>
      </c>
      <c r="AB335" s="1">
        <v>87.201974729419263</v>
      </c>
      <c r="AC335" s="1">
        <v>101.78077976073585</v>
      </c>
      <c r="AD335" s="1">
        <v>113.07002987575412</v>
      </c>
      <c r="AE335" s="1">
        <v>96.447100064227527</v>
      </c>
      <c r="AF335" s="1">
        <v>106.66106577694866</v>
      </c>
      <c r="AG335" s="1">
        <v>100</v>
      </c>
      <c r="AH335" s="1">
        <v>100</v>
      </c>
      <c r="AI335" s="1">
        <v>97.291744176733616</v>
      </c>
      <c r="AJ335" s="1">
        <v>101.7607159866544</v>
      </c>
      <c r="AK335" s="1">
        <v>94.120056662927411</v>
      </c>
      <c r="AL335" s="1">
        <v>111.09241161845682</v>
      </c>
      <c r="AM335" s="1">
        <v>116.7028707921346</v>
      </c>
      <c r="AN335" s="1">
        <v>104.6537395229083</v>
      </c>
      <c r="AO335" s="1">
        <v>100.87028581453056</v>
      </c>
      <c r="AP335" s="1">
        <v>104.99704067456956</v>
      </c>
      <c r="AQ335" s="1">
        <v>93.726423769841205</v>
      </c>
      <c r="AR335" s="1">
        <v>102.41602914572604</v>
      </c>
      <c r="AS335" s="1">
        <v>99.046953672111897</v>
      </c>
      <c r="AT335" s="1">
        <v>103.45639490294819</v>
      </c>
      <c r="AU335" s="1">
        <v>92.683083360025861</v>
      </c>
      <c r="AV335" s="1">
        <v>99.900323214082661</v>
      </c>
      <c r="AW335" s="1">
        <v>100</v>
      </c>
      <c r="AX335" s="1">
        <v>100</v>
      </c>
      <c r="AY335" s="1">
        <v>100</v>
      </c>
      <c r="AZ335" s="1">
        <v>100</v>
      </c>
      <c r="BA335" s="1">
        <v>100</v>
      </c>
      <c r="BB335" s="1">
        <v>100</v>
      </c>
      <c r="BC335" s="1">
        <v>100</v>
      </c>
      <c r="BD335" s="1">
        <v>100</v>
      </c>
      <c r="BE335" s="1">
        <v>100</v>
      </c>
      <c r="BF335" s="1">
        <v>100</v>
      </c>
      <c r="BG335" s="1">
        <v>100</v>
      </c>
      <c r="BH335" s="1">
        <v>100</v>
      </c>
    </row>
    <row r="336" spans="1:60" x14ac:dyDescent="0.25">
      <c r="A336">
        <v>323</v>
      </c>
      <c r="B336" s="1">
        <v>94.639038831878608</v>
      </c>
      <c r="C336" s="1">
        <v>94.353173132071191</v>
      </c>
      <c r="D336" s="1">
        <v>99.900323214082661</v>
      </c>
      <c r="E336" s="1">
        <v>114.28672695508452</v>
      </c>
      <c r="F336" s="1">
        <v>100</v>
      </c>
      <c r="G336" s="1">
        <v>101.20264176422626</v>
      </c>
      <c r="H336" s="1">
        <v>100.64757684147678</v>
      </c>
      <c r="I336" s="1">
        <v>90.647298591618593</v>
      </c>
      <c r="J336" s="1">
        <v>107.22487819123964</v>
      </c>
      <c r="K336" s="1">
        <v>106.16590636000029</v>
      </c>
      <c r="L336" s="1">
        <v>95.69663892742183</v>
      </c>
      <c r="M336" s="1">
        <v>96.715943522481638</v>
      </c>
      <c r="N336" s="1">
        <v>99.631251706469783</v>
      </c>
      <c r="O336" s="1">
        <v>93.478287852540205</v>
      </c>
      <c r="P336" s="1">
        <v>88.734458268997159</v>
      </c>
      <c r="Q336" s="1">
        <v>100</v>
      </c>
      <c r="R336" s="1">
        <v>98.539127000430625</v>
      </c>
      <c r="S336" s="1">
        <v>102.30709748699844</v>
      </c>
      <c r="T336" s="1">
        <v>101.69474007636704</v>
      </c>
      <c r="U336" s="1">
        <v>100.96372424684154</v>
      </c>
      <c r="V336" s="1">
        <v>102.71688212330129</v>
      </c>
      <c r="W336" s="1">
        <v>102.20284750979505</v>
      </c>
      <c r="X336" s="1">
        <v>98.938308797866256</v>
      </c>
      <c r="Y336" s="1">
        <v>96.154224210919651</v>
      </c>
      <c r="Z336" s="1">
        <v>88.485885661512228</v>
      </c>
      <c r="AA336" s="1">
        <v>96.697105376186386</v>
      </c>
      <c r="AB336" s="1">
        <v>87.201974729419263</v>
      </c>
      <c r="AC336" s="1">
        <v>101.78077976073585</v>
      </c>
      <c r="AD336" s="1">
        <v>113.07002987575412</v>
      </c>
      <c r="AE336" s="1">
        <v>97.625731753569781</v>
      </c>
      <c r="AF336" s="1">
        <v>106.66106577694866</v>
      </c>
      <c r="AG336" s="1">
        <v>100</v>
      </c>
      <c r="AH336" s="1">
        <v>100</v>
      </c>
      <c r="AI336" s="1">
        <v>97.291744176733616</v>
      </c>
      <c r="AJ336" s="1">
        <v>101.7607159866544</v>
      </c>
      <c r="AK336" s="1">
        <v>93.038314803041018</v>
      </c>
      <c r="AL336" s="1">
        <v>111.09241161845682</v>
      </c>
      <c r="AM336" s="1">
        <v>116.7028707921346</v>
      </c>
      <c r="AN336" s="1">
        <v>104.6537395229083</v>
      </c>
      <c r="AO336" s="1">
        <v>100.87028581453056</v>
      </c>
      <c r="AP336" s="1">
        <v>104.99704067456956</v>
      </c>
      <c r="AQ336" s="1">
        <v>93.726423769841205</v>
      </c>
      <c r="AR336" s="1">
        <v>102.41602914572604</v>
      </c>
      <c r="AS336" s="1">
        <v>99.046953672111897</v>
      </c>
      <c r="AT336" s="1">
        <v>103.45639490294819</v>
      </c>
      <c r="AU336" s="1">
        <v>92.683083360025861</v>
      </c>
      <c r="AV336" s="1">
        <v>99.900323214082661</v>
      </c>
      <c r="AW336" s="1">
        <v>100</v>
      </c>
      <c r="AX336" s="1">
        <v>100</v>
      </c>
      <c r="AY336" s="1">
        <v>100</v>
      </c>
      <c r="AZ336" s="1">
        <v>100</v>
      </c>
      <c r="BA336" s="1">
        <v>100</v>
      </c>
      <c r="BB336" s="1">
        <v>100</v>
      </c>
      <c r="BC336" s="1">
        <v>100</v>
      </c>
      <c r="BD336" s="1">
        <v>100</v>
      </c>
      <c r="BE336" s="1">
        <v>100</v>
      </c>
      <c r="BF336" s="1">
        <v>100</v>
      </c>
      <c r="BG336" s="1">
        <v>100</v>
      </c>
      <c r="BH336" s="1">
        <v>100</v>
      </c>
    </row>
    <row r="337" spans="1:60" x14ac:dyDescent="0.25">
      <c r="A337">
        <v>324</v>
      </c>
      <c r="B337" s="1">
        <v>94.639038831878608</v>
      </c>
      <c r="C337" s="1">
        <v>94.353173132071191</v>
      </c>
      <c r="D337" s="1">
        <v>99.900323214082661</v>
      </c>
      <c r="E337" s="1">
        <v>119.03274123511106</v>
      </c>
      <c r="F337" s="1">
        <v>100</v>
      </c>
      <c r="G337" s="1">
        <v>101.20264176422626</v>
      </c>
      <c r="H337" s="1">
        <v>100.64757684147678</v>
      </c>
      <c r="I337" s="1">
        <v>90.647298591618593</v>
      </c>
      <c r="J337" s="1">
        <v>107.22487819123964</v>
      </c>
      <c r="K337" s="1">
        <v>106.16590636000029</v>
      </c>
      <c r="L337" s="1">
        <v>95.69663892742183</v>
      </c>
      <c r="M337" s="1">
        <v>96.715943522481638</v>
      </c>
      <c r="N337" s="1">
        <v>99.631251706469783</v>
      </c>
      <c r="O337" s="1">
        <v>93.478287852540205</v>
      </c>
      <c r="P337" s="1">
        <v>88.734458268997159</v>
      </c>
      <c r="Q337" s="1">
        <v>100</v>
      </c>
      <c r="R337" s="1">
        <v>98.539127000430625</v>
      </c>
      <c r="S337" s="1">
        <v>102.30709748699844</v>
      </c>
      <c r="T337" s="1">
        <v>101.69474007636704</v>
      </c>
      <c r="U337" s="1">
        <v>100.96372424684154</v>
      </c>
      <c r="V337" s="1">
        <v>97.726817409704168</v>
      </c>
      <c r="W337" s="1">
        <v>102.20284750979505</v>
      </c>
      <c r="X337" s="1">
        <v>98.938308797866256</v>
      </c>
      <c r="Y337" s="1">
        <v>101.79522898837516</v>
      </c>
      <c r="Z337" s="1">
        <v>88.485885661512228</v>
      </c>
      <c r="AA337" s="1">
        <v>96.697105376186386</v>
      </c>
      <c r="AB337" s="1">
        <v>87.201974729419263</v>
      </c>
      <c r="AC337" s="1">
        <v>101.78077976073585</v>
      </c>
      <c r="AD337" s="1">
        <v>113.07002987575412</v>
      </c>
      <c r="AE337" s="1">
        <v>97.625731753569781</v>
      </c>
      <c r="AF337" s="1">
        <v>106.66106577694866</v>
      </c>
      <c r="AG337" s="1">
        <v>100</v>
      </c>
      <c r="AH337" s="1">
        <v>100</v>
      </c>
      <c r="AI337" s="1">
        <v>97.291744176733616</v>
      </c>
      <c r="AJ337" s="1">
        <v>101.7607159866544</v>
      </c>
      <c r="AK337" s="1">
        <v>93.038314803041018</v>
      </c>
      <c r="AL337" s="1">
        <v>105.69545727457188</v>
      </c>
      <c r="AM337" s="1">
        <v>116.7028707921346</v>
      </c>
      <c r="AN337" s="1">
        <v>104.6537395229083</v>
      </c>
      <c r="AO337" s="1">
        <v>100.87028581453056</v>
      </c>
      <c r="AP337" s="1">
        <v>104.99704067456956</v>
      </c>
      <c r="AQ337" s="1">
        <v>93.726423769841205</v>
      </c>
      <c r="AR337" s="1">
        <v>102.41602914572604</v>
      </c>
      <c r="AS337" s="1">
        <v>99.046953672111897</v>
      </c>
      <c r="AT337" s="1">
        <v>103.45639490294819</v>
      </c>
      <c r="AU337" s="1">
        <v>92.683083360025861</v>
      </c>
      <c r="AV337" s="1">
        <v>99.900323214082661</v>
      </c>
      <c r="AW337" s="1">
        <v>100</v>
      </c>
      <c r="AX337" s="1">
        <v>100</v>
      </c>
      <c r="AY337" s="1">
        <v>100</v>
      </c>
      <c r="AZ337" s="1">
        <v>100</v>
      </c>
      <c r="BA337" s="1">
        <v>100</v>
      </c>
      <c r="BB337" s="1">
        <v>100</v>
      </c>
      <c r="BC337" s="1">
        <v>100</v>
      </c>
      <c r="BD337" s="1">
        <v>100</v>
      </c>
      <c r="BE337" s="1">
        <v>100</v>
      </c>
      <c r="BF337" s="1">
        <v>100</v>
      </c>
      <c r="BG337" s="1">
        <v>100</v>
      </c>
      <c r="BH337" s="1">
        <v>100</v>
      </c>
    </row>
    <row r="338" spans="1:60" x14ac:dyDescent="0.25">
      <c r="A338">
        <v>325</v>
      </c>
      <c r="B338" s="1">
        <v>94.639038831878608</v>
      </c>
      <c r="C338" s="1">
        <v>94.353173132071191</v>
      </c>
      <c r="D338" s="1">
        <v>99.900323214082661</v>
      </c>
      <c r="E338" s="1">
        <v>117.7050663726607</v>
      </c>
      <c r="F338" s="1">
        <v>100</v>
      </c>
      <c r="G338" s="1">
        <v>101.20264176422626</v>
      </c>
      <c r="H338" s="1">
        <v>100.64757684147678</v>
      </c>
      <c r="I338" s="1">
        <v>90.647298591618593</v>
      </c>
      <c r="J338" s="1">
        <v>107.22487819123964</v>
      </c>
      <c r="K338" s="1">
        <v>106.16590636000029</v>
      </c>
      <c r="L338" s="1">
        <v>95.69663892742183</v>
      </c>
      <c r="M338" s="1">
        <v>96.715943522481638</v>
      </c>
      <c r="N338" s="1">
        <v>99.631251706469783</v>
      </c>
      <c r="O338" s="1">
        <v>93.478287852540205</v>
      </c>
      <c r="P338" s="1">
        <v>88.734458268997159</v>
      </c>
      <c r="Q338" s="1">
        <v>100</v>
      </c>
      <c r="R338" s="1">
        <v>98.539127000430625</v>
      </c>
      <c r="S338" s="1">
        <v>102.30709748699844</v>
      </c>
      <c r="T338" s="1">
        <v>101.69474007636704</v>
      </c>
      <c r="U338" s="1">
        <v>100.96372424684154</v>
      </c>
      <c r="V338" s="1">
        <v>99.006602934427264</v>
      </c>
      <c r="W338" s="1">
        <v>102.20284750979505</v>
      </c>
      <c r="X338" s="1">
        <v>98.938308797866256</v>
      </c>
      <c r="Y338" s="1">
        <v>100.65981897224945</v>
      </c>
      <c r="Z338" s="1">
        <v>88.485885661512228</v>
      </c>
      <c r="AA338" s="1">
        <v>96.697105376186386</v>
      </c>
      <c r="AB338" s="1">
        <v>87.201974729419263</v>
      </c>
      <c r="AC338" s="1">
        <v>101.78077976073585</v>
      </c>
      <c r="AD338" s="1">
        <v>113.07002987575412</v>
      </c>
      <c r="AE338" s="1">
        <v>97.625731753569781</v>
      </c>
      <c r="AF338" s="1">
        <v>106.66106577694866</v>
      </c>
      <c r="AG338" s="1">
        <v>100</v>
      </c>
      <c r="AH338" s="1">
        <v>100</v>
      </c>
      <c r="AI338" s="1">
        <v>97.291744176733616</v>
      </c>
      <c r="AJ338" s="1">
        <v>101.7607159866544</v>
      </c>
      <c r="AK338" s="1">
        <v>93.038314803041018</v>
      </c>
      <c r="AL338" s="1">
        <v>106.87875662842485</v>
      </c>
      <c r="AM338" s="1">
        <v>116.7028707921346</v>
      </c>
      <c r="AN338" s="1">
        <v>104.6537395229083</v>
      </c>
      <c r="AO338" s="1">
        <v>100.87028581453056</v>
      </c>
      <c r="AP338" s="1">
        <v>104.99704067456956</v>
      </c>
      <c r="AQ338" s="1">
        <v>93.726423769841205</v>
      </c>
      <c r="AR338" s="1">
        <v>102.41602914572604</v>
      </c>
      <c r="AS338" s="1">
        <v>99.046953672111897</v>
      </c>
      <c r="AT338" s="1">
        <v>103.45639490294819</v>
      </c>
      <c r="AU338" s="1">
        <v>92.683083360025861</v>
      </c>
      <c r="AV338" s="1">
        <v>99.900323214082661</v>
      </c>
      <c r="AW338" s="1">
        <v>100</v>
      </c>
      <c r="AX338" s="1">
        <v>100</v>
      </c>
      <c r="AY338" s="1">
        <v>100</v>
      </c>
      <c r="AZ338" s="1">
        <v>100</v>
      </c>
      <c r="BA338" s="1">
        <v>100</v>
      </c>
      <c r="BB338" s="1">
        <v>100</v>
      </c>
      <c r="BC338" s="1">
        <v>100</v>
      </c>
      <c r="BD338" s="1">
        <v>100</v>
      </c>
      <c r="BE338" s="1">
        <v>100</v>
      </c>
      <c r="BF338" s="1">
        <v>100</v>
      </c>
      <c r="BG338" s="1">
        <v>100</v>
      </c>
      <c r="BH338" s="1">
        <v>100</v>
      </c>
    </row>
    <row r="339" spans="1:60" x14ac:dyDescent="0.25">
      <c r="A339">
        <v>326</v>
      </c>
      <c r="B339" s="1">
        <v>94.639038831878608</v>
      </c>
      <c r="C339" s="1">
        <v>94.353173132071191</v>
      </c>
      <c r="D339" s="1">
        <v>99.900323214082661</v>
      </c>
      <c r="E339" s="1">
        <v>117.7050663726607</v>
      </c>
      <c r="F339" s="1">
        <v>100</v>
      </c>
      <c r="G339" s="1">
        <v>101.20264176422626</v>
      </c>
      <c r="H339" s="1">
        <v>100.64757684147678</v>
      </c>
      <c r="I339" s="1">
        <v>90.647298591618593</v>
      </c>
      <c r="J339" s="1">
        <v>107.22487819123964</v>
      </c>
      <c r="K339" s="1">
        <v>106.16590636000029</v>
      </c>
      <c r="L339" s="1">
        <v>95.69663892742183</v>
      </c>
      <c r="M339" s="1">
        <v>96.715943522481638</v>
      </c>
      <c r="N339" s="1">
        <v>99.631251706469783</v>
      </c>
      <c r="O339" s="1">
        <v>93.478287852540205</v>
      </c>
      <c r="P339" s="1">
        <v>88.734458268997159</v>
      </c>
      <c r="Q339" s="1">
        <v>100</v>
      </c>
      <c r="R339" s="1">
        <v>98.539127000430625</v>
      </c>
      <c r="S339" s="1">
        <v>102.30709748699844</v>
      </c>
      <c r="T339" s="1">
        <v>103.53906014084691</v>
      </c>
      <c r="U339" s="1">
        <v>100.96372424684154</v>
      </c>
      <c r="V339" s="1">
        <v>99.006602934427264</v>
      </c>
      <c r="W339" s="1">
        <v>102.20284750979505</v>
      </c>
      <c r="X339" s="1">
        <v>98.938308797866256</v>
      </c>
      <c r="Y339" s="1">
        <v>100.65981897224945</v>
      </c>
      <c r="Z339" s="1">
        <v>88.485885661512228</v>
      </c>
      <c r="AA339" s="1">
        <v>96.697105376186386</v>
      </c>
      <c r="AB339" s="1">
        <v>85.476486028384656</v>
      </c>
      <c r="AC339" s="1">
        <v>101.78077976073585</v>
      </c>
      <c r="AD339" s="1">
        <v>113.07002987575412</v>
      </c>
      <c r="AE339" s="1">
        <v>95.693985395832897</v>
      </c>
      <c r="AF339" s="1">
        <v>106.66106577694866</v>
      </c>
      <c r="AG339" s="1">
        <v>100</v>
      </c>
      <c r="AH339" s="1">
        <v>100</v>
      </c>
      <c r="AI339" s="1">
        <v>97.291744176733616</v>
      </c>
      <c r="AJ339" s="1">
        <v>101.7607159866544</v>
      </c>
      <c r="AK339" s="1">
        <v>93.038314803041018</v>
      </c>
      <c r="AL339" s="1">
        <v>106.87875662842485</v>
      </c>
      <c r="AM339" s="1">
        <v>116.7028707921346</v>
      </c>
      <c r="AN339" s="1">
        <v>104.6537395229083</v>
      </c>
      <c r="AO339" s="1">
        <v>100.87028581453056</v>
      </c>
      <c r="AP339" s="1">
        <v>104.99704067456956</v>
      </c>
      <c r="AQ339" s="1">
        <v>93.726423769841205</v>
      </c>
      <c r="AR339" s="1">
        <v>102.41602914572604</v>
      </c>
      <c r="AS339" s="1">
        <v>99.046953672111897</v>
      </c>
      <c r="AT339" s="1">
        <v>105.26930989723981</v>
      </c>
      <c r="AU339" s="1">
        <v>92.683083360025861</v>
      </c>
      <c r="AV339" s="1">
        <v>99.900323214082661</v>
      </c>
      <c r="AW339" s="1">
        <v>100</v>
      </c>
      <c r="AX339" s="1">
        <v>100</v>
      </c>
      <c r="AY339" s="1">
        <v>100</v>
      </c>
      <c r="AZ339" s="1">
        <v>100</v>
      </c>
      <c r="BA339" s="1">
        <v>100</v>
      </c>
      <c r="BB339" s="1">
        <v>100</v>
      </c>
      <c r="BC339" s="1">
        <v>100</v>
      </c>
      <c r="BD339" s="1">
        <v>100</v>
      </c>
      <c r="BE339" s="1">
        <v>100</v>
      </c>
      <c r="BF339" s="1">
        <v>100</v>
      </c>
      <c r="BG339" s="1">
        <v>100</v>
      </c>
      <c r="BH339" s="1">
        <v>100</v>
      </c>
    </row>
    <row r="340" spans="1:60" x14ac:dyDescent="0.25">
      <c r="A340">
        <v>327</v>
      </c>
      <c r="B340" s="1">
        <v>94.639038831878608</v>
      </c>
      <c r="C340" s="1">
        <v>94.353173132071191</v>
      </c>
      <c r="D340" s="1">
        <v>99.900323214082661</v>
      </c>
      <c r="E340" s="1">
        <v>117.7050663726607</v>
      </c>
      <c r="F340" s="1">
        <v>100</v>
      </c>
      <c r="G340" s="1">
        <v>101.20264176422626</v>
      </c>
      <c r="H340" s="1">
        <v>100.64757684147678</v>
      </c>
      <c r="I340" s="1">
        <v>90.647298591618593</v>
      </c>
      <c r="J340" s="1">
        <v>107.22487819123964</v>
      </c>
      <c r="K340" s="1">
        <v>106.16590636000029</v>
      </c>
      <c r="L340" s="1">
        <v>95.69663892742183</v>
      </c>
      <c r="M340" s="1">
        <v>96.715943522481638</v>
      </c>
      <c r="N340" s="1">
        <v>99.631251706469783</v>
      </c>
      <c r="O340" s="1">
        <v>93.478287852540205</v>
      </c>
      <c r="P340" s="1">
        <v>88.734458268997159</v>
      </c>
      <c r="Q340" s="1">
        <v>100</v>
      </c>
      <c r="R340" s="1">
        <v>98.539127000430625</v>
      </c>
      <c r="S340" s="1">
        <v>102.30709748699844</v>
      </c>
      <c r="T340" s="1">
        <v>103.69425080501001</v>
      </c>
      <c r="U340" s="1">
        <v>100.96372424684154</v>
      </c>
      <c r="V340" s="1">
        <v>99.006602934427264</v>
      </c>
      <c r="W340" s="1">
        <v>102.20284750979505</v>
      </c>
      <c r="X340" s="1">
        <v>98.938308797866256</v>
      </c>
      <c r="Y340" s="1">
        <v>100.65981897224945</v>
      </c>
      <c r="Z340" s="1">
        <v>88.485885661512228</v>
      </c>
      <c r="AA340" s="1">
        <v>96.697105376186386</v>
      </c>
      <c r="AB340" s="1">
        <v>85.33125113689097</v>
      </c>
      <c r="AC340" s="1">
        <v>101.78077976073585</v>
      </c>
      <c r="AD340" s="1">
        <v>113.07002987575412</v>
      </c>
      <c r="AE340" s="1">
        <v>95.531389736706871</v>
      </c>
      <c r="AF340" s="1">
        <v>106.66106577694866</v>
      </c>
      <c r="AG340" s="1">
        <v>100</v>
      </c>
      <c r="AH340" s="1">
        <v>100</v>
      </c>
      <c r="AI340" s="1">
        <v>97.291744176733616</v>
      </c>
      <c r="AJ340" s="1">
        <v>101.7607159866544</v>
      </c>
      <c r="AK340" s="1">
        <v>93.038314803041018</v>
      </c>
      <c r="AL340" s="1">
        <v>106.87875662842485</v>
      </c>
      <c r="AM340" s="1">
        <v>116.7028707921346</v>
      </c>
      <c r="AN340" s="1">
        <v>104.6537395229083</v>
      </c>
      <c r="AO340" s="1">
        <v>100.87028581453056</v>
      </c>
      <c r="AP340" s="1">
        <v>104.99704067456956</v>
      </c>
      <c r="AQ340" s="1">
        <v>93.726423769841205</v>
      </c>
      <c r="AR340" s="1">
        <v>102.41602914572604</v>
      </c>
      <c r="AS340" s="1">
        <v>99.046953672111897</v>
      </c>
      <c r="AT340" s="1">
        <v>105.42194978369642</v>
      </c>
      <c r="AU340" s="1">
        <v>92.683083360025861</v>
      </c>
      <c r="AV340" s="1">
        <v>99.900323214082661</v>
      </c>
      <c r="AW340" s="1">
        <v>100</v>
      </c>
      <c r="AX340" s="1">
        <v>100</v>
      </c>
      <c r="AY340" s="1">
        <v>100</v>
      </c>
      <c r="AZ340" s="1">
        <v>100</v>
      </c>
      <c r="BA340" s="1">
        <v>100</v>
      </c>
      <c r="BB340" s="1">
        <v>100</v>
      </c>
      <c r="BC340" s="1">
        <v>100</v>
      </c>
      <c r="BD340" s="1">
        <v>100</v>
      </c>
      <c r="BE340" s="1">
        <v>100</v>
      </c>
      <c r="BF340" s="1">
        <v>100</v>
      </c>
      <c r="BG340" s="1">
        <v>100</v>
      </c>
      <c r="BH340" s="1">
        <v>100</v>
      </c>
    </row>
    <row r="341" spans="1:60" x14ac:dyDescent="0.25">
      <c r="A341">
        <v>328</v>
      </c>
      <c r="B341" s="1">
        <v>94.639038831878608</v>
      </c>
      <c r="C341" s="1">
        <v>94.353173132071191</v>
      </c>
      <c r="D341" s="1">
        <v>99.900323214082661</v>
      </c>
      <c r="E341" s="1">
        <v>116.94012612009118</v>
      </c>
      <c r="F341" s="1">
        <v>100</v>
      </c>
      <c r="G341" s="1">
        <v>101.20264176422626</v>
      </c>
      <c r="H341" s="1">
        <v>100.64757684147678</v>
      </c>
      <c r="I341" s="1">
        <v>90.647298591618593</v>
      </c>
      <c r="J341" s="1">
        <v>107.22487819123964</v>
      </c>
      <c r="K341" s="1">
        <v>106.16590636000029</v>
      </c>
      <c r="L341" s="1">
        <v>95.69663892742183</v>
      </c>
      <c r="M341" s="1">
        <v>96.715943522481638</v>
      </c>
      <c r="N341" s="1">
        <v>99.631251706469783</v>
      </c>
      <c r="O341" s="1">
        <v>93.478287852540205</v>
      </c>
      <c r="P341" s="1">
        <v>88.15779185172498</v>
      </c>
      <c r="Q341" s="1">
        <v>100</v>
      </c>
      <c r="R341" s="1">
        <v>98.539127000430625</v>
      </c>
      <c r="S341" s="1">
        <v>102.30709748699844</v>
      </c>
      <c r="T341" s="1">
        <v>103.69425080501001</v>
      </c>
      <c r="U341" s="1">
        <v>100.96372424684154</v>
      </c>
      <c r="V341" s="1">
        <v>99.656559336091718</v>
      </c>
      <c r="W341" s="1">
        <v>102.20284750979505</v>
      </c>
      <c r="X341" s="1">
        <v>98.938308797866256</v>
      </c>
      <c r="Y341" s="1">
        <v>100.65981897224945</v>
      </c>
      <c r="Z341" s="1">
        <v>88.485885661512228</v>
      </c>
      <c r="AA341" s="1">
        <v>96.697105376186386</v>
      </c>
      <c r="AB341" s="1">
        <v>85.33125113689097</v>
      </c>
      <c r="AC341" s="1">
        <v>101.78077976073585</v>
      </c>
      <c r="AD341" s="1">
        <v>113.07002987575412</v>
      </c>
      <c r="AE341" s="1">
        <v>95.531389736706871</v>
      </c>
      <c r="AF341" s="1">
        <v>106.66106577694866</v>
      </c>
      <c r="AG341" s="1">
        <v>100</v>
      </c>
      <c r="AH341" s="1">
        <v>100</v>
      </c>
      <c r="AI341" s="1">
        <v>97.291744176733616</v>
      </c>
      <c r="AJ341" s="1">
        <v>101.7607159866544</v>
      </c>
      <c r="AK341" s="1">
        <v>93.72996507121826</v>
      </c>
      <c r="AL341" s="1">
        <v>106.87875662842485</v>
      </c>
      <c r="AM341" s="1">
        <v>116.7028707921346</v>
      </c>
      <c r="AN341" s="1">
        <v>104.6537395229083</v>
      </c>
      <c r="AO341" s="1">
        <v>100.87028581453056</v>
      </c>
      <c r="AP341" s="1">
        <v>104.99704067456956</v>
      </c>
      <c r="AQ341" s="1">
        <v>93.726423769841205</v>
      </c>
      <c r="AR341" s="1">
        <v>102.41602914572604</v>
      </c>
      <c r="AS341" s="1">
        <v>99.046953672111897</v>
      </c>
      <c r="AT341" s="1">
        <v>105.42194978369642</v>
      </c>
      <c r="AU341" s="1">
        <v>92.683083360025861</v>
      </c>
      <c r="AV341" s="1">
        <v>99.900323214082661</v>
      </c>
      <c r="AW341" s="1">
        <v>100</v>
      </c>
      <c r="AX341" s="1">
        <v>100</v>
      </c>
      <c r="AY341" s="1">
        <v>100</v>
      </c>
      <c r="AZ341" s="1">
        <v>100</v>
      </c>
      <c r="BA341" s="1">
        <v>100</v>
      </c>
      <c r="BB341" s="1">
        <v>100</v>
      </c>
      <c r="BC341" s="1">
        <v>100</v>
      </c>
      <c r="BD341" s="1">
        <v>100</v>
      </c>
      <c r="BE341" s="1">
        <v>100</v>
      </c>
      <c r="BF341" s="1">
        <v>100</v>
      </c>
      <c r="BG341" s="1">
        <v>100</v>
      </c>
      <c r="BH341" s="1">
        <v>100</v>
      </c>
    </row>
    <row r="342" spans="1:60" x14ac:dyDescent="0.25">
      <c r="A342">
        <v>329</v>
      </c>
      <c r="B342" s="1">
        <v>94.639038831878608</v>
      </c>
      <c r="C342" s="1">
        <v>94.353173132071191</v>
      </c>
      <c r="D342" s="1">
        <v>99.900323214082661</v>
      </c>
      <c r="E342" s="1">
        <v>119.6914574960765</v>
      </c>
      <c r="F342" s="1">
        <v>100</v>
      </c>
      <c r="G342" s="1">
        <v>101.20264176422626</v>
      </c>
      <c r="H342" s="1">
        <v>100.64757684147678</v>
      </c>
      <c r="I342" s="1">
        <v>90.647298591618593</v>
      </c>
      <c r="J342" s="1">
        <v>107.22487819123964</v>
      </c>
      <c r="K342" s="1">
        <v>106.16590636000029</v>
      </c>
      <c r="L342" s="1">
        <v>95.69663892742183</v>
      </c>
      <c r="M342" s="1">
        <v>96.715943522481638</v>
      </c>
      <c r="N342" s="1">
        <v>99.631251706469783</v>
      </c>
      <c r="O342" s="1">
        <v>93.478287852540205</v>
      </c>
      <c r="P342" s="1">
        <v>91.807395946244853</v>
      </c>
      <c r="Q342" s="1">
        <v>100</v>
      </c>
      <c r="R342" s="1">
        <v>98.539127000430625</v>
      </c>
      <c r="S342" s="1">
        <v>102.30709748699844</v>
      </c>
      <c r="T342" s="1">
        <v>103.69425080501001</v>
      </c>
      <c r="U342" s="1">
        <v>100.96372424684154</v>
      </c>
      <c r="V342" s="1">
        <v>96.35800889428657</v>
      </c>
      <c r="W342" s="1">
        <v>102.20284750979505</v>
      </c>
      <c r="X342" s="1">
        <v>98.938308797866256</v>
      </c>
      <c r="Y342" s="1">
        <v>100.65981897224945</v>
      </c>
      <c r="Z342" s="1">
        <v>88.485885661512228</v>
      </c>
      <c r="AA342" s="1">
        <v>96.697105376186386</v>
      </c>
      <c r="AB342" s="1">
        <v>85.33125113689097</v>
      </c>
      <c r="AC342" s="1">
        <v>101.78077976073585</v>
      </c>
      <c r="AD342" s="1">
        <v>113.07002987575412</v>
      </c>
      <c r="AE342" s="1">
        <v>95.531389736706871</v>
      </c>
      <c r="AF342" s="1">
        <v>106.66106577694866</v>
      </c>
      <c r="AG342" s="1">
        <v>100</v>
      </c>
      <c r="AH342" s="1">
        <v>100</v>
      </c>
      <c r="AI342" s="1">
        <v>97.291744176733616</v>
      </c>
      <c r="AJ342" s="1">
        <v>101.7607159866544</v>
      </c>
      <c r="AK342" s="1">
        <v>90.627580042518218</v>
      </c>
      <c r="AL342" s="1">
        <v>106.87875662842485</v>
      </c>
      <c r="AM342" s="1">
        <v>116.7028707921346</v>
      </c>
      <c r="AN342" s="1">
        <v>104.6537395229083</v>
      </c>
      <c r="AO342" s="1">
        <v>100.87028581453056</v>
      </c>
      <c r="AP342" s="1">
        <v>104.99704067456956</v>
      </c>
      <c r="AQ342" s="1">
        <v>93.726423769841205</v>
      </c>
      <c r="AR342" s="1">
        <v>102.41602914572604</v>
      </c>
      <c r="AS342" s="1">
        <v>99.046953672111897</v>
      </c>
      <c r="AT342" s="1">
        <v>105.42194978369642</v>
      </c>
      <c r="AU342" s="1">
        <v>92.683083360025861</v>
      </c>
      <c r="AV342" s="1">
        <v>99.900323214082661</v>
      </c>
      <c r="AW342" s="1">
        <v>100</v>
      </c>
      <c r="AX342" s="1">
        <v>100</v>
      </c>
      <c r="AY342" s="1">
        <v>100</v>
      </c>
      <c r="AZ342" s="1">
        <v>100</v>
      </c>
      <c r="BA342" s="1">
        <v>100</v>
      </c>
      <c r="BB342" s="1">
        <v>100</v>
      </c>
      <c r="BC342" s="1">
        <v>100</v>
      </c>
      <c r="BD342" s="1">
        <v>100</v>
      </c>
      <c r="BE342" s="1">
        <v>100</v>
      </c>
      <c r="BF342" s="1">
        <v>100</v>
      </c>
      <c r="BG342" s="1">
        <v>100</v>
      </c>
      <c r="BH342" s="1">
        <v>100</v>
      </c>
    </row>
    <row r="343" spans="1:60" x14ac:dyDescent="0.25">
      <c r="A343">
        <v>330</v>
      </c>
      <c r="B343" s="1">
        <v>94.639038831878608</v>
      </c>
      <c r="C343" s="1">
        <v>94.353173132071191</v>
      </c>
      <c r="D343" s="1">
        <v>99.900323214082661</v>
      </c>
      <c r="E343" s="1">
        <v>119.6914574960765</v>
      </c>
      <c r="F343" s="1">
        <v>100</v>
      </c>
      <c r="G343" s="1">
        <v>101.20264176422626</v>
      </c>
      <c r="H343" s="1">
        <v>100.64757684147678</v>
      </c>
      <c r="I343" s="1">
        <v>90.647298591618593</v>
      </c>
      <c r="J343" s="1">
        <v>107.22487819123964</v>
      </c>
      <c r="K343" s="1">
        <v>106.16590636000029</v>
      </c>
      <c r="L343" s="1">
        <v>95.69663892742183</v>
      </c>
      <c r="M343" s="1">
        <v>96.715943522481638</v>
      </c>
      <c r="N343" s="1">
        <v>99.631251706469783</v>
      </c>
      <c r="O343" s="1">
        <v>92.143038017481302</v>
      </c>
      <c r="P343" s="1">
        <v>91.807395946244853</v>
      </c>
      <c r="Q343" s="1">
        <v>100</v>
      </c>
      <c r="R343" s="1">
        <v>98.539127000430625</v>
      </c>
      <c r="S343" s="1">
        <v>102.30709748699844</v>
      </c>
      <c r="T343" s="1">
        <v>103.69425080501001</v>
      </c>
      <c r="U343" s="1">
        <v>100.96372424684154</v>
      </c>
      <c r="V343" s="1">
        <v>96.35800889428657</v>
      </c>
      <c r="W343" s="1">
        <v>102.20284750979505</v>
      </c>
      <c r="X343" s="1">
        <v>98.938308797866256</v>
      </c>
      <c r="Y343" s="1">
        <v>100.65981897224945</v>
      </c>
      <c r="Z343" s="1">
        <v>88.485885661512228</v>
      </c>
      <c r="AA343" s="1">
        <v>96.697105376186386</v>
      </c>
      <c r="AB343" s="1">
        <v>85.33125113689097</v>
      </c>
      <c r="AC343" s="1">
        <v>101.78077976073585</v>
      </c>
      <c r="AD343" s="1">
        <v>113.07002987575412</v>
      </c>
      <c r="AE343" s="1">
        <v>97.040925443931869</v>
      </c>
      <c r="AF343" s="1">
        <v>105.13751229990444</v>
      </c>
      <c r="AG343" s="1">
        <v>100</v>
      </c>
      <c r="AH343" s="1">
        <v>100</v>
      </c>
      <c r="AI343" s="1">
        <v>97.291744176733616</v>
      </c>
      <c r="AJ343" s="1">
        <v>101.7607159866544</v>
      </c>
      <c r="AK343" s="1">
        <v>90.627580042518218</v>
      </c>
      <c r="AL343" s="1">
        <v>108.22802423330297</v>
      </c>
      <c r="AM343" s="1">
        <v>116.7028707921346</v>
      </c>
      <c r="AN343" s="1">
        <v>104.6537395229083</v>
      </c>
      <c r="AO343" s="1">
        <v>100.87028581453056</v>
      </c>
      <c r="AP343" s="1">
        <v>104.99704067456956</v>
      </c>
      <c r="AQ343" s="1">
        <v>93.726423769841205</v>
      </c>
      <c r="AR343" s="1">
        <v>102.41602914572604</v>
      </c>
      <c r="AS343" s="1">
        <v>99.046953672111897</v>
      </c>
      <c r="AT343" s="1">
        <v>105.42194978369642</v>
      </c>
      <c r="AU343" s="1">
        <v>92.683083360025861</v>
      </c>
      <c r="AV343" s="1">
        <v>99.900323214082661</v>
      </c>
      <c r="AW343" s="1">
        <v>100</v>
      </c>
      <c r="AX343" s="1">
        <v>100</v>
      </c>
      <c r="AY343" s="1">
        <v>100</v>
      </c>
      <c r="AZ343" s="1">
        <v>100</v>
      </c>
      <c r="BA343" s="1">
        <v>100</v>
      </c>
      <c r="BB343" s="1">
        <v>100</v>
      </c>
      <c r="BC343" s="1">
        <v>100</v>
      </c>
      <c r="BD343" s="1">
        <v>100</v>
      </c>
      <c r="BE343" s="1">
        <v>100</v>
      </c>
      <c r="BF343" s="1">
        <v>100</v>
      </c>
      <c r="BG343" s="1">
        <v>100</v>
      </c>
      <c r="BH343" s="1">
        <v>100</v>
      </c>
    </row>
    <row r="344" spans="1:60" x14ac:dyDescent="0.25">
      <c r="A344">
        <v>331</v>
      </c>
      <c r="B344" s="1">
        <v>94.639038831878608</v>
      </c>
      <c r="C344" s="1">
        <v>94.353173132071191</v>
      </c>
      <c r="D344" s="1">
        <v>99.900323214082661</v>
      </c>
      <c r="E344" s="1">
        <v>119.6914574960765</v>
      </c>
      <c r="F344" s="1">
        <v>100</v>
      </c>
      <c r="G344" s="1">
        <v>101.20264176422626</v>
      </c>
      <c r="H344" s="1">
        <v>100.64757684147678</v>
      </c>
      <c r="I344" s="1">
        <v>90.647298591618593</v>
      </c>
      <c r="J344" s="1">
        <v>107.22487819123964</v>
      </c>
      <c r="K344" s="1">
        <v>106.16590636000029</v>
      </c>
      <c r="L344" s="1">
        <v>95.69663892742183</v>
      </c>
      <c r="M344" s="1">
        <v>96.715943522481638</v>
      </c>
      <c r="N344" s="1">
        <v>99.631251706469783</v>
      </c>
      <c r="O344" s="1">
        <v>91.876560347736955</v>
      </c>
      <c r="P344" s="1">
        <v>91.807395946244853</v>
      </c>
      <c r="Q344" s="1">
        <v>100</v>
      </c>
      <c r="R344" s="1">
        <v>98.539127000430625</v>
      </c>
      <c r="S344" s="1">
        <v>102.30709748699844</v>
      </c>
      <c r="T344" s="1">
        <v>103.69425080501001</v>
      </c>
      <c r="U344" s="1">
        <v>100.96372424684154</v>
      </c>
      <c r="V344" s="1">
        <v>96.35800889428657</v>
      </c>
      <c r="W344" s="1">
        <v>102.20284750979505</v>
      </c>
      <c r="X344" s="1">
        <v>98.938308797866256</v>
      </c>
      <c r="Y344" s="1">
        <v>100.65981897224945</v>
      </c>
      <c r="Z344" s="1">
        <v>88.485885661512228</v>
      </c>
      <c r="AA344" s="1">
        <v>96.697105376186386</v>
      </c>
      <c r="AB344" s="1">
        <v>85.33125113689097</v>
      </c>
      <c r="AC344" s="1">
        <v>101.78077976073585</v>
      </c>
      <c r="AD344" s="1">
        <v>113.07002987575412</v>
      </c>
      <c r="AE344" s="1">
        <v>97.341740130357394</v>
      </c>
      <c r="AF344" s="1">
        <v>104.83345460999973</v>
      </c>
      <c r="AG344" s="1">
        <v>100</v>
      </c>
      <c r="AH344" s="1">
        <v>100</v>
      </c>
      <c r="AI344" s="1">
        <v>97.291744176733616</v>
      </c>
      <c r="AJ344" s="1">
        <v>101.7607159866544</v>
      </c>
      <c r="AK344" s="1">
        <v>90.627580042518218</v>
      </c>
      <c r="AL344" s="1">
        <v>108.49774490652651</v>
      </c>
      <c r="AM344" s="1">
        <v>116.7028707921346</v>
      </c>
      <c r="AN344" s="1">
        <v>104.6537395229083</v>
      </c>
      <c r="AO344" s="1">
        <v>100.87028581453056</v>
      </c>
      <c r="AP344" s="1">
        <v>104.99704067456956</v>
      </c>
      <c r="AQ344" s="1">
        <v>93.726423769841205</v>
      </c>
      <c r="AR344" s="1">
        <v>102.41602914572604</v>
      </c>
      <c r="AS344" s="1">
        <v>99.046953672111897</v>
      </c>
      <c r="AT344" s="1">
        <v>105.42194978369642</v>
      </c>
      <c r="AU344" s="1">
        <v>92.683083360025861</v>
      </c>
      <c r="AV344" s="1">
        <v>99.900323214082661</v>
      </c>
      <c r="AW344" s="1">
        <v>100</v>
      </c>
      <c r="AX344" s="1">
        <v>100</v>
      </c>
      <c r="AY344" s="1">
        <v>100</v>
      </c>
      <c r="AZ344" s="1">
        <v>100</v>
      </c>
      <c r="BA344" s="1">
        <v>100</v>
      </c>
      <c r="BB344" s="1">
        <v>100</v>
      </c>
      <c r="BC344" s="1">
        <v>100</v>
      </c>
      <c r="BD344" s="1">
        <v>100</v>
      </c>
      <c r="BE344" s="1">
        <v>100</v>
      </c>
      <c r="BF344" s="1">
        <v>100</v>
      </c>
      <c r="BG344" s="1">
        <v>100</v>
      </c>
      <c r="BH344" s="1">
        <v>100</v>
      </c>
    </row>
    <row r="345" spans="1:60" x14ac:dyDescent="0.25">
      <c r="A345">
        <v>332</v>
      </c>
      <c r="B345" s="1">
        <v>94.639038831878608</v>
      </c>
      <c r="C345" s="1">
        <v>94.353173132071191</v>
      </c>
      <c r="D345" s="1">
        <v>99.900323214082661</v>
      </c>
      <c r="E345" s="1">
        <v>119.6914574960765</v>
      </c>
      <c r="F345" s="1">
        <v>100</v>
      </c>
      <c r="G345" s="1">
        <v>101.20264176422626</v>
      </c>
      <c r="H345" s="1">
        <v>100.64757684147678</v>
      </c>
      <c r="I345" s="1">
        <v>90.647298591618593</v>
      </c>
      <c r="J345" s="1">
        <v>107.22487819123964</v>
      </c>
      <c r="K345" s="1">
        <v>106.16590636000029</v>
      </c>
      <c r="L345" s="1">
        <v>95.69663892742183</v>
      </c>
      <c r="M345" s="1">
        <v>96.715943522481638</v>
      </c>
      <c r="N345" s="1">
        <v>99.631251706469783</v>
      </c>
      <c r="O345" s="1">
        <v>91.876560347736955</v>
      </c>
      <c r="P345" s="1">
        <v>91.807395946244853</v>
      </c>
      <c r="Q345" s="1">
        <v>100</v>
      </c>
      <c r="R345" s="1">
        <v>98.539127000430625</v>
      </c>
      <c r="S345" s="1">
        <v>102.30709748699844</v>
      </c>
      <c r="T345" s="1">
        <v>103.03914877663944</v>
      </c>
      <c r="U345" s="1">
        <v>100.96372424684154</v>
      </c>
      <c r="V345" s="1">
        <v>96.35800889428657</v>
      </c>
      <c r="W345" s="1">
        <v>102.20284750979505</v>
      </c>
      <c r="X345" s="1">
        <v>98.938308797866256</v>
      </c>
      <c r="Y345" s="1">
        <v>100.65981897224945</v>
      </c>
      <c r="Z345" s="1">
        <v>88.485885661512228</v>
      </c>
      <c r="AA345" s="1">
        <v>96.697105376186386</v>
      </c>
      <c r="AB345" s="1">
        <v>85.33125113689097</v>
      </c>
      <c r="AC345" s="1">
        <v>101.78077976073585</v>
      </c>
      <c r="AD345" s="1">
        <v>113.07002987575412</v>
      </c>
      <c r="AE345" s="1">
        <v>97.980028186557419</v>
      </c>
      <c r="AF345" s="1">
        <v>104.83345460999973</v>
      </c>
      <c r="AG345" s="1">
        <v>100</v>
      </c>
      <c r="AH345" s="1">
        <v>100</v>
      </c>
      <c r="AI345" s="1">
        <v>97.291744176733616</v>
      </c>
      <c r="AJ345" s="1">
        <v>101.7607159866544</v>
      </c>
      <c r="AK345" s="1">
        <v>90.055028420309071</v>
      </c>
      <c r="AL345" s="1">
        <v>108.49774490652651</v>
      </c>
      <c r="AM345" s="1">
        <v>116.7028707921346</v>
      </c>
      <c r="AN345" s="1">
        <v>104.6537395229083</v>
      </c>
      <c r="AO345" s="1">
        <v>100.87028581453056</v>
      </c>
      <c r="AP345" s="1">
        <v>104.99704067456956</v>
      </c>
      <c r="AQ345" s="1">
        <v>93.726423769841205</v>
      </c>
      <c r="AR345" s="1">
        <v>102.41602914572604</v>
      </c>
      <c r="AS345" s="1">
        <v>99.046953672111897</v>
      </c>
      <c r="AT345" s="1">
        <v>106.01131537807611</v>
      </c>
      <c r="AU345" s="1">
        <v>92.683083360025861</v>
      </c>
      <c r="AV345" s="1">
        <v>99.900323214082661</v>
      </c>
      <c r="AW345" s="1">
        <v>100</v>
      </c>
      <c r="AX345" s="1">
        <v>100</v>
      </c>
      <c r="AY345" s="1">
        <v>100</v>
      </c>
      <c r="AZ345" s="1">
        <v>100</v>
      </c>
      <c r="BA345" s="1">
        <v>100</v>
      </c>
      <c r="BB345" s="1">
        <v>100</v>
      </c>
      <c r="BC345" s="1">
        <v>100</v>
      </c>
      <c r="BD345" s="1">
        <v>100</v>
      </c>
      <c r="BE345" s="1">
        <v>100</v>
      </c>
      <c r="BF345" s="1">
        <v>100</v>
      </c>
      <c r="BG345" s="1">
        <v>100</v>
      </c>
      <c r="BH345" s="1">
        <v>100</v>
      </c>
    </row>
    <row r="346" spans="1:60" x14ac:dyDescent="0.25">
      <c r="A346">
        <v>333</v>
      </c>
      <c r="B346" s="1">
        <v>94.639038831878608</v>
      </c>
      <c r="C346" s="1">
        <v>94.353173132071191</v>
      </c>
      <c r="D346" s="1">
        <v>99.900323214082661</v>
      </c>
      <c r="E346" s="1">
        <v>119.6914574960765</v>
      </c>
      <c r="F346" s="1">
        <v>100</v>
      </c>
      <c r="G346" s="1">
        <v>101.20264176422626</v>
      </c>
      <c r="H346" s="1">
        <v>100.64757684147678</v>
      </c>
      <c r="I346" s="1">
        <v>90.647298591618593</v>
      </c>
      <c r="J346" s="1">
        <v>107.22487819123964</v>
      </c>
      <c r="K346" s="1">
        <v>106.16590636000029</v>
      </c>
      <c r="L346" s="1">
        <v>95.69663892742183</v>
      </c>
      <c r="M346" s="1">
        <v>96.715943522481638</v>
      </c>
      <c r="N346" s="1">
        <v>99.631251706469783</v>
      </c>
      <c r="O346" s="1">
        <v>91.876560347736955</v>
      </c>
      <c r="P346" s="1">
        <v>91.807395946244853</v>
      </c>
      <c r="Q346" s="1">
        <v>100</v>
      </c>
      <c r="R346" s="1">
        <v>98.539127000430625</v>
      </c>
      <c r="S346" s="1">
        <v>102.30709748699844</v>
      </c>
      <c r="T346" s="1">
        <v>102.90515654127529</v>
      </c>
      <c r="U346" s="1">
        <v>100.96372424684154</v>
      </c>
      <c r="V346" s="1">
        <v>96.35800889428657</v>
      </c>
      <c r="W346" s="1">
        <v>102.20284750979505</v>
      </c>
      <c r="X346" s="1">
        <v>98.938308797866256</v>
      </c>
      <c r="Y346" s="1">
        <v>100.65981897224945</v>
      </c>
      <c r="Z346" s="1">
        <v>88.485885661512228</v>
      </c>
      <c r="AA346" s="1">
        <v>96.697105376186386</v>
      </c>
      <c r="AB346" s="1">
        <v>85.33125113689097</v>
      </c>
      <c r="AC346" s="1">
        <v>101.78077976073585</v>
      </c>
      <c r="AD346" s="1">
        <v>113.07002987575412</v>
      </c>
      <c r="AE346" s="1">
        <v>98.11052113161891</v>
      </c>
      <c r="AF346" s="1">
        <v>104.83345460999973</v>
      </c>
      <c r="AG346" s="1">
        <v>100</v>
      </c>
      <c r="AH346" s="1">
        <v>100</v>
      </c>
      <c r="AI346" s="1">
        <v>97.291744176733616</v>
      </c>
      <c r="AJ346" s="1">
        <v>101.7607159866544</v>
      </c>
      <c r="AK346" s="1">
        <v>89.937920750970918</v>
      </c>
      <c r="AL346" s="1">
        <v>108.49774490652651</v>
      </c>
      <c r="AM346" s="1">
        <v>116.7028707921346</v>
      </c>
      <c r="AN346" s="1">
        <v>104.6537395229083</v>
      </c>
      <c r="AO346" s="1">
        <v>100.87028581453056</v>
      </c>
      <c r="AP346" s="1">
        <v>104.99704067456956</v>
      </c>
      <c r="AQ346" s="1">
        <v>93.726423769841205</v>
      </c>
      <c r="AR346" s="1">
        <v>102.41602914572604</v>
      </c>
      <c r="AS346" s="1">
        <v>99.046953672111897</v>
      </c>
      <c r="AT346" s="1">
        <v>106.13192233771692</v>
      </c>
      <c r="AU346" s="1">
        <v>92.683083360025861</v>
      </c>
      <c r="AV346" s="1">
        <v>99.900323214082661</v>
      </c>
      <c r="AW346" s="1">
        <v>100</v>
      </c>
      <c r="AX346" s="1">
        <v>100</v>
      </c>
      <c r="AY346" s="1">
        <v>100</v>
      </c>
      <c r="AZ346" s="1">
        <v>100</v>
      </c>
      <c r="BA346" s="1">
        <v>100</v>
      </c>
      <c r="BB346" s="1">
        <v>100</v>
      </c>
      <c r="BC346" s="1">
        <v>100</v>
      </c>
      <c r="BD346" s="1">
        <v>100</v>
      </c>
      <c r="BE346" s="1">
        <v>100</v>
      </c>
      <c r="BF346" s="1">
        <v>100</v>
      </c>
      <c r="BG346" s="1">
        <v>100</v>
      </c>
      <c r="BH346" s="1">
        <v>100</v>
      </c>
    </row>
    <row r="347" spans="1:60" x14ac:dyDescent="0.25">
      <c r="A347">
        <v>334</v>
      </c>
      <c r="B347" s="1">
        <v>94.639038831878608</v>
      </c>
      <c r="C347" s="1">
        <v>94.353173132071191</v>
      </c>
      <c r="D347" s="1">
        <v>99.900323214082661</v>
      </c>
      <c r="E347" s="1">
        <v>119.6914574960765</v>
      </c>
      <c r="F347" s="1">
        <v>100</v>
      </c>
      <c r="G347" s="1">
        <v>101.20264176422626</v>
      </c>
      <c r="H347" s="1">
        <v>100.64757684147678</v>
      </c>
      <c r="I347" s="1">
        <v>90.647298591618593</v>
      </c>
      <c r="J347" s="1">
        <v>107.22487819123964</v>
      </c>
      <c r="K347" s="1">
        <v>106.16590636000029</v>
      </c>
      <c r="L347" s="1">
        <v>95.69663892742183</v>
      </c>
      <c r="M347" s="1">
        <v>96.715943522481638</v>
      </c>
      <c r="N347" s="1">
        <v>99.631251706469783</v>
      </c>
      <c r="O347" s="1">
        <v>91.876560347736955</v>
      </c>
      <c r="P347" s="1">
        <v>91.807395946244853</v>
      </c>
      <c r="Q347" s="1">
        <v>100</v>
      </c>
      <c r="R347" s="1">
        <v>98.539127000430625</v>
      </c>
      <c r="S347" s="1">
        <v>102.30709748699844</v>
      </c>
      <c r="T347" s="1">
        <v>102.90515654127529</v>
      </c>
      <c r="U347" s="1">
        <v>100.96372424684154</v>
      </c>
      <c r="V347" s="1">
        <v>96.843469520589295</v>
      </c>
      <c r="W347" s="1">
        <v>102.20284750979505</v>
      </c>
      <c r="X347" s="1">
        <v>98.938308797866256</v>
      </c>
      <c r="Y347" s="1">
        <v>100.65981897224945</v>
      </c>
      <c r="Z347" s="1">
        <v>88.485885661512228</v>
      </c>
      <c r="AA347" s="1">
        <v>96.697105376186386</v>
      </c>
      <c r="AB347" s="1">
        <v>85.879444427436553</v>
      </c>
      <c r="AC347" s="1">
        <v>101.78077976073585</v>
      </c>
      <c r="AD347" s="1">
        <v>113.07002987575412</v>
      </c>
      <c r="AE347" s="1">
        <v>98.11052113161891</v>
      </c>
      <c r="AF347" s="1">
        <v>104.30667026105824</v>
      </c>
      <c r="AG347" s="1">
        <v>100</v>
      </c>
      <c r="AH347" s="1">
        <v>100</v>
      </c>
      <c r="AI347" s="1">
        <v>97.291744176733616</v>
      </c>
      <c r="AJ347" s="1">
        <v>101.7607159866544</v>
      </c>
      <c r="AK347" s="1">
        <v>89.937920750970918</v>
      </c>
      <c r="AL347" s="1">
        <v>108.49774490652651</v>
      </c>
      <c r="AM347" s="1">
        <v>116.7028707921346</v>
      </c>
      <c r="AN347" s="1">
        <v>104.6537395229083</v>
      </c>
      <c r="AO347" s="1">
        <v>100.36341624662374</v>
      </c>
      <c r="AP347" s="1">
        <v>104.99704067456956</v>
      </c>
      <c r="AQ347" s="1">
        <v>93.726423769841205</v>
      </c>
      <c r="AR347" s="1">
        <v>102.41602914572604</v>
      </c>
      <c r="AS347" s="1">
        <v>99.046953672111897</v>
      </c>
      <c r="AT347" s="1">
        <v>106.13192233771692</v>
      </c>
      <c r="AU347" s="1">
        <v>92.683083360025861</v>
      </c>
      <c r="AV347" s="1">
        <v>99.900323214082661</v>
      </c>
      <c r="AW347" s="1">
        <v>100</v>
      </c>
      <c r="AX347" s="1">
        <v>100</v>
      </c>
      <c r="AY347" s="1">
        <v>100</v>
      </c>
      <c r="AZ347" s="1">
        <v>100</v>
      </c>
      <c r="BA347" s="1">
        <v>100</v>
      </c>
      <c r="BB347" s="1">
        <v>100</v>
      </c>
      <c r="BC347" s="1">
        <v>100</v>
      </c>
      <c r="BD347" s="1">
        <v>100</v>
      </c>
      <c r="BE347" s="1">
        <v>100</v>
      </c>
      <c r="BF347" s="1">
        <v>100</v>
      </c>
      <c r="BG347" s="1">
        <v>100</v>
      </c>
      <c r="BH347" s="1">
        <v>100</v>
      </c>
    </row>
    <row r="348" spans="1:60" x14ac:dyDescent="0.25">
      <c r="A348">
        <v>335</v>
      </c>
      <c r="B348" s="1">
        <v>94.639038831878608</v>
      </c>
      <c r="C348" s="1">
        <v>94.353173132071191</v>
      </c>
      <c r="D348" s="1">
        <v>99.900323214082661</v>
      </c>
      <c r="E348" s="1">
        <v>119.6914574960765</v>
      </c>
      <c r="F348" s="1">
        <v>100</v>
      </c>
      <c r="G348" s="1">
        <v>101.20264176422626</v>
      </c>
      <c r="H348" s="1">
        <v>100.64757684147678</v>
      </c>
      <c r="I348" s="1">
        <v>90.647298591618593</v>
      </c>
      <c r="J348" s="1">
        <v>107.22487819123964</v>
      </c>
      <c r="K348" s="1">
        <v>106.16590636000029</v>
      </c>
      <c r="L348" s="1">
        <v>95.69663892742183</v>
      </c>
      <c r="M348" s="1">
        <v>96.715943522481638</v>
      </c>
      <c r="N348" s="1">
        <v>99.631251706469783</v>
      </c>
      <c r="O348" s="1">
        <v>91.876560347736955</v>
      </c>
      <c r="P348" s="1">
        <v>91.807395946244853</v>
      </c>
      <c r="Q348" s="1">
        <v>100</v>
      </c>
      <c r="R348" s="1">
        <v>98.539127000430625</v>
      </c>
      <c r="S348" s="1">
        <v>102.30709748699844</v>
      </c>
      <c r="T348" s="1">
        <v>102.90515654127529</v>
      </c>
      <c r="U348" s="1">
        <v>100.96372424684154</v>
      </c>
      <c r="V348" s="1">
        <v>94.984000822155323</v>
      </c>
      <c r="W348" s="1">
        <v>102.20284750979505</v>
      </c>
      <c r="X348" s="1">
        <v>98.938308797866256</v>
      </c>
      <c r="Y348" s="1">
        <v>100.65981897224945</v>
      </c>
      <c r="Z348" s="1">
        <v>88.485885661512228</v>
      </c>
      <c r="AA348" s="1">
        <v>96.697105376186386</v>
      </c>
      <c r="AB348" s="1">
        <v>84.230493398087404</v>
      </c>
      <c r="AC348" s="1">
        <v>101.78077976073585</v>
      </c>
      <c r="AD348" s="1">
        <v>113.07002987575412</v>
      </c>
      <c r="AE348" s="1">
        <v>98.11052113161891</v>
      </c>
      <c r="AF348" s="1">
        <v>106.02708283094373</v>
      </c>
      <c r="AG348" s="1">
        <v>100</v>
      </c>
      <c r="AH348" s="1">
        <v>100</v>
      </c>
      <c r="AI348" s="1">
        <v>97.291744176733616</v>
      </c>
      <c r="AJ348" s="1">
        <v>101.7607159866544</v>
      </c>
      <c r="AK348" s="1">
        <v>89.937920750970918</v>
      </c>
      <c r="AL348" s="1">
        <v>108.49774490652651</v>
      </c>
      <c r="AM348" s="1">
        <v>116.7028707921346</v>
      </c>
      <c r="AN348" s="1">
        <v>104.6537395229083</v>
      </c>
      <c r="AO348" s="1">
        <v>102.1514234045214</v>
      </c>
      <c r="AP348" s="1">
        <v>104.99704067456956</v>
      </c>
      <c r="AQ348" s="1">
        <v>93.726423769841205</v>
      </c>
      <c r="AR348" s="1">
        <v>102.41602914572604</v>
      </c>
      <c r="AS348" s="1">
        <v>99.046953672111897</v>
      </c>
      <c r="AT348" s="1">
        <v>106.13192233771692</v>
      </c>
      <c r="AU348" s="1">
        <v>92.683083360025861</v>
      </c>
      <c r="AV348" s="1">
        <v>99.900323214082661</v>
      </c>
      <c r="AW348" s="1">
        <v>100</v>
      </c>
      <c r="AX348" s="1">
        <v>100</v>
      </c>
      <c r="AY348" s="1">
        <v>100</v>
      </c>
      <c r="AZ348" s="1">
        <v>100</v>
      </c>
      <c r="BA348" s="1">
        <v>100</v>
      </c>
      <c r="BB348" s="1">
        <v>100</v>
      </c>
      <c r="BC348" s="1">
        <v>100</v>
      </c>
      <c r="BD348" s="1">
        <v>100</v>
      </c>
      <c r="BE348" s="1">
        <v>100</v>
      </c>
      <c r="BF348" s="1">
        <v>100</v>
      </c>
      <c r="BG348" s="1">
        <v>100</v>
      </c>
      <c r="BH348" s="1">
        <v>100</v>
      </c>
    </row>
    <row r="349" spans="1:60" x14ac:dyDescent="0.25">
      <c r="A349">
        <v>336</v>
      </c>
      <c r="B349" s="1">
        <v>94.639038831878608</v>
      </c>
      <c r="C349" s="1">
        <v>94.353173132071191</v>
      </c>
      <c r="D349" s="1">
        <v>99.900323214082661</v>
      </c>
      <c r="E349" s="1">
        <v>119.6914574960765</v>
      </c>
      <c r="F349" s="1">
        <v>98.0428067927092</v>
      </c>
      <c r="G349" s="1">
        <v>101.20264176422626</v>
      </c>
      <c r="H349" s="1">
        <v>102.6264770510757</v>
      </c>
      <c r="I349" s="1">
        <v>90.647298591618593</v>
      </c>
      <c r="J349" s="1">
        <v>107.22487819123964</v>
      </c>
      <c r="K349" s="1">
        <v>106.16590636000029</v>
      </c>
      <c r="L349" s="1">
        <v>95.69663892742183</v>
      </c>
      <c r="M349" s="1">
        <v>96.715943522481638</v>
      </c>
      <c r="N349" s="1">
        <v>99.631251706469783</v>
      </c>
      <c r="O349" s="1">
        <v>91.876560347736955</v>
      </c>
      <c r="P349" s="1">
        <v>91.807395946244853</v>
      </c>
      <c r="Q349" s="1">
        <v>100</v>
      </c>
      <c r="R349" s="1">
        <v>98.539127000430625</v>
      </c>
      <c r="S349" s="1">
        <v>102.30709748699844</v>
      </c>
      <c r="T349" s="1">
        <v>104.84064274625797</v>
      </c>
      <c r="U349" s="1">
        <v>100.96372424684154</v>
      </c>
      <c r="V349" s="1">
        <v>94.984000822155323</v>
      </c>
      <c r="W349" s="1">
        <v>102.20284750979505</v>
      </c>
      <c r="X349" s="1">
        <v>98.938308797866256</v>
      </c>
      <c r="Y349" s="1">
        <v>100.65981897224945</v>
      </c>
      <c r="Z349" s="1">
        <v>88.485885661512228</v>
      </c>
      <c r="AA349" s="1">
        <v>96.697105376186386</v>
      </c>
      <c r="AB349" s="1">
        <v>84.230493398087404</v>
      </c>
      <c r="AC349" s="1">
        <v>101.78077976073585</v>
      </c>
      <c r="AD349" s="1">
        <v>113.07002987575412</v>
      </c>
      <c r="AE349" s="1">
        <v>98.11052113161891</v>
      </c>
      <c r="AF349" s="1">
        <v>106.02708283094373</v>
      </c>
      <c r="AG349" s="1">
        <v>100</v>
      </c>
      <c r="AH349" s="1">
        <v>98.0428067927092</v>
      </c>
      <c r="AI349" s="1">
        <v>97.291744176733616</v>
      </c>
      <c r="AJ349" s="1">
        <v>101.7607159866544</v>
      </c>
      <c r="AK349" s="1">
        <v>89.937920750970918</v>
      </c>
      <c r="AL349" s="1">
        <v>108.49774490652651</v>
      </c>
      <c r="AM349" s="1">
        <v>116.7028707921346</v>
      </c>
      <c r="AN349" s="1">
        <v>104.6537395229083</v>
      </c>
      <c r="AO349" s="1">
        <v>102.1514234045214</v>
      </c>
      <c r="AP349" s="1">
        <v>104.99704067456956</v>
      </c>
      <c r="AQ349" s="1">
        <v>93.726423769841205</v>
      </c>
      <c r="AR349" s="1">
        <v>102.41602914572604</v>
      </c>
      <c r="AS349" s="1">
        <v>99.046953672111897</v>
      </c>
      <c r="AT349" s="1">
        <v>106.13192233771692</v>
      </c>
      <c r="AU349" s="1">
        <v>92.683083360025861</v>
      </c>
      <c r="AV349" s="1">
        <v>99.900323214082661</v>
      </c>
      <c r="AW349" s="1">
        <v>100</v>
      </c>
      <c r="AX349" s="1">
        <v>100</v>
      </c>
      <c r="AY349" s="1">
        <v>100</v>
      </c>
      <c r="AZ349" s="1">
        <v>100</v>
      </c>
      <c r="BA349" s="1">
        <v>100</v>
      </c>
      <c r="BB349" s="1">
        <v>100</v>
      </c>
      <c r="BC349" s="1">
        <v>100</v>
      </c>
      <c r="BD349" s="1">
        <v>100</v>
      </c>
      <c r="BE349" s="1">
        <v>100</v>
      </c>
      <c r="BF349" s="1">
        <v>100</v>
      </c>
      <c r="BG349" s="1">
        <v>100</v>
      </c>
      <c r="BH349" s="1">
        <v>100</v>
      </c>
    </row>
    <row r="350" spans="1:60" x14ac:dyDescent="0.25">
      <c r="A350">
        <v>337</v>
      </c>
      <c r="B350" s="1">
        <v>94.639038831878608</v>
      </c>
      <c r="C350" s="1">
        <v>94.353173132071191</v>
      </c>
      <c r="D350" s="1">
        <v>99.900323214082661</v>
      </c>
      <c r="E350" s="1">
        <v>119.6914574960765</v>
      </c>
      <c r="F350" s="1">
        <v>98.0428067927092</v>
      </c>
      <c r="G350" s="1">
        <v>101.20264176422626</v>
      </c>
      <c r="H350" s="1">
        <v>102.6264770510757</v>
      </c>
      <c r="I350" s="1">
        <v>90.647298591618593</v>
      </c>
      <c r="J350" s="1">
        <v>107.37374364273398</v>
      </c>
      <c r="K350" s="1">
        <v>106.16590636000029</v>
      </c>
      <c r="L350" s="1">
        <v>95.69663892742183</v>
      </c>
      <c r="M350" s="1">
        <v>96.715943522481638</v>
      </c>
      <c r="N350" s="1">
        <v>99.791463282957778</v>
      </c>
      <c r="O350" s="1">
        <v>91.876560347736955</v>
      </c>
      <c r="P350" s="1">
        <v>91.807395946244853</v>
      </c>
      <c r="Q350" s="1">
        <v>100</v>
      </c>
      <c r="R350" s="1">
        <v>98.539127000430625</v>
      </c>
      <c r="S350" s="1">
        <v>102.15456423844294</v>
      </c>
      <c r="T350" s="1">
        <v>104.84064274625797</v>
      </c>
      <c r="U350" s="1">
        <v>100.96372424684154</v>
      </c>
      <c r="V350" s="1">
        <v>94.984000822155323</v>
      </c>
      <c r="W350" s="1">
        <v>102.20284750979505</v>
      </c>
      <c r="X350" s="1">
        <v>98.938308797866256</v>
      </c>
      <c r="Y350" s="1">
        <v>100.65981897224945</v>
      </c>
      <c r="Z350" s="1">
        <v>88.485885661512228</v>
      </c>
      <c r="AA350" s="1">
        <v>96.697105376186386</v>
      </c>
      <c r="AB350" s="1">
        <v>84.230493398087404</v>
      </c>
      <c r="AC350" s="1">
        <v>101.78077976073585</v>
      </c>
      <c r="AD350" s="1">
        <v>113.07002987575412</v>
      </c>
      <c r="AE350" s="1">
        <v>98.11052113161891</v>
      </c>
      <c r="AF350" s="1">
        <v>106.02708283094373</v>
      </c>
      <c r="AG350" s="1">
        <v>100</v>
      </c>
      <c r="AH350" s="1">
        <v>98.0428067927092</v>
      </c>
      <c r="AI350" s="1">
        <v>97.291744176733616</v>
      </c>
      <c r="AJ350" s="1">
        <v>101.7607159866544</v>
      </c>
      <c r="AK350" s="1">
        <v>89.937920750970918</v>
      </c>
      <c r="AL350" s="1">
        <v>108.49774490652651</v>
      </c>
      <c r="AM350" s="1">
        <v>116.7028707921346</v>
      </c>
      <c r="AN350" s="1">
        <v>104.6537395229083</v>
      </c>
      <c r="AO350" s="1">
        <v>102.1514234045214</v>
      </c>
      <c r="AP350" s="1">
        <v>104.84049689514271</v>
      </c>
      <c r="AQ350" s="1">
        <v>93.726423769841205</v>
      </c>
      <c r="AR350" s="1">
        <v>102.41602914572604</v>
      </c>
      <c r="AS350" s="1">
        <v>99.046953672111897</v>
      </c>
      <c r="AT350" s="1">
        <v>106.13192233771692</v>
      </c>
      <c r="AU350" s="1">
        <v>92.683083360025861</v>
      </c>
      <c r="AV350" s="1">
        <v>99.900323214082661</v>
      </c>
      <c r="AW350" s="1">
        <v>100</v>
      </c>
      <c r="AX350" s="1">
        <v>100</v>
      </c>
      <c r="AY350" s="1">
        <v>100</v>
      </c>
      <c r="AZ350" s="1">
        <v>100</v>
      </c>
      <c r="BA350" s="1">
        <v>100</v>
      </c>
      <c r="BB350" s="1">
        <v>100</v>
      </c>
      <c r="BC350" s="1">
        <v>100</v>
      </c>
      <c r="BD350" s="1">
        <v>100</v>
      </c>
      <c r="BE350" s="1">
        <v>100</v>
      </c>
      <c r="BF350" s="1">
        <v>100</v>
      </c>
      <c r="BG350" s="1">
        <v>100</v>
      </c>
      <c r="BH350" s="1">
        <v>100</v>
      </c>
    </row>
    <row r="351" spans="1:60" x14ac:dyDescent="0.25">
      <c r="A351">
        <v>338</v>
      </c>
      <c r="B351" s="1">
        <v>94.639038831878608</v>
      </c>
      <c r="C351" s="1">
        <v>94.353173132071191</v>
      </c>
      <c r="D351" s="1">
        <v>99.900323214082661</v>
      </c>
      <c r="E351" s="1">
        <v>119.6914574960765</v>
      </c>
      <c r="F351" s="1">
        <v>98.0428067927092</v>
      </c>
      <c r="G351" s="1">
        <v>101.20264176422626</v>
      </c>
      <c r="H351" s="1">
        <v>102.6264770510757</v>
      </c>
      <c r="I351" s="1">
        <v>90.647298591618593</v>
      </c>
      <c r="J351" s="1">
        <v>108.07722366708403</v>
      </c>
      <c r="K351" s="1">
        <v>106.16590636000029</v>
      </c>
      <c r="L351" s="1">
        <v>95.69663892742183</v>
      </c>
      <c r="M351" s="1">
        <v>96.715943522481638</v>
      </c>
      <c r="N351" s="1">
        <v>100.54839460060133</v>
      </c>
      <c r="O351" s="1">
        <v>91.876560347736955</v>
      </c>
      <c r="P351" s="1">
        <v>91.807395946244853</v>
      </c>
      <c r="Q351" s="1">
        <v>100</v>
      </c>
      <c r="R351" s="1">
        <v>98.539127000430625</v>
      </c>
      <c r="S351" s="1">
        <v>101.43383359186025</v>
      </c>
      <c r="T351" s="1">
        <v>104.84064274625797</v>
      </c>
      <c r="U351" s="1">
        <v>100.96372424684154</v>
      </c>
      <c r="V351" s="1">
        <v>94.984000822155323</v>
      </c>
      <c r="W351" s="1">
        <v>102.20284750979505</v>
      </c>
      <c r="X351" s="1">
        <v>98.938308797866256</v>
      </c>
      <c r="Y351" s="1">
        <v>100.65981897224945</v>
      </c>
      <c r="Z351" s="1">
        <v>88.485885661512228</v>
      </c>
      <c r="AA351" s="1">
        <v>96.697105376186386</v>
      </c>
      <c r="AB351" s="1">
        <v>84.230493398087404</v>
      </c>
      <c r="AC351" s="1">
        <v>101.78077976073585</v>
      </c>
      <c r="AD351" s="1">
        <v>113.07002987575412</v>
      </c>
      <c r="AE351" s="1">
        <v>98.11052113161891</v>
      </c>
      <c r="AF351" s="1">
        <v>106.02708283094373</v>
      </c>
      <c r="AG351" s="1">
        <v>100</v>
      </c>
      <c r="AH351" s="1">
        <v>98.0428067927092</v>
      </c>
      <c r="AI351" s="1">
        <v>97.291744176733616</v>
      </c>
      <c r="AJ351" s="1">
        <v>101.7607159866544</v>
      </c>
      <c r="AK351" s="1">
        <v>89.937920750970918</v>
      </c>
      <c r="AL351" s="1">
        <v>108.49774490652651</v>
      </c>
      <c r="AM351" s="1">
        <v>116.7028707921346</v>
      </c>
      <c r="AN351" s="1">
        <v>104.6537395229083</v>
      </c>
      <c r="AO351" s="1">
        <v>102.1514234045214</v>
      </c>
      <c r="AP351" s="1">
        <v>104.10081619973182</v>
      </c>
      <c r="AQ351" s="1">
        <v>93.726423769841205</v>
      </c>
      <c r="AR351" s="1">
        <v>102.41602914572604</v>
      </c>
      <c r="AS351" s="1">
        <v>99.046953672111897</v>
      </c>
      <c r="AT351" s="1">
        <v>106.13192233771692</v>
      </c>
      <c r="AU351" s="1">
        <v>92.683083360025861</v>
      </c>
      <c r="AV351" s="1">
        <v>99.900323214082661</v>
      </c>
      <c r="AW351" s="1">
        <v>100</v>
      </c>
      <c r="AX351" s="1">
        <v>100</v>
      </c>
      <c r="AY351" s="1">
        <v>100</v>
      </c>
      <c r="AZ351" s="1">
        <v>100</v>
      </c>
      <c r="BA351" s="1">
        <v>100</v>
      </c>
      <c r="BB351" s="1">
        <v>100</v>
      </c>
      <c r="BC351" s="1">
        <v>100</v>
      </c>
      <c r="BD351" s="1">
        <v>100</v>
      </c>
      <c r="BE351" s="1">
        <v>100</v>
      </c>
      <c r="BF351" s="1">
        <v>100</v>
      </c>
      <c r="BG351" s="1">
        <v>100</v>
      </c>
      <c r="BH351" s="1">
        <v>100</v>
      </c>
    </row>
    <row r="352" spans="1:60" x14ac:dyDescent="0.25">
      <c r="A352">
        <v>339</v>
      </c>
      <c r="B352" s="1">
        <v>94.639038831878608</v>
      </c>
      <c r="C352" s="1">
        <v>94.353173132071191</v>
      </c>
      <c r="D352" s="1">
        <v>99.900323214082661</v>
      </c>
      <c r="E352" s="1">
        <v>118.65018518879403</v>
      </c>
      <c r="F352" s="1">
        <v>98.0428067927092</v>
      </c>
      <c r="G352" s="1">
        <v>101.20264176422626</v>
      </c>
      <c r="H352" s="1">
        <v>102.6264770510757</v>
      </c>
      <c r="I352" s="1">
        <v>90.647298591618593</v>
      </c>
      <c r="J352" s="1">
        <v>108.07722366708403</v>
      </c>
      <c r="K352" s="1">
        <v>106.16590636000029</v>
      </c>
      <c r="L352" s="1">
        <v>95.69663892742183</v>
      </c>
      <c r="M352" s="1">
        <v>96.715943522481638</v>
      </c>
      <c r="N352" s="1">
        <v>100.54839460060133</v>
      </c>
      <c r="O352" s="1">
        <v>91.876560347736955</v>
      </c>
      <c r="P352" s="1">
        <v>91.807395946244853</v>
      </c>
      <c r="Q352" s="1">
        <v>100</v>
      </c>
      <c r="R352" s="1">
        <v>98.539127000430625</v>
      </c>
      <c r="S352" s="1">
        <v>101.43383359186025</v>
      </c>
      <c r="T352" s="1">
        <v>103.928567145767</v>
      </c>
      <c r="U352" s="1">
        <v>100.96372424684154</v>
      </c>
      <c r="V352" s="1">
        <v>94.984000822155323</v>
      </c>
      <c r="W352" s="1">
        <v>102.20284750979505</v>
      </c>
      <c r="X352" s="1">
        <v>98.938308797866256</v>
      </c>
      <c r="Y352" s="1">
        <v>100.65981897224945</v>
      </c>
      <c r="Z352" s="1">
        <v>88.485885661512228</v>
      </c>
      <c r="AA352" s="1">
        <v>96.697105376186386</v>
      </c>
      <c r="AB352" s="1">
        <v>84.230493398087404</v>
      </c>
      <c r="AC352" s="1">
        <v>101.78077976073585</v>
      </c>
      <c r="AD352" s="1">
        <v>113.07002987575412</v>
      </c>
      <c r="AE352" s="1">
        <v>98.11052113161891</v>
      </c>
      <c r="AF352" s="1">
        <v>106.02708283094373</v>
      </c>
      <c r="AG352" s="1">
        <v>100</v>
      </c>
      <c r="AH352" s="1">
        <v>98.977370945236913</v>
      </c>
      <c r="AI352" s="1">
        <v>97.291744176733616</v>
      </c>
      <c r="AJ352" s="1">
        <v>101.7607159866544</v>
      </c>
      <c r="AK352" s="1">
        <v>90.956704506216639</v>
      </c>
      <c r="AL352" s="1">
        <v>108.49774490652651</v>
      </c>
      <c r="AM352" s="1">
        <v>116.7028707921346</v>
      </c>
      <c r="AN352" s="1">
        <v>104.6537395229083</v>
      </c>
      <c r="AO352" s="1">
        <v>102.1514234045214</v>
      </c>
      <c r="AP352" s="1">
        <v>104.10081619973182</v>
      </c>
      <c r="AQ352" s="1">
        <v>93.726423769841205</v>
      </c>
      <c r="AR352" s="1">
        <v>102.41602914572604</v>
      </c>
      <c r="AS352" s="1">
        <v>99.046953672111897</v>
      </c>
      <c r="AT352" s="1">
        <v>106.13192233771692</v>
      </c>
      <c r="AU352" s="1">
        <v>92.683083360025861</v>
      </c>
      <c r="AV352" s="1">
        <v>99.900323214082661</v>
      </c>
      <c r="AW352" s="1">
        <v>100</v>
      </c>
      <c r="AX352" s="1">
        <v>100</v>
      </c>
      <c r="AY352" s="1">
        <v>100</v>
      </c>
      <c r="AZ352" s="1">
        <v>100</v>
      </c>
      <c r="BA352" s="1">
        <v>100</v>
      </c>
      <c r="BB352" s="1">
        <v>100</v>
      </c>
      <c r="BC352" s="1">
        <v>100</v>
      </c>
      <c r="BD352" s="1">
        <v>100</v>
      </c>
      <c r="BE352" s="1">
        <v>100</v>
      </c>
      <c r="BF352" s="1">
        <v>100</v>
      </c>
      <c r="BG352" s="1">
        <v>100</v>
      </c>
      <c r="BH352" s="1">
        <v>100</v>
      </c>
    </row>
    <row r="353" spans="1:60" x14ac:dyDescent="0.25">
      <c r="A353">
        <v>340</v>
      </c>
      <c r="B353" s="1">
        <v>94.639038831878608</v>
      </c>
      <c r="C353" s="1">
        <v>94.353173132071191</v>
      </c>
      <c r="D353" s="1">
        <v>99.900323214082661</v>
      </c>
      <c r="E353" s="1">
        <v>119.89187876247415</v>
      </c>
      <c r="F353" s="1">
        <v>98.0428067927092</v>
      </c>
      <c r="G353" s="1">
        <v>101.20264176422626</v>
      </c>
      <c r="H353" s="1">
        <v>102.6264770510757</v>
      </c>
      <c r="I353" s="1">
        <v>90.647298591618593</v>
      </c>
      <c r="J353" s="1">
        <v>108.07722366708403</v>
      </c>
      <c r="K353" s="1">
        <v>106.16590636000029</v>
      </c>
      <c r="L353" s="1">
        <v>95.69663892742183</v>
      </c>
      <c r="M353" s="1">
        <v>96.715943522481638</v>
      </c>
      <c r="N353" s="1">
        <v>100.54839460060133</v>
      </c>
      <c r="O353" s="1">
        <v>91.876560347736955</v>
      </c>
      <c r="P353" s="1">
        <v>91.807395946244853</v>
      </c>
      <c r="Q353" s="1">
        <v>100</v>
      </c>
      <c r="R353" s="1">
        <v>98.539127000430625</v>
      </c>
      <c r="S353" s="1">
        <v>101.43383359186025</v>
      </c>
      <c r="T353" s="1">
        <v>105.34614824508347</v>
      </c>
      <c r="U353" s="1">
        <v>100.96372424684154</v>
      </c>
      <c r="V353" s="1">
        <v>94.984000822155323</v>
      </c>
      <c r="W353" s="1">
        <v>102.20284750979505</v>
      </c>
      <c r="X353" s="1">
        <v>98.938308797866256</v>
      </c>
      <c r="Y353" s="1">
        <v>100.65981897224945</v>
      </c>
      <c r="Z353" s="1">
        <v>88.485885661512228</v>
      </c>
      <c r="AA353" s="1">
        <v>96.697105376186386</v>
      </c>
      <c r="AB353" s="1">
        <v>84.230493398087404</v>
      </c>
      <c r="AC353" s="1">
        <v>101.78077976073585</v>
      </c>
      <c r="AD353" s="1">
        <v>113.07002987575412</v>
      </c>
      <c r="AE353" s="1">
        <v>98.11052113161891</v>
      </c>
      <c r="AF353" s="1">
        <v>106.02708283094373</v>
      </c>
      <c r="AG353" s="1">
        <v>100</v>
      </c>
      <c r="AH353" s="1">
        <v>97.591584771119187</v>
      </c>
      <c r="AI353" s="1">
        <v>97.291744176733616</v>
      </c>
      <c r="AJ353" s="1">
        <v>101.7607159866544</v>
      </c>
      <c r="AK353" s="1">
        <v>89.683216007337776</v>
      </c>
      <c r="AL353" s="1">
        <v>108.49774490652651</v>
      </c>
      <c r="AM353" s="1">
        <v>116.7028707921346</v>
      </c>
      <c r="AN353" s="1">
        <v>104.6537395229083</v>
      </c>
      <c r="AO353" s="1">
        <v>102.1514234045214</v>
      </c>
      <c r="AP353" s="1">
        <v>104.10081619973182</v>
      </c>
      <c r="AQ353" s="1">
        <v>93.726423769841205</v>
      </c>
      <c r="AR353" s="1">
        <v>102.41602914572604</v>
      </c>
      <c r="AS353" s="1">
        <v>99.046953672111897</v>
      </c>
      <c r="AT353" s="1">
        <v>106.13192233771692</v>
      </c>
      <c r="AU353" s="1">
        <v>92.683083360025861</v>
      </c>
      <c r="AV353" s="1">
        <v>99.900323214082661</v>
      </c>
      <c r="AW353" s="1">
        <v>100</v>
      </c>
      <c r="AX353" s="1">
        <v>100</v>
      </c>
      <c r="AY353" s="1">
        <v>100</v>
      </c>
      <c r="AZ353" s="1">
        <v>100</v>
      </c>
      <c r="BA353" s="1">
        <v>100</v>
      </c>
      <c r="BB353" s="1">
        <v>100</v>
      </c>
      <c r="BC353" s="1">
        <v>100</v>
      </c>
      <c r="BD353" s="1">
        <v>100</v>
      </c>
      <c r="BE353" s="1">
        <v>100</v>
      </c>
      <c r="BF353" s="1">
        <v>100</v>
      </c>
      <c r="BG353" s="1">
        <v>100</v>
      </c>
      <c r="BH353" s="1">
        <v>100</v>
      </c>
    </row>
    <row r="354" spans="1:60" x14ac:dyDescent="0.25">
      <c r="A354">
        <v>341</v>
      </c>
      <c r="B354" s="1">
        <v>94.639038831878608</v>
      </c>
      <c r="C354" s="1">
        <v>94.353173132071191</v>
      </c>
      <c r="D354" s="1">
        <v>99.900323214082661</v>
      </c>
      <c r="E354" s="1">
        <v>119.89187876247415</v>
      </c>
      <c r="F354" s="1">
        <v>98.232524689381279</v>
      </c>
      <c r="G354" s="1">
        <v>101.20264176422626</v>
      </c>
      <c r="H354" s="1">
        <v>102.6264770510757</v>
      </c>
      <c r="I354" s="1">
        <v>90.647298591618593</v>
      </c>
      <c r="J354" s="1">
        <v>108.07722366708403</v>
      </c>
      <c r="K354" s="1">
        <v>106.16590636000029</v>
      </c>
      <c r="L354" s="1">
        <v>95.69663892742183</v>
      </c>
      <c r="M354" s="1">
        <v>96.715943522481638</v>
      </c>
      <c r="N354" s="1">
        <v>100.54839460060133</v>
      </c>
      <c r="O354" s="1">
        <v>91.876560347736955</v>
      </c>
      <c r="P354" s="1">
        <v>91.807395946244853</v>
      </c>
      <c r="Q354" s="1">
        <v>100</v>
      </c>
      <c r="R354" s="1">
        <v>98.539127000430625</v>
      </c>
      <c r="S354" s="1">
        <v>101.43383359186025</v>
      </c>
      <c r="T354" s="1">
        <v>105.15306402718994</v>
      </c>
      <c r="U354" s="1">
        <v>100.96372424684154</v>
      </c>
      <c r="V354" s="1">
        <v>94.984000822155323</v>
      </c>
      <c r="W354" s="1">
        <v>102.20284750979505</v>
      </c>
      <c r="X354" s="1">
        <v>98.938308797866256</v>
      </c>
      <c r="Y354" s="1">
        <v>100.65981897224945</v>
      </c>
      <c r="Z354" s="1">
        <v>88.485885661512228</v>
      </c>
      <c r="AA354" s="1">
        <v>96.697105376186386</v>
      </c>
      <c r="AB354" s="1">
        <v>84.230493398087404</v>
      </c>
      <c r="AC354" s="1">
        <v>101.78077976073585</v>
      </c>
      <c r="AD354" s="1">
        <v>113.07002987575412</v>
      </c>
      <c r="AE354" s="1">
        <v>98.11052113161891</v>
      </c>
      <c r="AF354" s="1">
        <v>106.02708283094373</v>
      </c>
      <c r="AG354" s="1">
        <v>100</v>
      </c>
      <c r="AH354" s="1">
        <v>97.782179842734877</v>
      </c>
      <c r="AI354" s="1">
        <v>97.291744176733616</v>
      </c>
      <c r="AJ354" s="1">
        <v>101.7607159866544</v>
      </c>
      <c r="AK354" s="1">
        <v>89.683216007337776</v>
      </c>
      <c r="AL354" s="1">
        <v>108.49774490652651</v>
      </c>
      <c r="AM354" s="1">
        <v>116.7028707921346</v>
      </c>
      <c r="AN354" s="1">
        <v>104.6537395229083</v>
      </c>
      <c r="AO354" s="1">
        <v>101.96419465412716</v>
      </c>
      <c r="AP354" s="1">
        <v>104.10081619973182</v>
      </c>
      <c r="AQ354" s="1">
        <v>93.726423769841205</v>
      </c>
      <c r="AR354" s="1">
        <v>102.41602914572604</v>
      </c>
      <c r="AS354" s="1">
        <v>99.046953672111897</v>
      </c>
      <c r="AT354" s="1">
        <v>106.13192233771692</v>
      </c>
      <c r="AU354" s="1">
        <v>92.683083360025861</v>
      </c>
      <c r="AV354" s="1">
        <v>99.900323214082661</v>
      </c>
      <c r="AW354" s="1">
        <v>100</v>
      </c>
      <c r="AX354" s="1">
        <v>100</v>
      </c>
      <c r="AY354" s="1">
        <v>100</v>
      </c>
      <c r="AZ354" s="1">
        <v>100</v>
      </c>
      <c r="BA354" s="1">
        <v>100</v>
      </c>
      <c r="BB354" s="1">
        <v>100</v>
      </c>
      <c r="BC354" s="1">
        <v>100</v>
      </c>
      <c r="BD354" s="1">
        <v>100</v>
      </c>
      <c r="BE354" s="1">
        <v>100</v>
      </c>
      <c r="BF354" s="1">
        <v>100</v>
      </c>
      <c r="BG354" s="1">
        <v>100</v>
      </c>
      <c r="BH354" s="1">
        <v>100</v>
      </c>
    </row>
    <row r="355" spans="1:60" x14ac:dyDescent="0.25">
      <c r="A355">
        <v>342</v>
      </c>
      <c r="B355" s="1">
        <v>94.639038831878608</v>
      </c>
      <c r="C355" s="1">
        <v>94.353173132071191</v>
      </c>
      <c r="D355" s="1">
        <v>99.900323214082661</v>
      </c>
      <c r="E355" s="1">
        <v>119.89187876247415</v>
      </c>
      <c r="F355" s="1">
        <v>95.932799101521084</v>
      </c>
      <c r="G355" s="1">
        <v>101.20264176422626</v>
      </c>
      <c r="H355" s="1">
        <v>102.6264770510757</v>
      </c>
      <c r="I355" s="1">
        <v>90.647298591618593</v>
      </c>
      <c r="J355" s="1">
        <v>108.07722366708403</v>
      </c>
      <c r="K355" s="1">
        <v>106.16590636000029</v>
      </c>
      <c r="L355" s="1">
        <v>95.69663892742183</v>
      </c>
      <c r="M355" s="1">
        <v>96.715943522481638</v>
      </c>
      <c r="N355" s="1">
        <v>100.54839460060133</v>
      </c>
      <c r="O355" s="1">
        <v>91.876560347736955</v>
      </c>
      <c r="P355" s="1">
        <v>91.807395946244853</v>
      </c>
      <c r="Q355" s="1">
        <v>100</v>
      </c>
      <c r="R355" s="1">
        <v>98.539127000430625</v>
      </c>
      <c r="S355" s="1">
        <v>101.43383359186025</v>
      </c>
      <c r="T355" s="1">
        <v>107.41219165974233</v>
      </c>
      <c r="U355" s="1">
        <v>100.96372424684154</v>
      </c>
      <c r="V355" s="1">
        <v>94.984000822155323</v>
      </c>
      <c r="W355" s="1">
        <v>102.20284750979505</v>
      </c>
      <c r="X355" s="1">
        <v>98.938308797866256</v>
      </c>
      <c r="Y355" s="1">
        <v>100.65981897224945</v>
      </c>
      <c r="Z355" s="1">
        <v>88.485885661512228</v>
      </c>
      <c r="AA355" s="1">
        <v>96.697105376186386</v>
      </c>
      <c r="AB355" s="1">
        <v>84.230493398087404</v>
      </c>
      <c r="AC355" s="1">
        <v>101.78077976073585</v>
      </c>
      <c r="AD355" s="1">
        <v>113.07002987575412</v>
      </c>
      <c r="AE355" s="1">
        <v>98.11052113161891</v>
      </c>
      <c r="AF355" s="1">
        <v>106.02708283094373</v>
      </c>
      <c r="AG355" s="1">
        <v>100</v>
      </c>
      <c r="AH355" s="1">
        <v>95.492997296199022</v>
      </c>
      <c r="AI355" s="1">
        <v>97.291744176733616</v>
      </c>
      <c r="AJ355" s="1">
        <v>101.7607159866544</v>
      </c>
      <c r="AK355" s="1">
        <v>89.683216007337776</v>
      </c>
      <c r="AL355" s="1">
        <v>108.49774490652651</v>
      </c>
      <c r="AM355" s="1">
        <v>116.7028707921346</v>
      </c>
      <c r="AN355" s="1">
        <v>104.6537395229083</v>
      </c>
      <c r="AO355" s="1">
        <v>104.29397515597081</v>
      </c>
      <c r="AP355" s="1">
        <v>104.10081619973182</v>
      </c>
      <c r="AQ355" s="1">
        <v>93.726423769841205</v>
      </c>
      <c r="AR355" s="1">
        <v>102.41602914572604</v>
      </c>
      <c r="AS355" s="1">
        <v>99.046953672111897</v>
      </c>
      <c r="AT355" s="1">
        <v>106.13192233771692</v>
      </c>
      <c r="AU355" s="1">
        <v>92.683083360025861</v>
      </c>
      <c r="AV355" s="1">
        <v>99.900323214082661</v>
      </c>
      <c r="AW355" s="1">
        <v>100</v>
      </c>
      <c r="AX355" s="1">
        <v>100</v>
      </c>
      <c r="AY355" s="1">
        <v>100</v>
      </c>
      <c r="AZ355" s="1">
        <v>100</v>
      </c>
      <c r="BA355" s="1">
        <v>100</v>
      </c>
      <c r="BB355" s="1">
        <v>100</v>
      </c>
      <c r="BC355" s="1">
        <v>100</v>
      </c>
      <c r="BD355" s="1">
        <v>100</v>
      </c>
      <c r="BE355" s="1">
        <v>100</v>
      </c>
      <c r="BF355" s="1">
        <v>100</v>
      </c>
      <c r="BG355" s="1">
        <v>100</v>
      </c>
      <c r="BH355" s="1">
        <v>100</v>
      </c>
    </row>
    <row r="356" spans="1:60" x14ac:dyDescent="0.25">
      <c r="A356">
        <v>343</v>
      </c>
      <c r="B356" s="1">
        <v>98.437762014387346</v>
      </c>
      <c r="C356" s="1">
        <v>94.353173132071191</v>
      </c>
      <c r="D356" s="1">
        <v>99.900323214082661</v>
      </c>
      <c r="E356" s="1">
        <v>119.89187876247415</v>
      </c>
      <c r="F356" s="1">
        <v>95.932799101521084</v>
      </c>
      <c r="G356" s="1">
        <v>101.20264176422626</v>
      </c>
      <c r="H356" s="1">
        <v>102.6264770510757</v>
      </c>
      <c r="I356" s="1">
        <v>90.647298591618593</v>
      </c>
      <c r="J356" s="1">
        <v>108.07722366708403</v>
      </c>
      <c r="K356" s="1">
        <v>106.16590636000029</v>
      </c>
      <c r="L356" s="1">
        <v>95.69663892742183</v>
      </c>
      <c r="M356" s="1">
        <v>96.715943522481638</v>
      </c>
      <c r="N356" s="1">
        <v>100.54839460060133</v>
      </c>
      <c r="O356" s="1">
        <v>88.25257069043127</v>
      </c>
      <c r="P356" s="1">
        <v>91.807395946244853</v>
      </c>
      <c r="Q356" s="1">
        <v>100</v>
      </c>
      <c r="R356" s="1">
        <v>98.539127000430625</v>
      </c>
      <c r="S356" s="1">
        <v>101.43383359186025</v>
      </c>
      <c r="T356" s="1">
        <v>107.41219165974233</v>
      </c>
      <c r="U356" s="1">
        <v>100.96372424684154</v>
      </c>
      <c r="V356" s="1">
        <v>94.984000822155323</v>
      </c>
      <c r="W356" s="1">
        <v>102.20284750979505</v>
      </c>
      <c r="X356" s="1">
        <v>98.938308797866256</v>
      </c>
      <c r="Y356" s="1">
        <v>100.65981897224945</v>
      </c>
      <c r="Z356" s="1">
        <v>88.485885661512228</v>
      </c>
      <c r="AA356" s="1">
        <v>96.697105376186386</v>
      </c>
      <c r="AB356" s="1">
        <v>84.230493398087404</v>
      </c>
      <c r="AC356" s="1">
        <v>101.78077976073585</v>
      </c>
      <c r="AD356" s="1">
        <v>113.07002987575412</v>
      </c>
      <c r="AE356" s="1">
        <v>94.240638405185123</v>
      </c>
      <c r="AF356" s="1">
        <v>106.02708283094373</v>
      </c>
      <c r="AG356" s="1">
        <v>100</v>
      </c>
      <c r="AH356" s="1">
        <v>95.492997296199022</v>
      </c>
      <c r="AI356" s="1">
        <v>100.98689337796435</v>
      </c>
      <c r="AJ356" s="1">
        <v>101.7607159866544</v>
      </c>
      <c r="AK356" s="1">
        <v>89.683216007337776</v>
      </c>
      <c r="AL356" s="1">
        <v>108.49774490652651</v>
      </c>
      <c r="AM356" s="1">
        <v>116.7028707921346</v>
      </c>
      <c r="AN356" s="1">
        <v>104.6537395229083</v>
      </c>
      <c r="AO356" s="1">
        <v>104.29397515597081</v>
      </c>
      <c r="AP356" s="1">
        <v>104.10081619973182</v>
      </c>
      <c r="AQ356" s="1">
        <v>93.726423769841205</v>
      </c>
      <c r="AR356" s="1">
        <v>102.41602914572604</v>
      </c>
      <c r="AS356" s="1">
        <v>99.046953672111897</v>
      </c>
      <c r="AT356" s="1">
        <v>106.13192233771692</v>
      </c>
      <c r="AU356" s="1">
        <v>92.683083360025861</v>
      </c>
      <c r="AV356" s="1">
        <v>99.900323214082661</v>
      </c>
      <c r="AW356" s="1">
        <v>100</v>
      </c>
      <c r="AX356" s="1">
        <v>100</v>
      </c>
      <c r="AY356" s="1">
        <v>100</v>
      </c>
      <c r="AZ356" s="1">
        <v>100</v>
      </c>
      <c r="BA356" s="1">
        <v>100</v>
      </c>
      <c r="BB356" s="1">
        <v>100</v>
      </c>
      <c r="BC356" s="1">
        <v>100</v>
      </c>
      <c r="BD356" s="1">
        <v>100</v>
      </c>
      <c r="BE356" s="1">
        <v>100</v>
      </c>
      <c r="BF356" s="1">
        <v>100</v>
      </c>
      <c r="BG356" s="1">
        <v>100</v>
      </c>
      <c r="BH356" s="1">
        <v>100</v>
      </c>
    </row>
    <row r="357" spans="1:60" x14ac:dyDescent="0.25">
      <c r="A357">
        <v>344</v>
      </c>
      <c r="B357" s="1">
        <v>102.56170988507057</v>
      </c>
      <c r="C357" s="1">
        <v>94.353173132071191</v>
      </c>
      <c r="D357" s="1">
        <v>99.900323214082661</v>
      </c>
      <c r="E357" s="1">
        <v>119.89187876247415</v>
      </c>
      <c r="F357" s="1">
        <v>95.932799101521084</v>
      </c>
      <c r="G357" s="1">
        <v>101.20264176422626</v>
      </c>
      <c r="H357" s="1">
        <v>102.6264770510757</v>
      </c>
      <c r="I357" s="1">
        <v>90.647298591618593</v>
      </c>
      <c r="J357" s="1">
        <v>108.07722366708403</v>
      </c>
      <c r="K357" s="1">
        <v>106.16590636000029</v>
      </c>
      <c r="L357" s="1">
        <v>95.69663892742183</v>
      </c>
      <c r="M357" s="1">
        <v>96.715943522481638</v>
      </c>
      <c r="N357" s="1">
        <v>100.54839460060133</v>
      </c>
      <c r="O357" s="1">
        <v>84.31428097522155</v>
      </c>
      <c r="P357" s="1">
        <v>91.807395946244853</v>
      </c>
      <c r="Q357" s="1">
        <v>100</v>
      </c>
      <c r="R357" s="1">
        <v>98.539127000430625</v>
      </c>
      <c r="S357" s="1">
        <v>101.43383359186025</v>
      </c>
      <c r="T357" s="1">
        <v>107.41219165974233</v>
      </c>
      <c r="U357" s="1">
        <v>100.96372424684154</v>
      </c>
      <c r="V357" s="1">
        <v>94.984000822155323</v>
      </c>
      <c r="W357" s="1">
        <v>102.20284750979505</v>
      </c>
      <c r="X357" s="1">
        <v>98.938308797866256</v>
      </c>
      <c r="Y357" s="1">
        <v>100.65981897224945</v>
      </c>
      <c r="Z357" s="1">
        <v>88.485885661512228</v>
      </c>
      <c r="AA357" s="1">
        <v>96.697105376186386</v>
      </c>
      <c r="AB357" s="1">
        <v>84.230493398087404</v>
      </c>
      <c r="AC357" s="1">
        <v>101.78077976073585</v>
      </c>
      <c r="AD357" s="1">
        <v>113.07002987575412</v>
      </c>
      <c r="AE357" s="1">
        <v>90.035129896114796</v>
      </c>
      <c r="AF357" s="1">
        <v>106.02708283094373</v>
      </c>
      <c r="AG357" s="1">
        <v>100</v>
      </c>
      <c r="AH357" s="1">
        <v>95.492997296199022</v>
      </c>
      <c r="AI357" s="1">
        <v>105.00674373156117</v>
      </c>
      <c r="AJ357" s="1">
        <v>101.7607159866544</v>
      </c>
      <c r="AK357" s="1">
        <v>89.683216007337776</v>
      </c>
      <c r="AL357" s="1">
        <v>108.49774490652651</v>
      </c>
      <c r="AM357" s="1">
        <v>116.7028707921346</v>
      </c>
      <c r="AN357" s="1">
        <v>104.6537395229083</v>
      </c>
      <c r="AO357" s="1">
        <v>104.29397515597081</v>
      </c>
      <c r="AP357" s="1">
        <v>104.10081619973182</v>
      </c>
      <c r="AQ357" s="1">
        <v>93.726423769841205</v>
      </c>
      <c r="AR357" s="1">
        <v>102.41602914572604</v>
      </c>
      <c r="AS357" s="1">
        <v>99.046953672111897</v>
      </c>
      <c r="AT357" s="1">
        <v>106.13192233771692</v>
      </c>
      <c r="AU357" s="1">
        <v>92.683083360025861</v>
      </c>
      <c r="AV357" s="1">
        <v>99.900323214082661</v>
      </c>
      <c r="AW357" s="1">
        <v>100</v>
      </c>
      <c r="AX357" s="1">
        <v>100</v>
      </c>
      <c r="AY357" s="1">
        <v>100</v>
      </c>
      <c r="AZ357" s="1">
        <v>100</v>
      </c>
      <c r="BA357" s="1">
        <v>100</v>
      </c>
      <c r="BB357" s="1">
        <v>100</v>
      </c>
      <c r="BC357" s="1">
        <v>100</v>
      </c>
      <c r="BD357" s="1">
        <v>100</v>
      </c>
      <c r="BE357" s="1">
        <v>100</v>
      </c>
      <c r="BF357" s="1">
        <v>100</v>
      </c>
      <c r="BG357" s="1">
        <v>100</v>
      </c>
      <c r="BH357" s="1">
        <v>100</v>
      </c>
    </row>
    <row r="358" spans="1:60" x14ac:dyDescent="0.25">
      <c r="A358">
        <v>345</v>
      </c>
      <c r="B358" s="1">
        <v>102.56170988507057</v>
      </c>
      <c r="C358" s="1">
        <v>94.353173132071191</v>
      </c>
      <c r="D358" s="1">
        <v>99.900323214082661</v>
      </c>
      <c r="E358" s="1">
        <v>119.89187876247415</v>
      </c>
      <c r="F358" s="1">
        <v>95.932799101521084</v>
      </c>
      <c r="G358" s="1">
        <v>101.20264176422626</v>
      </c>
      <c r="H358" s="1">
        <v>102.6264770510757</v>
      </c>
      <c r="I358" s="1">
        <v>90.647298591618593</v>
      </c>
      <c r="J358" s="1">
        <v>108.07722366708403</v>
      </c>
      <c r="K358" s="1">
        <v>106.16590636000029</v>
      </c>
      <c r="L358" s="1">
        <v>95.69663892742183</v>
      </c>
      <c r="M358" s="1">
        <v>96.715943522481638</v>
      </c>
      <c r="N358" s="1">
        <v>100.54839460060133</v>
      </c>
      <c r="O358" s="1">
        <v>84.31428097522155</v>
      </c>
      <c r="P358" s="1">
        <v>92.52777145042019</v>
      </c>
      <c r="Q358" s="1">
        <v>100</v>
      </c>
      <c r="R358" s="1">
        <v>98.539127000430625</v>
      </c>
      <c r="S358" s="1">
        <v>101.43383359186025</v>
      </c>
      <c r="T358" s="1">
        <v>107.41219165974233</v>
      </c>
      <c r="U358" s="1">
        <v>100.96372424684154</v>
      </c>
      <c r="V358" s="1">
        <v>95.680284391697015</v>
      </c>
      <c r="W358" s="1">
        <v>102.20284750979505</v>
      </c>
      <c r="X358" s="1">
        <v>98.938308797866256</v>
      </c>
      <c r="Y358" s="1">
        <v>99.978033225364399</v>
      </c>
      <c r="Z358" s="1">
        <v>88.485885661512228</v>
      </c>
      <c r="AA358" s="1">
        <v>96.697105376186386</v>
      </c>
      <c r="AB358" s="1">
        <v>84.230493398087404</v>
      </c>
      <c r="AC358" s="1">
        <v>101.78077976073585</v>
      </c>
      <c r="AD358" s="1">
        <v>113.07002987575412</v>
      </c>
      <c r="AE358" s="1">
        <v>90.035129896114796</v>
      </c>
      <c r="AF358" s="1">
        <v>106.02708283094373</v>
      </c>
      <c r="AG358" s="1">
        <v>100</v>
      </c>
      <c r="AH358" s="1">
        <v>95.492997296199022</v>
      </c>
      <c r="AI358" s="1">
        <v>105.00674373156117</v>
      </c>
      <c r="AJ358" s="1">
        <v>101.7607159866544</v>
      </c>
      <c r="AK358" s="1">
        <v>89.683216007337776</v>
      </c>
      <c r="AL358" s="1">
        <v>107.76287157969453</v>
      </c>
      <c r="AM358" s="1">
        <v>116.7028707921346</v>
      </c>
      <c r="AN358" s="1">
        <v>104.6537395229083</v>
      </c>
      <c r="AO358" s="1">
        <v>104.29397515597081</v>
      </c>
      <c r="AP358" s="1">
        <v>104.10081619973182</v>
      </c>
      <c r="AQ358" s="1">
        <v>93.726423769841205</v>
      </c>
      <c r="AR358" s="1">
        <v>102.41602914572604</v>
      </c>
      <c r="AS358" s="1">
        <v>99.046953672111897</v>
      </c>
      <c r="AT358" s="1">
        <v>106.13192233771692</v>
      </c>
      <c r="AU358" s="1">
        <v>92.683083360025861</v>
      </c>
      <c r="AV358" s="1">
        <v>99.900323214082661</v>
      </c>
      <c r="AW358" s="1">
        <v>100</v>
      </c>
      <c r="AX358" s="1">
        <v>100</v>
      </c>
      <c r="AY358" s="1">
        <v>100</v>
      </c>
      <c r="AZ358" s="1">
        <v>100</v>
      </c>
      <c r="BA358" s="1">
        <v>100</v>
      </c>
      <c r="BB358" s="1">
        <v>100</v>
      </c>
      <c r="BC358" s="1">
        <v>100</v>
      </c>
      <c r="BD358" s="1">
        <v>100</v>
      </c>
      <c r="BE358" s="1">
        <v>100</v>
      </c>
      <c r="BF358" s="1">
        <v>100</v>
      </c>
      <c r="BG358" s="1">
        <v>100</v>
      </c>
      <c r="BH358" s="1">
        <v>100</v>
      </c>
    </row>
    <row r="359" spans="1:60" x14ac:dyDescent="0.25">
      <c r="A359">
        <v>346</v>
      </c>
      <c r="B359" s="1">
        <v>102.56170988507057</v>
      </c>
      <c r="C359" s="1">
        <v>94.353173132071191</v>
      </c>
      <c r="D359" s="1">
        <v>99.900323214082661</v>
      </c>
      <c r="E359" s="1">
        <v>119.89187876247415</v>
      </c>
      <c r="F359" s="1">
        <v>95.932799101521084</v>
      </c>
      <c r="G359" s="1">
        <v>101.20264176422626</v>
      </c>
      <c r="H359" s="1">
        <v>102.6264770510757</v>
      </c>
      <c r="I359" s="1">
        <v>90.647298591618593</v>
      </c>
      <c r="J359" s="1">
        <v>108.07722366708403</v>
      </c>
      <c r="K359" s="1">
        <v>106.16590636000029</v>
      </c>
      <c r="L359" s="1">
        <v>95.69663892742183</v>
      </c>
      <c r="M359" s="1">
        <v>96.715943522481638</v>
      </c>
      <c r="N359" s="1">
        <v>100.54839460060133</v>
      </c>
      <c r="O359" s="1">
        <v>84.31428097522155</v>
      </c>
      <c r="P359" s="1">
        <v>92.03049797598149</v>
      </c>
      <c r="Q359" s="1">
        <v>100</v>
      </c>
      <c r="R359" s="1">
        <v>98.539127000430625</v>
      </c>
      <c r="S359" s="1">
        <v>101.43383359186025</v>
      </c>
      <c r="T359" s="1">
        <v>107.41219165974233</v>
      </c>
      <c r="U359" s="1">
        <v>100.96372424684154</v>
      </c>
      <c r="V359" s="1">
        <v>95.166068316794167</v>
      </c>
      <c r="W359" s="1">
        <v>102.20284750979505</v>
      </c>
      <c r="X359" s="1">
        <v>98.938308797866256</v>
      </c>
      <c r="Y359" s="1">
        <v>100.5027301718429</v>
      </c>
      <c r="Z359" s="1">
        <v>88.485885661512228</v>
      </c>
      <c r="AA359" s="1">
        <v>96.697105376186386</v>
      </c>
      <c r="AB359" s="1">
        <v>84.230493398087404</v>
      </c>
      <c r="AC359" s="1">
        <v>101.78077976073585</v>
      </c>
      <c r="AD359" s="1">
        <v>113.07002987575412</v>
      </c>
      <c r="AE359" s="1">
        <v>90.035129896114796</v>
      </c>
      <c r="AF359" s="1">
        <v>106.02708283094373</v>
      </c>
      <c r="AG359" s="1">
        <v>100</v>
      </c>
      <c r="AH359" s="1">
        <v>95.492997296199022</v>
      </c>
      <c r="AI359" s="1">
        <v>105.00674373156117</v>
      </c>
      <c r="AJ359" s="1">
        <v>101.7607159866544</v>
      </c>
      <c r="AK359" s="1">
        <v>89.683216007337776</v>
      </c>
      <c r="AL359" s="1">
        <v>108.24966418255758</v>
      </c>
      <c r="AM359" s="1">
        <v>116.7028707921346</v>
      </c>
      <c r="AN359" s="1">
        <v>104.6537395229083</v>
      </c>
      <c r="AO359" s="1">
        <v>104.29397515597081</v>
      </c>
      <c r="AP359" s="1">
        <v>104.10081619973182</v>
      </c>
      <c r="AQ359" s="1">
        <v>93.726423769841205</v>
      </c>
      <c r="AR359" s="1">
        <v>102.41602914572604</v>
      </c>
      <c r="AS359" s="1">
        <v>99.046953672111897</v>
      </c>
      <c r="AT359" s="1">
        <v>106.13192233771692</v>
      </c>
      <c r="AU359" s="1">
        <v>92.683083360025861</v>
      </c>
      <c r="AV359" s="1">
        <v>99.900323214082661</v>
      </c>
      <c r="AW359" s="1">
        <v>100</v>
      </c>
      <c r="AX359" s="1">
        <v>100</v>
      </c>
      <c r="AY359" s="1">
        <v>100</v>
      </c>
      <c r="AZ359" s="1">
        <v>100</v>
      </c>
      <c r="BA359" s="1">
        <v>100</v>
      </c>
      <c r="BB359" s="1">
        <v>100</v>
      </c>
      <c r="BC359" s="1">
        <v>100</v>
      </c>
      <c r="BD359" s="1">
        <v>100</v>
      </c>
      <c r="BE359" s="1">
        <v>100</v>
      </c>
      <c r="BF359" s="1">
        <v>100</v>
      </c>
      <c r="BG359" s="1">
        <v>100</v>
      </c>
      <c r="BH359" s="1">
        <v>100</v>
      </c>
    </row>
    <row r="360" spans="1:60" x14ac:dyDescent="0.25">
      <c r="A360">
        <v>347</v>
      </c>
      <c r="B360" s="1">
        <v>102.56170988507057</v>
      </c>
      <c r="C360" s="1">
        <v>94.353173132071191</v>
      </c>
      <c r="D360" s="1">
        <v>99.900323214082661</v>
      </c>
      <c r="E360" s="1">
        <v>119.89187876247415</v>
      </c>
      <c r="F360" s="1">
        <v>95.932799101521084</v>
      </c>
      <c r="G360" s="1">
        <v>101.20264176422626</v>
      </c>
      <c r="H360" s="1">
        <v>102.6264770510757</v>
      </c>
      <c r="I360" s="1">
        <v>90.647298591618593</v>
      </c>
      <c r="J360" s="1">
        <v>108.07722366708403</v>
      </c>
      <c r="K360" s="1">
        <v>106.16590636000029</v>
      </c>
      <c r="L360" s="1">
        <v>95.69663892742183</v>
      </c>
      <c r="M360" s="1">
        <v>96.715943522481638</v>
      </c>
      <c r="N360" s="1">
        <v>100.54839460060133</v>
      </c>
      <c r="O360" s="1">
        <v>84.31428097522155</v>
      </c>
      <c r="P360" s="1">
        <v>92.03049797598149</v>
      </c>
      <c r="Q360" s="1">
        <v>100</v>
      </c>
      <c r="R360" s="1">
        <v>98.539127000430625</v>
      </c>
      <c r="S360" s="1">
        <v>101.43383359186025</v>
      </c>
      <c r="T360" s="1">
        <v>107.41219165974233</v>
      </c>
      <c r="U360" s="1">
        <v>100.96372424684154</v>
      </c>
      <c r="V360" s="1">
        <v>95.166068316794167</v>
      </c>
      <c r="W360" s="1">
        <v>102.20284750979505</v>
      </c>
      <c r="X360" s="1">
        <v>98.938308797866256</v>
      </c>
      <c r="Y360" s="1">
        <v>100.5027301718429</v>
      </c>
      <c r="Z360" s="1">
        <v>88.485885661512228</v>
      </c>
      <c r="AA360" s="1">
        <v>96.697105376186386</v>
      </c>
      <c r="AB360" s="1">
        <v>83.446299588956037</v>
      </c>
      <c r="AC360" s="1">
        <v>101.78077976073585</v>
      </c>
      <c r="AD360" s="1">
        <v>113.07002987575412</v>
      </c>
      <c r="AE360" s="1">
        <v>90.035129896114796</v>
      </c>
      <c r="AF360" s="1">
        <v>106.02708283094373</v>
      </c>
      <c r="AG360" s="1">
        <v>100</v>
      </c>
      <c r="AH360" s="1">
        <v>95.492997296199022</v>
      </c>
      <c r="AI360" s="1">
        <v>105.00674373156117</v>
      </c>
      <c r="AJ360" s="1">
        <v>101.7607159866544</v>
      </c>
      <c r="AK360" s="1">
        <v>90.636108327362095</v>
      </c>
      <c r="AL360" s="1">
        <v>108.24966418255758</v>
      </c>
      <c r="AM360" s="1">
        <v>116.7028707921346</v>
      </c>
      <c r="AN360" s="1">
        <v>104.6537395229083</v>
      </c>
      <c r="AO360" s="1">
        <v>105.11337481583297</v>
      </c>
      <c r="AP360" s="1">
        <v>104.10081619973182</v>
      </c>
      <c r="AQ360" s="1">
        <v>93.726423769841205</v>
      </c>
      <c r="AR360" s="1">
        <v>102.41602914572604</v>
      </c>
      <c r="AS360" s="1">
        <v>99.046953672111897</v>
      </c>
      <c r="AT360" s="1">
        <v>105.14382416696182</v>
      </c>
      <c r="AU360" s="1">
        <v>92.683083360025861</v>
      </c>
      <c r="AV360" s="1">
        <v>99.900323214082661</v>
      </c>
      <c r="AW360" s="1">
        <v>100</v>
      </c>
      <c r="AX360" s="1">
        <v>100</v>
      </c>
      <c r="AY360" s="1">
        <v>100</v>
      </c>
      <c r="AZ360" s="1">
        <v>100</v>
      </c>
      <c r="BA360" s="1">
        <v>100</v>
      </c>
      <c r="BB360" s="1">
        <v>100</v>
      </c>
      <c r="BC360" s="1">
        <v>100</v>
      </c>
      <c r="BD360" s="1">
        <v>100</v>
      </c>
      <c r="BE360" s="1">
        <v>100</v>
      </c>
      <c r="BF360" s="1">
        <v>100</v>
      </c>
      <c r="BG360" s="1">
        <v>100</v>
      </c>
      <c r="BH360" s="1">
        <v>100</v>
      </c>
    </row>
    <row r="361" spans="1:60" x14ac:dyDescent="0.25">
      <c r="A361">
        <v>348</v>
      </c>
      <c r="B361" s="1">
        <v>102.56170988507057</v>
      </c>
      <c r="C361" s="1">
        <v>94.353173132071191</v>
      </c>
      <c r="D361" s="1">
        <v>99.900323214082661</v>
      </c>
      <c r="E361" s="1">
        <v>119.89187876247415</v>
      </c>
      <c r="F361" s="1">
        <v>95.932799101521084</v>
      </c>
      <c r="G361" s="1">
        <v>101.20264176422626</v>
      </c>
      <c r="H361" s="1">
        <v>102.6264770510757</v>
      </c>
      <c r="I361" s="1">
        <v>90.647298591618593</v>
      </c>
      <c r="J361" s="1">
        <v>108.07722366708403</v>
      </c>
      <c r="K361" s="1">
        <v>106.16590636000029</v>
      </c>
      <c r="L361" s="1">
        <v>95.69663892742183</v>
      </c>
      <c r="M361" s="1">
        <v>96.715943522481638</v>
      </c>
      <c r="N361" s="1">
        <v>100.54839460060133</v>
      </c>
      <c r="O361" s="1">
        <v>84.31428097522155</v>
      </c>
      <c r="P361" s="1">
        <v>92.03049797598149</v>
      </c>
      <c r="Q361" s="1">
        <v>100</v>
      </c>
      <c r="R361" s="1">
        <v>98.539127000430625</v>
      </c>
      <c r="S361" s="1">
        <v>101.43383359186025</v>
      </c>
      <c r="T361" s="1">
        <v>107.41219165974233</v>
      </c>
      <c r="U361" s="1">
        <v>100.96372424684154</v>
      </c>
      <c r="V361" s="1">
        <v>95.166068316794167</v>
      </c>
      <c r="W361" s="1">
        <v>102.20284750979505</v>
      </c>
      <c r="X361" s="1">
        <v>98.938308797866256</v>
      </c>
      <c r="Y361" s="1">
        <v>100.5027301718429</v>
      </c>
      <c r="Z361" s="1">
        <v>88.485885661512228</v>
      </c>
      <c r="AA361" s="1">
        <v>96.697105376186386</v>
      </c>
      <c r="AB361" s="1">
        <v>82.839828913563792</v>
      </c>
      <c r="AC361" s="1">
        <v>101.78077976073585</v>
      </c>
      <c r="AD361" s="1">
        <v>113.07002987575412</v>
      </c>
      <c r="AE361" s="1">
        <v>90.035129896114796</v>
      </c>
      <c r="AF361" s="1">
        <v>106.02708283094373</v>
      </c>
      <c r="AG361" s="1">
        <v>100</v>
      </c>
      <c r="AH361" s="1">
        <v>95.492997296199022</v>
      </c>
      <c r="AI361" s="1">
        <v>105.00674373156117</v>
      </c>
      <c r="AJ361" s="1">
        <v>101.7607159866544</v>
      </c>
      <c r="AK361" s="1">
        <v>91.372110379125303</v>
      </c>
      <c r="AL361" s="1">
        <v>108.24966418255758</v>
      </c>
      <c r="AM361" s="1">
        <v>116.7028707921346</v>
      </c>
      <c r="AN361" s="1">
        <v>104.6537395229083</v>
      </c>
      <c r="AO361" s="1">
        <v>105.7480072953785</v>
      </c>
      <c r="AP361" s="1">
        <v>104.10081619973182</v>
      </c>
      <c r="AQ361" s="1">
        <v>93.726423769841205</v>
      </c>
      <c r="AR361" s="1">
        <v>102.41602914572604</v>
      </c>
      <c r="AS361" s="1">
        <v>99.046953672111897</v>
      </c>
      <c r="AT361" s="1">
        <v>104.37966031104533</v>
      </c>
      <c r="AU361" s="1">
        <v>92.683083360025861</v>
      </c>
      <c r="AV361" s="1">
        <v>99.900323214082661</v>
      </c>
      <c r="AW361" s="1">
        <v>100</v>
      </c>
      <c r="AX361" s="1">
        <v>100</v>
      </c>
      <c r="AY361" s="1">
        <v>100</v>
      </c>
      <c r="AZ361" s="1">
        <v>100</v>
      </c>
      <c r="BA361" s="1">
        <v>100</v>
      </c>
      <c r="BB361" s="1">
        <v>100</v>
      </c>
      <c r="BC361" s="1">
        <v>100</v>
      </c>
      <c r="BD361" s="1">
        <v>100</v>
      </c>
      <c r="BE361" s="1">
        <v>100</v>
      </c>
      <c r="BF361" s="1">
        <v>100</v>
      </c>
      <c r="BG361" s="1">
        <v>100</v>
      </c>
      <c r="BH361" s="1">
        <v>100</v>
      </c>
    </row>
    <row r="362" spans="1:60" x14ac:dyDescent="0.25">
      <c r="A362">
        <v>349</v>
      </c>
      <c r="B362" s="1">
        <v>100.84779567932583</v>
      </c>
      <c r="C362" s="1">
        <v>94.353173132071191</v>
      </c>
      <c r="D362" s="1">
        <v>99.900323214082661</v>
      </c>
      <c r="E362" s="1">
        <v>121.42682018788986</v>
      </c>
      <c r="F362" s="1">
        <v>95.932799101521084</v>
      </c>
      <c r="G362" s="1">
        <v>101.20264176422626</v>
      </c>
      <c r="H362" s="1">
        <v>102.6264770510757</v>
      </c>
      <c r="I362" s="1">
        <v>90.647298591618593</v>
      </c>
      <c r="J362" s="1">
        <v>108.07722366708403</v>
      </c>
      <c r="K362" s="1">
        <v>106.16590636000029</v>
      </c>
      <c r="L362" s="1">
        <v>95.69663892742183</v>
      </c>
      <c r="M362" s="1">
        <v>96.715943522481638</v>
      </c>
      <c r="N362" s="1">
        <v>100.54839460060133</v>
      </c>
      <c r="O362" s="1">
        <v>84.31428097522155</v>
      </c>
      <c r="P362" s="1">
        <v>92.03049797598149</v>
      </c>
      <c r="Q362" s="1">
        <v>100</v>
      </c>
      <c r="R362" s="1">
        <v>98.539127000430625</v>
      </c>
      <c r="S362" s="1">
        <v>101.43383359186025</v>
      </c>
      <c r="T362" s="1">
        <v>107.41219165974233</v>
      </c>
      <c r="U362" s="1">
        <v>100.96372424684154</v>
      </c>
      <c r="V362" s="1">
        <v>97.09981439392368</v>
      </c>
      <c r="W362" s="1">
        <v>102.20284750979505</v>
      </c>
      <c r="X362" s="1">
        <v>98.938308797866256</v>
      </c>
      <c r="Y362" s="1">
        <v>100.5027301718429</v>
      </c>
      <c r="Z362" s="1">
        <v>88.485885661512228</v>
      </c>
      <c r="AA362" s="1">
        <v>96.697105376186386</v>
      </c>
      <c r="AB362" s="1">
        <v>82.839828913563792</v>
      </c>
      <c r="AC362" s="1">
        <v>101.78077976073585</v>
      </c>
      <c r="AD362" s="1">
        <v>113.07002987575412</v>
      </c>
      <c r="AE362" s="1">
        <v>90.035129896114796</v>
      </c>
      <c r="AF362" s="1">
        <v>106.02708283094373</v>
      </c>
      <c r="AG362" s="1">
        <v>100</v>
      </c>
      <c r="AH362" s="1">
        <v>95.492997296199022</v>
      </c>
      <c r="AI362" s="1">
        <v>103.25197043476069</v>
      </c>
      <c r="AJ362" s="1">
        <v>101.7607159866544</v>
      </c>
      <c r="AK362" s="1">
        <v>91.372110379125303</v>
      </c>
      <c r="AL362" s="1">
        <v>108.24966418255758</v>
      </c>
      <c r="AM362" s="1">
        <v>116.7028707921346</v>
      </c>
      <c r="AN362" s="1">
        <v>104.6537395229083</v>
      </c>
      <c r="AO362" s="1">
        <v>105.7480072953785</v>
      </c>
      <c r="AP362" s="1">
        <v>104.10081619973182</v>
      </c>
      <c r="AQ362" s="1">
        <v>93.726423769841205</v>
      </c>
      <c r="AR362" s="1">
        <v>102.41602914572604</v>
      </c>
      <c r="AS362" s="1">
        <v>99.046953672111897</v>
      </c>
      <c r="AT362" s="1">
        <v>104.37966031104533</v>
      </c>
      <c r="AU362" s="1">
        <v>92.683083360025861</v>
      </c>
      <c r="AV362" s="1">
        <v>99.900323214082661</v>
      </c>
      <c r="AW362" s="1">
        <v>100</v>
      </c>
      <c r="AX362" s="1">
        <v>100</v>
      </c>
      <c r="AY362" s="1">
        <v>100</v>
      </c>
      <c r="AZ362" s="1">
        <v>100</v>
      </c>
      <c r="BA362" s="1">
        <v>100</v>
      </c>
      <c r="BB362" s="1">
        <v>100</v>
      </c>
      <c r="BC362" s="1">
        <v>100</v>
      </c>
      <c r="BD362" s="1">
        <v>100</v>
      </c>
      <c r="BE362" s="1">
        <v>100</v>
      </c>
      <c r="BF362" s="1">
        <v>100</v>
      </c>
      <c r="BG362" s="1">
        <v>100</v>
      </c>
      <c r="BH362" s="1">
        <v>100</v>
      </c>
    </row>
    <row r="363" spans="1:60" x14ac:dyDescent="0.25">
      <c r="A363">
        <v>350</v>
      </c>
      <c r="B363" s="1">
        <v>101.5281870864013</v>
      </c>
      <c r="C363" s="1">
        <v>94.353173132071191</v>
      </c>
      <c r="D363" s="1">
        <v>99.900323214082661</v>
      </c>
      <c r="E363" s="1">
        <v>120.67948879897023</v>
      </c>
      <c r="F363" s="1">
        <v>95.932799101521084</v>
      </c>
      <c r="G363" s="1">
        <v>101.20264176422626</v>
      </c>
      <c r="H363" s="1">
        <v>102.6264770510757</v>
      </c>
      <c r="I363" s="1">
        <v>90.647298591618593</v>
      </c>
      <c r="J363" s="1">
        <v>108.07722366708403</v>
      </c>
      <c r="K363" s="1">
        <v>106.16590636000029</v>
      </c>
      <c r="L363" s="1">
        <v>95.69663892742183</v>
      </c>
      <c r="M363" s="1">
        <v>96.715943522481638</v>
      </c>
      <c r="N363" s="1">
        <v>100.54839460060133</v>
      </c>
      <c r="O363" s="1">
        <v>84.31428097522155</v>
      </c>
      <c r="P363" s="1">
        <v>92.03049797598149</v>
      </c>
      <c r="Q363" s="1">
        <v>100</v>
      </c>
      <c r="R363" s="1">
        <v>98.539127000430625</v>
      </c>
      <c r="S363" s="1">
        <v>101.43383359186025</v>
      </c>
      <c r="T363" s="1">
        <v>107.41219165974233</v>
      </c>
      <c r="U363" s="1">
        <v>100.96372424684154</v>
      </c>
      <c r="V363" s="1">
        <v>96.502205570415299</v>
      </c>
      <c r="W363" s="1">
        <v>102.20284750979505</v>
      </c>
      <c r="X363" s="1">
        <v>98.938308797866256</v>
      </c>
      <c r="Y363" s="1">
        <v>100.5027301718429</v>
      </c>
      <c r="Z363" s="1">
        <v>88.485885661512228</v>
      </c>
      <c r="AA363" s="1">
        <v>96.697105376186386</v>
      </c>
      <c r="AB363" s="1">
        <v>82.839828913563792</v>
      </c>
      <c r="AC363" s="1">
        <v>101.78077976073585</v>
      </c>
      <c r="AD363" s="1">
        <v>113.07002987575412</v>
      </c>
      <c r="AE363" s="1">
        <v>90.035129896114796</v>
      </c>
      <c r="AF363" s="1">
        <v>106.02708283094373</v>
      </c>
      <c r="AG363" s="1">
        <v>100</v>
      </c>
      <c r="AH363" s="1">
        <v>95.492997296199022</v>
      </c>
      <c r="AI363" s="1">
        <v>103.91651924011323</v>
      </c>
      <c r="AJ363" s="1">
        <v>101.7607159866544</v>
      </c>
      <c r="AK363" s="1">
        <v>91.372110379125303</v>
      </c>
      <c r="AL363" s="1">
        <v>108.24966418255758</v>
      </c>
      <c r="AM363" s="1">
        <v>116.7028707921346</v>
      </c>
      <c r="AN363" s="1">
        <v>104.6537395229083</v>
      </c>
      <c r="AO363" s="1">
        <v>105.7480072953785</v>
      </c>
      <c r="AP363" s="1">
        <v>104.10081619973182</v>
      </c>
      <c r="AQ363" s="1">
        <v>93.726423769841205</v>
      </c>
      <c r="AR363" s="1">
        <v>102.41602914572604</v>
      </c>
      <c r="AS363" s="1">
        <v>99.046953672111897</v>
      </c>
      <c r="AT363" s="1">
        <v>104.37966031104533</v>
      </c>
      <c r="AU363" s="1">
        <v>92.683083360025861</v>
      </c>
      <c r="AV363" s="1">
        <v>99.900323214082661</v>
      </c>
      <c r="AW363" s="1">
        <v>100</v>
      </c>
      <c r="AX363" s="1">
        <v>100</v>
      </c>
      <c r="AY363" s="1">
        <v>100</v>
      </c>
      <c r="AZ363" s="1">
        <v>100</v>
      </c>
      <c r="BA363" s="1">
        <v>100</v>
      </c>
      <c r="BB363" s="1">
        <v>100</v>
      </c>
      <c r="BC363" s="1">
        <v>100</v>
      </c>
      <c r="BD363" s="1">
        <v>100</v>
      </c>
      <c r="BE363" s="1">
        <v>100</v>
      </c>
      <c r="BF363" s="1">
        <v>100</v>
      </c>
      <c r="BG363" s="1">
        <v>100</v>
      </c>
      <c r="BH363" s="1">
        <v>100</v>
      </c>
    </row>
    <row r="364" spans="1:60" x14ac:dyDescent="0.25">
      <c r="A364">
        <v>351</v>
      </c>
      <c r="B364" s="1">
        <v>101.5281870864013</v>
      </c>
      <c r="C364" s="1">
        <v>94.353173132071191</v>
      </c>
      <c r="D364" s="1">
        <v>99.900323214082661</v>
      </c>
      <c r="E364" s="1">
        <v>120.21003720596664</v>
      </c>
      <c r="F364" s="1">
        <v>95.932799101521084</v>
      </c>
      <c r="G364" s="1">
        <v>101.20264176422626</v>
      </c>
      <c r="H364" s="1">
        <v>102.6264770510757</v>
      </c>
      <c r="I364" s="1">
        <v>90.647298591618593</v>
      </c>
      <c r="J364" s="1">
        <v>108.07722366708403</v>
      </c>
      <c r="K364" s="1">
        <v>106.16590636000029</v>
      </c>
      <c r="L364" s="1">
        <v>95.69663892742183</v>
      </c>
      <c r="M364" s="1">
        <v>96.715943522481638</v>
      </c>
      <c r="N364" s="1">
        <v>100.54839460060133</v>
      </c>
      <c r="O364" s="1">
        <v>84.31428097522155</v>
      </c>
      <c r="P364" s="1">
        <v>92.03049797598149</v>
      </c>
      <c r="Q364" s="1">
        <v>100</v>
      </c>
      <c r="R364" s="1">
        <v>98.539127000430625</v>
      </c>
      <c r="S364" s="1">
        <v>101.43383359186025</v>
      </c>
      <c r="T364" s="1">
        <v>107.82141932198689</v>
      </c>
      <c r="U364" s="1">
        <v>100.96372424684154</v>
      </c>
      <c r="V364" s="1">
        <v>96.502205570415299</v>
      </c>
      <c r="W364" s="1">
        <v>102.20284750979505</v>
      </c>
      <c r="X364" s="1">
        <v>98.938308797866256</v>
      </c>
      <c r="Y364" s="1">
        <v>100.5027301718429</v>
      </c>
      <c r="Z364" s="1">
        <v>88.485885661512228</v>
      </c>
      <c r="AA364" s="1">
        <v>96.697105376186386</v>
      </c>
      <c r="AB364" s="1">
        <v>82.839828913563792</v>
      </c>
      <c r="AC364" s="1">
        <v>101.78077976073585</v>
      </c>
      <c r="AD364" s="1">
        <v>113.07002987575412</v>
      </c>
      <c r="AE364" s="1">
        <v>90.035129896114796</v>
      </c>
      <c r="AF364" s="1">
        <v>106.02708283094373</v>
      </c>
      <c r="AG364" s="1">
        <v>100</v>
      </c>
      <c r="AH364" s="1">
        <v>95.492997296199022</v>
      </c>
      <c r="AI364" s="1">
        <v>103.91651924011323</v>
      </c>
      <c r="AJ364" s="1">
        <v>101.7607159866544</v>
      </c>
      <c r="AK364" s="1">
        <v>91.016666523665876</v>
      </c>
      <c r="AL364" s="1">
        <v>108.24966418255758</v>
      </c>
      <c r="AM364" s="1">
        <v>116.7028707921346</v>
      </c>
      <c r="AN364" s="1">
        <v>104.6537395229083</v>
      </c>
      <c r="AO364" s="1">
        <v>106.16367508159694</v>
      </c>
      <c r="AP364" s="1">
        <v>104.10081619973182</v>
      </c>
      <c r="AQ364" s="1">
        <v>93.726423769841205</v>
      </c>
      <c r="AR364" s="1">
        <v>102.41602914572604</v>
      </c>
      <c r="AS364" s="1">
        <v>99.046953672111897</v>
      </c>
      <c r="AT364" s="1">
        <v>104.37966031104533</v>
      </c>
      <c r="AU364" s="1">
        <v>92.683083360025861</v>
      </c>
      <c r="AV364" s="1">
        <v>99.900323214082661</v>
      </c>
      <c r="AW364" s="1">
        <v>100</v>
      </c>
      <c r="AX364" s="1">
        <v>100</v>
      </c>
      <c r="AY364" s="1">
        <v>100</v>
      </c>
      <c r="AZ364" s="1">
        <v>100</v>
      </c>
      <c r="BA364" s="1">
        <v>100</v>
      </c>
      <c r="BB364" s="1">
        <v>100</v>
      </c>
      <c r="BC364" s="1">
        <v>100</v>
      </c>
      <c r="BD364" s="1">
        <v>100</v>
      </c>
      <c r="BE364" s="1">
        <v>100</v>
      </c>
      <c r="BF364" s="1">
        <v>100</v>
      </c>
      <c r="BG364" s="1">
        <v>100</v>
      </c>
      <c r="BH364" s="1">
        <v>100</v>
      </c>
    </row>
    <row r="365" spans="1:60" x14ac:dyDescent="0.25">
      <c r="A365">
        <v>352</v>
      </c>
      <c r="B365" s="1">
        <v>101.5281870864013</v>
      </c>
      <c r="C365" s="1">
        <v>94.353173132071191</v>
      </c>
      <c r="D365" s="1">
        <v>99.900323214082661</v>
      </c>
      <c r="E365" s="1">
        <v>122.20924007576623</v>
      </c>
      <c r="F365" s="1">
        <v>95.932799101521084</v>
      </c>
      <c r="G365" s="1">
        <v>101.20264176422626</v>
      </c>
      <c r="H365" s="1">
        <v>102.6264770510757</v>
      </c>
      <c r="I365" s="1">
        <v>90.647298591618593</v>
      </c>
      <c r="J365" s="1">
        <v>108.07722366708403</v>
      </c>
      <c r="K365" s="1">
        <v>106.16590636000029</v>
      </c>
      <c r="L365" s="1">
        <v>95.69663892742183</v>
      </c>
      <c r="M365" s="1">
        <v>96.715943522481638</v>
      </c>
      <c r="N365" s="1">
        <v>100.54839460060133</v>
      </c>
      <c r="O365" s="1">
        <v>84.31428097522155</v>
      </c>
      <c r="P365" s="1">
        <v>92.03049797598149</v>
      </c>
      <c r="Q365" s="1">
        <v>100</v>
      </c>
      <c r="R365" s="1">
        <v>98.539127000430625</v>
      </c>
      <c r="S365" s="1">
        <v>101.43383359186025</v>
      </c>
      <c r="T365" s="1">
        <v>105.48362508025029</v>
      </c>
      <c r="U365" s="1">
        <v>100.96372424684154</v>
      </c>
      <c r="V365" s="1">
        <v>96.502205570415299</v>
      </c>
      <c r="W365" s="1">
        <v>102.20284750979505</v>
      </c>
      <c r="X365" s="1">
        <v>98.938308797866256</v>
      </c>
      <c r="Y365" s="1">
        <v>100.5027301718429</v>
      </c>
      <c r="Z365" s="1">
        <v>88.485885661512228</v>
      </c>
      <c r="AA365" s="1">
        <v>96.697105376186386</v>
      </c>
      <c r="AB365" s="1">
        <v>82.839828913563792</v>
      </c>
      <c r="AC365" s="1">
        <v>101.78077976073585</v>
      </c>
      <c r="AD365" s="1">
        <v>113.07002987575412</v>
      </c>
      <c r="AE365" s="1">
        <v>90.035129896114796</v>
      </c>
      <c r="AF365" s="1">
        <v>106.02708283094373</v>
      </c>
      <c r="AG365" s="1">
        <v>100</v>
      </c>
      <c r="AH365" s="1">
        <v>95.492997296199022</v>
      </c>
      <c r="AI365" s="1">
        <v>103.91651924011323</v>
      </c>
      <c r="AJ365" s="1">
        <v>101.7607159866544</v>
      </c>
      <c r="AK365" s="1">
        <v>93.657108769464841</v>
      </c>
      <c r="AL365" s="1">
        <v>108.24966418255758</v>
      </c>
      <c r="AM365" s="1">
        <v>116.7028707921346</v>
      </c>
      <c r="AN365" s="1">
        <v>104.6537395229083</v>
      </c>
      <c r="AO365" s="1">
        <v>103.86182420773497</v>
      </c>
      <c r="AP365" s="1">
        <v>104.10081619973182</v>
      </c>
      <c r="AQ365" s="1">
        <v>93.726423769841205</v>
      </c>
      <c r="AR365" s="1">
        <v>102.41602914572604</v>
      </c>
      <c r="AS365" s="1">
        <v>99.046953672111897</v>
      </c>
      <c r="AT365" s="1">
        <v>104.37966031104533</v>
      </c>
      <c r="AU365" s="1">
        <v>92.683083360025861</v>
      </c>
      <c r="AV365" s="1">
        <v>99.900323214082661</v>
      </c>
      <c r="AW365" s="1">
        <v>100</v>
      </c>
      <c r="AX365" s="1">
        <v>100</v>
      </c>
      <c r="AY365" s="1">
        <v>100</v>
      </c>
      <c r="AZ365" s="1">
        <v>100</v>
      </c>
      <c r="BA365" s="1">
        <v>100</v>
      </c>
      <c r="BB365" s="1">
        <v>100</v>
      </c>
      <c r="BC365" s="1">
        <v>100</v>
      </c>
      <c r="BD365" s="1">
        <v>100</v>
      </c>
      <c r="BE365" s="1">
        <v>100</v>
      </c>
      <c r="BF365" s="1">
        <v>100</v>
      </c>
      <c r="BG365" s="1">
        <v>100</v>
      </c>
      <c r="BH365" s="1">
        <v>100</v>
      </c>
    </row>
    <row r="366" spans="1:60" x14ac:dyDescent="0.25">
      <c r="A366">
        <v>353</v>
      </c>
      <c r="B366" s="1">
        <v>101.5281870864013</v>
      </c>
      <c r="C366" s="1">
        <v>94.353173132071191</v>
      </c>
      <c r="D366" s="1">
        <v>98.054957837587452</v>
      </c>
      <c r="E366" s="1">
        <v>119.95178291178561</v>
      </c>
      <c r="F366" s="1">
        <v>95.932799101521084</v>
      </c>
      <c r="G366" s="1">
        <v>101.20264176422626</v>
      </c>
      <c r="H366" s="1">
        <v>102.6264770510757</v>
      </c>
      <c r="I366" s="1">
        <v>90.647298591618593</v>
      </c>
      <c r="J366" s="1">
        <v>110.01256695010927</v>
      </c>
      <c r="K366" s="1">
        <v>106.16590636000029</v>
      </c>
      <c r="L366" s="1">
        <v>95.69663892742183</v>
      </c>
      <c r="M366" s="1">
        <v>96.715943522481638</v>
      </c>
      <c r="N366" s="1">
        <v>100.54839460060133</v>
      </c>
      <c r="O366" s="1">
        <v>84.31428097522155</v>
      </c>
      <c r="P366" s="1">
        <v>92.03049797598149</v>
      </c>
      <c r="Q366" s="1">
        <v>100</v>
      </c>
      <c r="R366" s="1">
        <v>98.539127000430625</v>
      </c>
      <c r="S366" s="1">
        <v>101.43383359186025</v>
      </c>
      <c r="T366" s="1">
        <v>105.48362508025029</v>
      </c>
      <c r="U366" s="1">
        <v>100.96372424684154</v>
      </c>
      <c r="V366" s="1">
        <v>98.669684827865893</v>
      </c>
      <c r="W366" s="1">
        <v>102.20284750979505</v>
      </c>
      <c r="X366" s="1">
        <v>98.938308797866256</v>
      </c>
      <c r="Y366" s="1">
        <v>100.5027301718429</v>
      </c>
      <c r="Z366" s="1">
        <v>88.485885661512228</v>
      </c>
      <c r="AA366" s="1">
        <v>96.697105376186386</v>
      </c>
      <c r="AB366" s="1">
        <v>82.839828913563792</v>
      </c>
      <c r="AC366" s="1">
        <v>101.78077976073585</v>
      </c>
      <c r="AD366" s="1">
        <v>113.07002987575412</v>
      </c>
      <c r="AE366" s="1">
        <v>90.035129896114796</v>
      </c>
      <c r="AF366" s="1">
        <v>106.02708283094373</v>
      </c>
      <c r="AG366" s="1">
        <v>100</v>
      </c>
      <c r="AH366" s="1">
        <v>95.492997296199022</v>
      </c>
      <c r="AI366" s="1">
        <v>103.91651924011323</v>
      </c>
      <c r="AJ366" s="1">
        <v>101.7607159866544</v>
      </c>
      <c r="AK366" s="1">
        <v>93.657108769464841</v>
      </c>
      <c r="AL366" s="1">
        <v>108.24966418255758</v>
      </c>
      <c r="AM366" s="1">
        <v>116.7028707921346</v>
      </c>
      <c r="AN366" s="1">
        <v>104.6537395229083</v>
      </c>
      <c r="AO366" s="1">
        <v>103.86182420773497</v>
      </c>
      <c r="AP366" s="1">
        <v>104.10081619973182</v>
      </c>
      <c r="AQ366" s="1">
        <v>93.726423769841205</v>
      </c>
      <c r="AR366" s="1">
        <v>102.41602914572604</v>
      </c>
      <c r="AS366" s="1">
        <v>99.046953672111897</v>
      </c>
      <c r="AT366" s="1">
        <v>104.37966031104533</v>
      </c>
      <c r="AU366" s="1">
        <v>92.683083360025861</v>
      </c>
      <c r="AV366" s="1">
        <v>99.900323214082661</v>
      </c>
      <c r="AW366" s="1">
        <v>100</v>
      </c>
      <c r="AX366" s="1">
        <v>100</v>
      </c>
      <c r="AY366" s="1">
        <v>100</v>
      </c>
      <c r="AZ366" s="1">
        <v>100</v>
      </c>
      <c r="BA366" s="1">
        <v>100</v>
      </c>
      <c r="BB366" s="1">
        <v>100</v>
      </c>
      <c r="BC366" s="1">
        <v>100</v>
      </c>
      <c r="BD366" s="1">
        <v>100</v>
      </c>
      <c r="BE366" s="1">
        <v>100</v>
      </c>
      <c r="BF366" s="1">
        <v>100</v>
      </c>
      <c r="BG366" s="1">
        <v>100</v>
      </c>
      <c r="BH366" s="1">
        <v>100</v>
      </c>
    </row>
    <row r="367" spans="1:60" x14ac:dyDescent="0.25">
      <c r="A367">
        <v>354</v>
      </c>
      <c r="B367" s="1">
        <v>101.5281870864013</v>
      </c>
      <c r="C367" s="1">
        <v>94.353173132071191</v>
      </c>
      <c r="D367" s="1">
        <v>97.69521325787963</v>
      </c>
      <c r="E367" s="1">
        <v>119.51170313733628</v>
      </c>
      <c r="F367" s="1">
        <v>95.932799101521084</v>
      </c>
      <c r="G367" s="1">
        <v>101.20264176422626</v>
      </c>
      <c r="H367" s="1">
        <v>102.6264770510757</v>
      </c>
      <c r="I367" s="1">
        <v>90.647298591618593</v>
      </c>
      <c r="J367" s="1">
        <v>110.39074198066388</v>
      </c>
      <c r="K367" s="1">
        <v>106.16590636000029</v>
      </c>
      <c r="L367" s="1">
        <v>95.69663892742183</v>
      </c>
      <c r="M367" s="1">
        <v>96.715943522481638</v>
      </c>
      <c r="N367" s="1">
        <v>100.54839460060133</v>
      </c>
      <c r="O367" s="1">
        <v>84.31428097522155</v>
      </c>
      <c r="P367" s="1">
        <v>92.03049797598149</v>
      </c>
      <c r="Q367" s="1">
        <v>100</v>
      </c>
      <c r="R367" s="1">
        <v>98.539127000430625</v>
      </c>
      <c r="S367" s="1">
        <v>101.43383359186025</v>
      </c>
      <c r="T367" s="1">
        <v>105.48362508025029</v>
      </c>
      <c r="U367" s="1">
        <v>100.96372424684154</v>
      </c>
      <c r="V367" s="1">
        <v>99.091334151468459</v>
      </c>
      <c r="W367" s="1">
        <v>102.20284750979505</v>
      </c>
      <c r="X367" s="1">
        <v>98.938308797866256</v>
      </c>
      <c r="Y367" s="1">
        <v>100.5027301718429</v>
      </c>
      <c r="Z367" s="1">
        <v>88.485885661512228</v>
      </c>
      <c r="AA367" s="1">
        <v>96.697105376186386</v>
      </c>
      <c r="AB367" s="1">
        <v>82.839828913563792</v>
      </c>
      <c r="AC367" s="1">
        <v>101.78077976073585</v>
      </c>
      <c r="AD367" s="1">
        <v>113.07002987575412</v>
      </c>
      <c r="AE367" s="1">
        <v>90.035129896114796</v>
      </c>
      <c r="AF367" s="1">
        <v>106.02708283094373</v>
      </c>
      <c r="AG367" s="1">
        <v>100</v>
      </c>
      <c r="AH367" s="1">
        <v>95.492997296199022</v>
      </c>
      <c r="AI367" s="1">
        <v>103.91651924011323</v>
      </c>
      <c r="AJ367" s="1">
        <v>101.7607159866544</v>
      </c>
      <c r="AK367" s="1">
        <v>93.657108769464841</v>
      </c>
      <c r="AL367" s="1">
        <v>108.24966418255758</v>
      </c>
      <c r="AM367" s="1">
        <v>116.7028707921346</v>
      </c>
      <c r="AN367" s="1">
        <v>104.6537395229083</v>
      </c>
      <c r="AO367" s="1">
        <v>103.86182420773497</v>
      </c>
      <c r="AP367" s="1">
        <v>104.10081619973182</v>
      </c>
      <c r="AQ367" s="1">
        <v>93.726423769841205</v>
      </c>
      <c r="AR367" s="1">
        <v>102.41602914572604</v>
      </c>
      <c r="AS367" s="1">
        <v>99.046953672111897</v>
      </c>
      <c r="AT367" s="1">
        <v>104.37966031104533</v>
      </c>
      <c r="AU367" s="1">
        <v>92.683083360025861</v>
      </c>
      <c r="AV367" s="1">
        <v>99.900323214082661</v>
      </c>
      <c r="AW367" s="1">
        <v>100</v>
      </c>
      <c r="AX367" s="1">
        <v>100</v>
      </c>
      <c r="AY367" s="1">
        <v>100</v>
      </c>
      <c r="AZ367" s="1">
        <v>100</v>
      </c>
      <c r="BA367" s="1">
        <v>100</v>
      </c>
      <c r="BB367" s="1">
        <v>100</v>
      </c>
      <c r="BC367" s="1">
        <v>100</v>
      </c>
      <c r="BD367" s="1">
        <v>100</v>
      </c>
      <c r="BE367" s="1">
        <v>100</v>
      </c>
      <c r="BF367" s="1">
        <v>100</v>
      </c>
      <c r="BG367" s="1">
        <v>100</v>
      </c>
      <c r="BH367" s="1">
        <v>100</v>
      </c>
    </row>
    <row r="368" spans="1:60" x14ac:dyDescent="0.25">
      <c r="A368">
        <v>355</v>
      </c>
      <c r="B368" s="1">
        <v>100.99721858363461</v>
      </c>
      <c r="C368" s="1">
        <v>94.353173132071191</v>
      </c>
      <c r="D368" s="1">
        <v>97.69521325787963</v>
      </c>
      <c r="E368" s="1">
        <v>119.51170313733628</v>
      </c>
      <c r="F368" s="1">
        <v>95.932799101521084</v>
      </c>
      <c r="G368" s="1">
        <v>101.20264176422626</v>
      </c>
      <c r="H368" s="1">
        <v>102.6264770510757</v>
      </c>
      <c r="I368" s="1">
        <v>90.647298591618593</v>
      </c>
      <c r="J368" s="1">
        <v>110.39074198066388</v>
      </c>
      <c r="K368" s="1">
        <v>106.16590636000029</v>
      </c>
      <c r="L368" s="1">
        <v>95.69663892742183</v>
      </c>
      <c r="M368" s="1">
        <v>96.715943522481638</v>
      </c>
      <c r="N368" s="1">
        <v>100.54839460060133</v>
      </c>
      <c r="O368" s="1">
        <v>84.31428097522155</v>
      </c>
      <c r="P368" s="1">
        <v>92.03049797598149</v>
      </c>
      <c r="Q368" s="1">
        <v>100</v>
      </c>
      <c r="R368" s="1">
        <v>98.539127000430625</v>
      </c>
      <c r="S368" s="1">
        <v>101.43383359186025</v>
      </c>
      <c r="T368" s="1">
        <v>105.48362508025029</v>
      </c>
      <c r="U368" s="1">
        <v>100.96372424684154</v>
      </c>
      <c r="V368" s="1">
        <v>99.091334151468459</v>
      </c>
      <c r="W368" s="1">
        <v>102.20284750979505</v>
      </c>
      <c r="X368" s="1">
        <v>98.938308797866256</v>
      </c>
      <c r="Y368" s="1">
        <v>100.5027301718429</v>
      </c>
      <c r="Z368" s="1">
        <v>88.485885661512228</v>
      </c>
      <c r="AA368" s="1">
        <v>96.697105376186386</v>
      </c>
      <c r="AB368" s="1">
        <v>82.839828913563792</v>
      </c>
      <c r="AC368" s="1">
        <v>101.78077976073585</v>
      </c>
      <c r="AD368" s="1">
        <v>113.07002987575412</v>
      </c>
      <c r="AE368" s="1">
        <v>90.62169230981722</v>
      </c>
      <c r="AF368" s="1">
        <v>106.02708283094373</v>
      </c>
      <c r="AG368" s="1">
        <v>100</v>
      </c>
      <c r="AH368" s="1">
        <v>95.492997296199022</v>
      </c>
      <c r="AI368" s="1">
        <v>103.37306032277145</v>
      </c>
      <c r="AJ368" s="1">
        <v>101.7607159866544</v>
      </c>
      <c r="AK368" s="1">
        <v>93.657108769464841</v>
      </c>
      <c r="AL368" s="1">
        <v>108.73752918896363</v>
      </c>
      <c r="AM368" s="1">
        <v>116.7028707921346</v>
      </c>
      <c r="AN368" s="1">
        <v>104.6537395229083</v>
      </c>
      <c r="AO368" s="1">
        <v>103.86182420773497</v>
      </c>
      <c r="AP368" s="1">
        <v>104.10081619973182</v>
      </c>
      <c r="AQ368" s="1">
        <v>93.726423769841205</v>
      </c>
      <c r="AR368" s="1">
        <v>102.41602914572604</v>
      </c>
      <c r="AS368" s="1">
        <v>99.046953672111897</v>
      </c>
      <c r="AT368" s="1">
        <v>104.37966031104533</v>
      </c>
      <c r="AU368" s="1">
        <v>92.683083360025861</v>
      </c>
      <c r="AV368" s="1">
        <v>99.900323214082661</v>
      </c>
      <c r="AW368" s="1">
        <v>100</v>
      </c>
      <c r="AX368" s="1">
        <v>100</v>
      </c>
      <c r="AY368" s="1">
        <v>100</v>
      </c>
      <c r="AZ368" s="1">
        <v>100</v>
      </c>
      <c r="BA368" s="1">
        <v>100</v>
      </c>
      <c r="BB368" s="1">
        <v>100</v>
      </c>
      <c r="BC368" s="1">
        <v>100</v>
      </c>
      <c r="BD368" s="1">
        <v>100</v>
      </c>
      <c r="BE368" s="1">
        <v>100</v>
      </c>
      <c r="BF368" s="1">
        <v>100</v>
      </c>
      <c r="BG368" s="1">
        <v>100</v>
      </c>
      <c r="BH368" s="1">
        <v>100</v>
      </c>
    </row>
    <row r="369" spans="1:60" x14ac:dyDescent="0.25">
      <c r="A369">
        <v>356</v>
      </c>
      <c r="B369" s="1">
        <v>101.81315873044775</v>
      </c>
      <c r="C369" s="1">
        <v>94.353173132071191</v>
      </c>
      <c r="D369" s="1">
        <v>97.69521325787963</v>
      </c>
      <c r="E369" s="1">
        <v>119.51170313733628</v>
      </c>
      <c r="F369" s="1">
        <v>95.932799101521084</v>
      </c>
      <c r="G369" s="1">
        <v>101.20264176422626</v>
      </c>
      <c r="H369" s="1">
        <v>102.6264770510757</v>
      </c>
      <c r="I369" s="1">
        <v>90.647298591618593</v>
      </c>
      <c r="J369" s="1">
        <v>110.39074198066388</v>
      </c>
      <c r="K369" s="1">
        <v>106.16590636000029</v>
      </c>
      <c r="L369" s="1">
        <v>95.69663892742183</v>
      </c>
      <c r="M369" s="1">
        <v>96.715943522481638</v>
      </c>
      <c r="N369" s="1">
        <v>100.54839460060133</v>
      </c>
      <c r="O369" s="1">
        <v>84.31428097522155</v>
      </c>
      <c r="P369" s="1">
        <v>92.03049797598149</v>
      </c>
      <c r="Q369" s="1">
        <v>100</v>
      </c>
      <c r="R369" s="1">
        <v>98.539127000430625</v>
      </c>
      <c r="S369" s="1">
        <v>101.43383359186025</v>
      </c>
      <c r="T369" s="1">
        <v>105.48362508025029</v>
      </c>
      <c r="U369" s="1">
        <v>100.96372424684154</v>
      </c>
      <c r="V369" s="1">
        <v>99.091334151468459</v>
      </c>
      <c r="W369" s="1">
        <v>102.20284750979505</v>
      </c>
      <c r="X369" s="1">
        <v>98.938308797866256</v>
      </c>
      <c r="Y369" s="1">
        <v>100.5027301718429</v>
      </c>
      <c r="Z369" s="1">
        <v>88.485885661512228</v>
      </c>
      <c r="AA369" s="1">
        <v>96.697105376186386</v>
      </c>
      <c r="AB369" s="1">
        <v>82.839828913563792</v>
      </c>
      <c r="AC369" s="1">
        <v>101.78077976073585</v>
      </c>
      <c r="AD369" s="1">
        <v>113.07002987575412</v>
      </c>
      <c r="AE369" s="1">
        <v>89.888421316744811</v>
      </c>
      <c r="AF369" s="1">
        <v>106.02708283094373</v>
      </c>
      <c r="AG369" s="1">
        <v>100</v>
      </c>
      <c r="AH369" s="1">
        <v>95.492997296199022</v>
      </c>
      <c r="AI369" s="1">
        <v>104.17024756963772</v>
      </c>
      <c r="AJ369" s="1">
        <v>101.7607159866544</v>
      </c>
      <c r="AK369" s="1">
        <v>93.657108769464841</v>
      </c>
      <c r="AL369" s="1">
        <v>107.85767278835662</v>
      </c>
      <c r="AM369" s="1">
        <v>116.7028707921346</v>
      </c>
      <c r="AN369" s="1">
        <v>104.6537395229083</v>
      </c>
      <c r="AO369" s="1">
        <v>103.86182420773497</v>
      </c>
      <c r="AP369" s="1">
        <v>104.10081619973182</v>
      </c>
      <c r="AQ369" s="1">
        <v>93.726423769841205</v>
      </c>
      <c r="AR369" s="1">
        <v>102.41602914572604</v>
      </c>
      <c r="AS369" s="1">
        <v>99.046953672111897</v>
      </c>
      <c r="AT369" s="1">
        <v>104.37966031104533</v>
      </c>
      <c r="AU369" s="1">
        <v>92.683083360025861</v>
      </c>
      <c r="AV369" s="1">
        <v>99.900323214082661</v>
      </c>
      <c r="AW369" s="1">
        <v>100</v>
      </c>
      <c r="AX369" s="1">
        <v>100</v>
      </c>
      <c r="AY369" s="1">
        <v>100</v>
      </c>
      <c r="AZ369" s="1">
        <v>100</v>
      </c>
      <c r="BA369" s="1">
        <v>100</v>
      </c>
      <c r="BB369" s="1">
        <v>100</v>
      </c>
      <c r="BC369" s="1">
        <v>100</v>
      </c>
      <c r="BD369" s="1">
        <v>100</v>
      </c>
      <c r="BE369" s="1">
        <v>100</v>
      </c>
      <c r="BF369" s="1">
        <v>100</v>
      </c>
      <c r="BG369" s="1">
        <v>100</v>
      </c>
      <c r="BH369" s="1">
        <v>100</v>
      </c>
    </row>
    <row r="370" spans="1:60" x14ac:dyDescent="0.25">
      <c r="A370">
        <v>357</v>
      </c>
      <c r="B370" s="1">
        <v>101.81315873044775</v>
      </c>
      <c r="C370" s="1">
        <v>94.353173132071191</v>
      </c>
      <c r="D370" s="1">
        <v>97.69521325787963</v>
      </c>
      <c r="E370" s="1">
        <v>119.51170313733628</v>
      </c>
      <c r="F370" s="1">
        <v>95.932799101521084</v>
      </c>
      <c r="G370" s="1">
        <v>101.20264176422626</v>
      </c>
      <c r="H370" s="1">
        <v>102.6264770510757</v>
      </c>
      <c r="I370" s="1">
        <v>90.647298591618593</v>
      </c>
      <c r="J370" s="1">
        <v>110.39074198066388</v>
      </c>
      <c r="K370" s="1">
        <v>106.16590636000029</v>
      </c>
      <c r="L370" s="1">
        <v>95.69663892742183</v>
      </c>
      <c r="M370" s="1">
        <v>96.715943522481638</v>
      </c>
      <c r="N370" s="1">
        <v>100.54839460060133</v>
      </c>
      <c r="O370" s="1">
        <v>84.31428097522155</v>
      </c>
      <c r="P370" s="1">
        <v>92.03049797598149</v>
      </c>
      <c r="Q370" s="1">
        <v>100</v>
      </c>
      <c r="R370" s="1">
        <v>98.539127000430625</v>
      </c>
      <c r="S370" s="1">
        <v>101.43383359186025</v>
      </c>
      <c r="T370" s="1">
        <v>105.48362508025029</v>
      </c>
      <c r="U370" s="1">
        <v>100.96372424684154</v>
      </c>
      <c r="V370" s="1">
        <v>99.867520464687445</v>
      </c>
      <c r="W370" s="1">
        <v>102.20284750979505</v>
      </c>
      <c r="X370" s="1">
        <v>98.938308797866256</v>
      </c>
      <c r="Y370" s="1">
        <v>99.772910979741511</v>
      </c>
      <c r="Z370" s="1">
        <v>88.485885661512228</v>
      </c>
      <c r="AA370" s="1">
        <v>96.697105376186386</v>
      </c>
      <c r="AB370" s="1">
        <v>82.839828913563792</v>
      </c>
      <c r="AC370" s="1">
        <v>101.78077976073585</v>
      </c>
      <c r="AD370" s="1">
        <v>113.07002987575412</v>
      </c>
      <c r="AE370" s="1">
        <v>89.888421316744811</v>
      </c>
      <c r="AF370" s="1">
        <v>106.02708283094373</v>
      </c>
      <c r="AG370" s="1">
        <v>100</v>
      </c>
      <c r="AH370" s="1">
        <v>95.492997296199022</v>
      </c>
      <c r="AI370" s="1">
        <v>104.17024756963772</v>
      </c>
      <c r="AJ370" s="1">
        <v>101.7607159866544</v>
      </c>
      <c r="AK370" s="1">
        <v>93.657108769464841</v>
      </c>
      <c r="AL370" s="1">
        <v>107.07444431802809</v>
      </c>
      <c r="AM370" s="1">
        <v>116.7028707921346</v>
      </c>
      <c r="AN370" s="1">
        <v>104.6537395229083</v>
      </c>
      <c r="AO370" s="1">
        <v>103.86182420773497</v>
      </c>
      <c r="AP370" s="1">
        <v>104.10081619973182</v>
      </c>
      <c r="AQ370" s="1">
        <v>93.726423769841205</v>
      </c>
      <c r="AR370" s="1">
        <v>102.41602914572604</v>
      </c>
      <c r="AS370" s="1">
        <v>99.046953672111897</v>
      </c>
      <c r="AT370" s="1">
        <v>105.11652166025628</v>
      </c>
      <c r="AU370" s="1">
        <v>92.683083360025861</v>
      </c>
      <c r="AV370" s="1">
        <v>99.900323214082661</v>
      </c>
      <c r="AW370" s="1">
        <v>100</v>
      </c>
      <c r="AX370" s="1">
        <v>100</v>
      </c>
      <c r="AY370" s="1">
        <v>100</v>
      </c>
      <c r="AZ370" s="1">
        <v>100</v>
      </c>
      <c r="BA370" s="1">
        <v>100</v>
      </c>
      <c r="BB370" s="1">
        <v>100</v>
      </c>
      <c r="BC370" s="1">
        <v>100</v>
      </c>
      <c r="BD370" s="1">
        <v>100</v>
      </c>
      <c r="BE370" s="1">
        <v>100</v>
      </c>
      <c r="BF370" s="1">
        <v>100</v>
      </c>
      <c r="BG370" s="1">
        <v>100</v>
      </c>
      <c r="BH370" s="1">
        <v>100</v>
      </c>
    </row>
    <row r="371" spans="1:60" x14ac:dyDescent="0.25">
      <c r="A371">
        <v>358</v>
      </c>
      <c r="B371" s="1">
        <v>101.81315873044775</v>
      </c>
      <c r="C371" s="1">
        <v>94.353173132071191</v>
      </c>
      <c r="D371" s="1">
        <v>97.69521325787963</v>
      </c>
      <c r="E371" s="1">
        <v>119.51170313733628</v>
      </c>
      <c r="F371" s="1">
        <v>95.932799101521084</v>
      </c>
      <c r="G371" s="1">
        <v>101.20264176422626</v>
      </c>
      <c r="H371" s="1">
        <v>102.6264770510757</v>
      </c>
      <c r="I371" s="1">
        <v>90.647298591618593</v>
      </c>
      <c r="J371" s="1">
        <v>110.39074198066388</v>
      </c>
      <c r="K371" s="1">
        <v>106.16590636000029</v>
      </c>
      <c r="L371" s="1">
        <v>95.69663892742183</v>
      </c>
      <c r="M371" s="1">
        <v>96.715943522481638</v>
      </c>
      <c r="N371" s="1">
        <v>100.54839460060133</v>
      </c>
      <c r="O371" s="1">
        <v>84.31428097522155</v>
      </c>
      <c r="P371" s="1">
        <v>92.03049797598149</v>
      </c>
      <c r="Q371" s="1">
        <v>100</v>
      </c>
      <c r="R371" s="1">
        <v>98.539127000430625</v>
      </c>
      <c r="S371" s="1">
        <v>101.43383359186025</v>
      </c>
      <c r="T371" s="1">
        <v>105.48362508025029</v>
      </c>
      <c r="U371" s="1">
        <v>100.96372424684154</v>
      </c>
      <c r="V371" s="1">
        <v>99.846517578811586</v>
      </c>
      <c r="W371" s="1">
        <v>102.20284750979505</v>
      </c>
      <c r="X371" s="1">
        <v>98.938308797866256</v>
      </c>
      <c r="Y371" s="1">
        <v>99.795226684906055</v>
      </c>
      <c r="Z371" s="1">
        <v>88.485885661512228</v>
      </c>
      <c r="AA371" s="1">
        <v>96.697105376186386</v>
      </c>
      <c r="AB371" s="1">
        <v>82.839828913563792</v>
      </c>
      <c r="AC371" s="1">
        <v>101.78077976073585</v>
      </c>
      <c r="AD371" s="1">
        <v>113.07002987575412</v>
      </c>
      <c r="AE371" s="1">
        <v>89.888421316744811</v>
      </c>
      <c r="AF371" s="1">
        <v>106.02708283094373</v>
      </c>
      <c r="AG371" s="1">
        <v>100</v>
      </c>
      <c r="AH371" s="1">
        <v>95.492997296199022</v>
      </c>
      <c r="AI371" s="1">
        <v>104.17024756963772</v>
      </c>
      <c r="AJ371" s="1">
        <v>101.7607159866544</v>
      </c>
      <c r="AK371" s="1">
        <v>93.657108769464841</v>
      </c>
      <c r="AL371" s="1">
        <v>107.09523828879313</v>
      </c>
      <c r="AM371" s="1">
        <v>116.7028707921346</v>
      </c>
      <c r="AN371" s="1">
        <v>104.6537395229083</v>
      </c>
      <c r="AO371" s="1">
        <v>103.86182420773497</v>
      </c>
      <c r="AP371" s="1">
        <v>104.10081619973182</v>
      </c>
      <c r="AQ371" s="1">
        <v>93.726423769841205</v>
      </c>
      <c r="AR371" s="1">
        <v>102.41602914572604</v>
      </c>
      <c r="AS371" s="1">
        <v>99.046953672111897</v>
      </c>
      <c r="AT371" s="1">
        <v>105.09441487020257</v>
      </c>
      <c r="AU371" s="1">
        <v>92.683083360025861</v>
      </c>
      <c r="AV371" s="1">
        <v>99.900323214082661</v>
      </c>
      <c r="AW371" s="1">
        <v>100</v>
      </c>
      <c r="AX371" s="1">
        <v>100</v>
      </c>
      <c r="AY371" s="1">
        <v>100</v>
      </c>
      <c r="AZ371" s="1">
        <v>100</v>
      </c>
      <c r="BA371" s="1">
        <v>100</v>
      </c>
      <c r="BB371" s="1">
        <v>100</v>
      </c>
      <c r="BC371" s="1">
        <v>100</v>
      </c>
      <c r="BD371" s="1">
        <v>100</v>
      </c>
      <c r="BE371" s="1">
        <v>100</v>
      </c>
      <c r="BF371" s="1">
        <v>100</v>
      </c>
      <c r="BG371" s="1">
        <v>100</v>
      </c>
      <c r="BH371" s="1">
        <v>100</v>
      </c>
    </row>
    <row r="372" spans="1:60" x14ac:dyDescent="0.25">
      <c r="A372">
        <v>359</v>
      </c>
      <c r="B372" s="1">
        <v>101.81315873044775</v>
      </c>
      <c r="C372" s="1">
        <v>94.353173132071191</v>
      </c>
      <c r="D372" s="1">
        <v>97.69521325787963</v>
      </c>
      <c r="E372" s="1">
        <v>119.51170313733628</v>
      </c>
      <c r="F372" s="1">
        <v>95.932799101521084</v>
      </c>
      <c r="G372" s="1">
        <v>101.20264176422626</v>
      </c>
      <c r="H372" s="1">
        <v>102.6264770510757</v>
      </c>
      <c r="I372" s="1">
        <v>90.647298591618593</v>
      </c>
      <c r="J372" s="1">
        <v>109.01081628936548</v>
      </c>
      <c r="K372" s="1">
        <v>106.16590636000029</v>
      </c>
      <c r="L372" s="1">
        <v>95.69663892742183</v>
      </c>
      <c r="M372" s="1">
        <v>96.715943522481638</v>
      </c>
      <c r="N372" s="1">
        <v>100.54839460060133</v>
      </c>
      <c r="O372" s="1">
        <v>84.31428097522155</v>
      </c>
      <c r="P372" s="1">
        <v>92.03049797598149</v>
      </c>
      <c r="Q372" s="1">
        <v>100</v>
      </c>
      <c r="R372" s="1">
        <v>98.539127000430625</v>
      </c>
      <c r="S372" s="1">
        <v>102.78090544653867</v>
      </c>
      <c r="T372" s="1">
        <v>105.48362508025029</v>
      </c>
      <c r="U372" s="1">
        <v>100.96372424684154</v>
      </c>
      <c r="V372" s="1">
        <v>99.846517578811586</v>
      </c>
      <c r="W372" s="1">
        <v>102.20284750979505</v>
      </c>
      <c r="X372" s="1">
        <v>98.938308797866256</v>
      </c>
      <c r="Y372" s="1">
        <v>99.795226684906055</v>
      </c>
      <c r="Z372" s="1">
        <v>88.485885661512228</v>
      </c>
      <c r="AA372" s="1">
        <v>96.697105376186386</v>
      </c>
      <c r="AB372" s="1">
        <v>82.839828913563792</v>
      </c>
      <c r="AC372" s="1">
        <v>101.78077976073585</v>
      </c>
      <c r="AD372" s="1">
        <v>113.07002987575412</v>
      </c>
      <c r="AE372" s="1">
        <v>89.888421316744811</v>
      </c>
      <c r="AF372" s="1">
        <v>106.02708283094373</v>
      </c>
      <c r="AG372" s="1">
        <v>100</v>
      </c>
      <c r="AH372" s="1">
        <v>95.492997296199022</v>
      </c>
      <c r="AI372" s="1">
        <v>104.17024756963772</v>
      </c>
      <c r="AJ372" s="1">
        <v>101.7607159866544</v>
      </c>
      <c r="AK372" s="1">
        <v>93.657108769464841</v>
      </c>
      <c r="AL372" s="1">
        <v>107.09523828879313</v>
      </c>
      <c r="AM372" s="1">
        <v>116.7028707921346</v>
      </c>
      <c r="AN372" s="1">
        <v>104.6537395229083</v>
      </c>
      <c r="AO372" s="1">
        <v>103.86182420773497</v>
      </c>
      <c r="AP372" s="1">
        <v>102.7995169405575</v>
      </c>
      <c r="AQ372" s="1">
        <v>93.726423769841205</v>
      </c>
      <c r="AR372" s="1">
        <v>103.75018224152033</v>
      </c>
      <c r="AS372" s="1">
        <v>99.046953672111897</v>
      </c>
      <c r="AT372" s="1">
        <v>105.09441487020257</v>
      </c>
      <c r="AU372" s="1">
        <v>92.683083360025861</v>
      </c>
      <c r="AV372" s="1">
        <v>99.900323214082661</v>
      </c>
      <c r="AW372" s="1">
        <v>100</v>
      </c>
      <c r="AX372" s="1">
        <v>100</v>
      </c>
      <c r="AY372" s="1">
        <v>100</v>
      </c>
      <c r="AZ372" s="1">
        <v>100</v>
      </c>
      <c r="BA372" s="1">
        <v>100</v>
      </c>
      <c r="BB372" s="1">
        <v>100</v>
      </c>
      <c r="BC372" s="1">
        <v>100</v>
      </c>
      <c r="BD372" s="1">
        <v>100</v>
      </c>
      <c r="BE372" s="1">
        <v>100</v>
      </c>
      <c r="BF372" s="1">
        <v>100</v>
      </c>
      <c r="BG372" s="1">
        <v>100</v>
      </c>
      <c r="BH372" s="1">
        <v>100</v>
      </c>
    </row>
    <row r="373" spans="1:60" x14ac:dyDescent="0.25">
      <c r="A373">
        <v>360</v>
      </c>
      <c r="B373" s="1">
        <v>101.81315873044775</v>
      </c>
      <c r="C373" s="1">
        <v>94.353173132071191</v>
      </c>
      <c r="D373" s="1">
        <v>97.69521325787963</v>
      </c>
      <c r="E373" s="1">
        <v>119.51170313733628</v>
      </c>
      <c r="F373" s="1">
        <v>95.932799101521084</v>
      </c>
      <c r="G373" s="1">
        <v>101.20264176422626</v>
      </c>
      <c r="H373" s="1">
        <v>102.6264770510757</v>
      </c>
      <c r="I373" s="1">
        <v>90.647298591618593</v>
      </c>
      <c r="J373" s="1">
        <v>108.83206401308598</v>
      </c>
      <c r="K373" s="1">
        <v>106.16590636000029</v>
      </c>
      <c r="L373" s="1">
        <v>95.69663892742183</v>
      </c>
      <c r="M373" s="1">
        <v>96.715943522481638</v>
      </c>
      <c r="N373" s="1">
        <v>100.54839460060133</v>
      </c>
      <c r="O373" s="1">
        <v>84.31428097522155</v>
      </c>
      <c r="P373" s="1">
        <v>92.03049797598149</v>
      </c>
      <c r="Q373" s="1">
        <v>100</v>
      </c>
      <c r="R373" s="1">
        <v>98.539127000430625</v>
      </c>
      <c r="S373" s="1">
        <v>102.95538019010159</v>
      </c>
      <c r="T373" s="1">
        <v>105.48362508025029</v>
      </c>
      <c r="U373" s="1">
        <v>100.96372424684154</v>
      </c>
      <c r="V373" s="1">
        <v>99.846517578811586</v>
      </c>
      <c r="W373" s="1">
        <v>102.20284750979505</v>
      </c>
      <c r="X373" s="1">
        <v>98.938308797866256</v>
      </c>
      <c r="Y373" s="1">
        <v>99.795226684906055</v>
      </c>
      <c r="Z373" s="1">
        <v>88.485885661512228</v>
      </c>
      <c r="AA373" s="1">
        <v>96.697105376186386</v>
      </c>
      <c r="AB373" s="1">
        <v>82.839828913563792</v>
      </c>
      <c r="AC373" s="1">
        <v>101.78077976073585</v>
      </c>
      <c r="AD373" s="1">
        <v>113.07002987575412</v>
      </c>
      <c r="AE373" s="1">
        <v>89.888421316744811</v>
      </c>
      <c r="AF373" s="1">
        <v>106.02708283094373</v>
      </c>
      <c r="AG373" s="1">
        <v>100</v>
      </c>
      <c r="AH373" s="1">
        <v>95.492997296199022</v>
      </c>
      <c r="AI373" s="1">
        <v>104.17024756963772</v>
      </c>
      <c r="AJ373" s="1">
        <v>101.7607159866544</v>
      </c>
      <c r="AK373" s="1">
        <v>93.657108769464841</v>
      </c>
      <c r="AL373" s="1">
        <v>107.09523828879313</v>
      </c>
      <c r="AM373" s="1">
        <v>116.7028707921346</v>
      </c>
      <c r="AN373" s="1">
        <v>104.6537395229083</v>
      </c>
      <c r="AO373" s="1">
        <v>103.86182420773497</v>
      </c>
      <c r="AP373" s="1">
        <v>102.63094974439248</v>
      </c>
      <c r="AQ373" s="1">
        <v>93.726423769841205</v>
      </c>
      <c r="AR373" s="1">
        <v>103.92302697040192</v>
      </c>
      <c r="AS373" s="1">
        <v>99.046953672111897</v>
      </c>
      <c r="AT373" s="1">
        <v>105.09441487020257</v>
      </c>
      <c r="AU373" s="1">
        <v>92.683083360025861</v>
      </c>
      <c r="AV373" s="1">
        <v>99.900323214082661</v>
      </c>
      <c r="AW373" s="1">
        <v>100</v>
      </c>
      <c r="AX373" s="1">
        <v>100</v>
      </c>
      <c r="AY373" s="1">
        <v>100</v>
      </c>
      <c r="AZ373" s="1">
        <v>100</v>
      </c>
      <c r="BA373" s="1">
        <v>100</v>
      </c>
      <c r="BB373" s="1">
        <v>100</v>
      </c>
      <c r="BC373" s="1">
        <v>100</v>
      </c>
      <c r="BD373" s="1">
        <v>100</v>
      </c>
      <c r="BE373" s="1">
        <v>100</v>
      </c>
      <c r="BF373" s="1">
        <v>100</v>
      </c>
      <c r="BG373" s="1">
        <v>100</v>
      </c>
      <c r="BH373" s="1">
        <v>100</v>
      </c>
    </row>
    <row r="374" spans="1:60" x14ac:dyDescent="0.25">
      <c r="A374">
        <v>361</v>
      </c>
      <c r="B374" s="1">
        <v>102.38893381231219</v>
      </c>
      <c r="C374" s="1">
        <v>94.353173132071191</v>
      </c>
      <c r="D374" s="1">
        <v>97.69521325787963</v>
      </c>
      <c r="E374" s="1">
        <v>119.51170313733628</v>
      </c>
      <c r="F374" s="1">
        <v>95.932799101521084</v>
      </c>
      <c r="G374" s="1">
        <v>101.20264176422626</v>
      </c>
      <c r="H374" s="1">
        <v>102.6264770510757</v>
      </c>
      <c r="I374" s="1">
        <v>90.647298591618593</v>
      </c>
      <c r="J374" s="1">
        <v>108.83206401308598</v>
      </c>
      <c r="K374" s="1">
        <v>106.16590636000029</v>
      </c>
      <c r="L374" s="1">
        <v>95.69663892742183</v>
      </c>
      <c r="M374" s="1">
        <v>96.715943522481638</v>
      </c>
      <c r="N374" s="1">
        <v>100.54839460060133</v>
      </c>
      <c r="O374" s="1">
        <v>85.009554410811049</v>
      </c>
      <c r="P374" s="1">
        <v>92.03049797598149</v>
      </c>
      <c r="Q374" s="1">
        <v>100</v>
      </c>
      <c r="R374" s="1">
        <v>98.539127000430625</v>
      </c>
      <c r="S374" s="1">
        <v>102.95538019010159</v>
      </c>
      <c r="T374" s="1">
        <v>105.48362508025029</v>
      </c>
      <c r="U374" s="1">
        <v>100.96372424684154</v>
      </c>
      <c r="V374" s="1">
        <v>99.846517578811586</v>
      </c>
      <c r="W374" s="1">
        <v>102.20284750979505</v>
      </c>
      <c r="X374" s="1">
        <v>98.938308797866256</v>
      </c>
      <c r="Y374" s="1">
        <v>99.18212653578631</v>
      </c>
      <c r="Z374" s="1">
        <v>88.485885661512228</v>
      </c>
      <c r="AA374" s="1">
        <v>96.697105376186386</v>
      </c>
      <c r="AB374" s="1">
        <v>82.839828913563792</v>
      </c>
      <c r="AC374" s="1">
        <v>101.78077976073585</v>
      </c>
      <c r="AD374" s="1">
        <v>113.07002987575412</v>
      </c>
      <c r="AE374" s="1">
        <v>89.888421316744811</v>
      </c>
      <c r="AF374" s="1">
        <v>106.02708283094373</v>
      </c>
      <c r="AG374" s="1">
        <v>100</v>
      </c>
      <c r="AH374" s="1">
        <v>95.492997296199022</v>
      </c>
      <c r="AI374" s="1">
        <v>104.17024756963772</v>
      </c>
      <c r="AJ374" s="1">
        <v>101.7607159866544</v>
      </c>
      <c r="AK374" s="1">
        <v>93.657108769464841</v>
      </c>
      <c r="AL374" s="1">
        <v>106.43728992045895</v>
      </c>
      <c r="AM374" s="1">
        <v>116.7028707921346</v>
      </c>
      <c r="AN374" s="1">
        <v>104.6537395229083</v>
      </c>
      <c r="AO374" s="1">
        <v>103.86182420773497</v>
      </c>
      <c r="AP374" s="1">
        <v>102.63094974439248</v>
      </c>
      <c r="AQ374" s="1">
        <v>93.726423769841205</v>
      </c>
      <c r="AR374" s="1">
        <v>103.92302697040192</v>
      </c>
      <c r="AS374" s="1">
        <v>99.046953672111897</v>
      </c>
      <c r="AT374" s="1">
        <v>105.09441487020257</v>
      </c>
      <c r="AU374" s="1">
        <v>92.683083360025861</v>
      </c>
      <c r="AV374" s="1">
        <v>99.900323214082661</v>
      </c>
      <c r="AW374" s="1">
        <v>100</v>
      </c>
      <c r="AX374" s="1">
        <v>100</v>
      </c>
      <c r="AY374" s="1">
        <v>100</v>
      </c>
      <c r="AZ374" s="1">
        <v>100</v>
      </c>
      <c r="BA374" s="1">
        <v>100</v>
      </c>
      <c r="BB374" s="1">
        <v>100</v>
      </c>
      <c r="BC374" s="1">
        <v>100</v>
      </c>
      <c r="BD374" s="1">
        <v>100</v>
      </c>
      <c r="BE374" s="1">
        <v>100</v>
      </c>
      <c r="BF374" s="1">
        <v>100</v>
      </c>
      <c r="BG374" s="1">
        <v>100</v>
      </c>
      <c r="BH374" s="1">
        <v>100</v>
      </c>
    </row>
    <row r="375" spans="1:60" x14ac:dyDescent="0.25">
      <c r="A375">
        <v>362</v>
      </c>
      <c r="B375" s="1">
        <v>101.11057325745688</v>
      </c>
      <c r="C375" s="1">
        <v>94.353173132071191</v>
      </c>
      <c r="D375" s="1">
        <v>97.69521325787963</v>
      </c>
      <c r="E375" s="1">
        <v>119.51170313733628</v>
      </c>
      <c r="F375" s="1">
        <v>95.932799101521084</v>
      </c>
      <c r="G375" s="1">
        <v>101.20264176422626</v>
      </c>
      <c r="H375" s="1">
        <v>102.6264770510757</v>
      </c>
      <c r="I375" s="1">
        <v>90.647298591618593</v>
      </c>
      <c r="J375" s="1">
        <v>108.83206401308598</v>
      </c>
      <c r="K375" s="1">
        <v>106.16590636000029</v>
      </c>
      <c r="L375" s="1">
        <v>95.69663892742183</v>
      </c>
      <c r="M375" s="1">
        <v>96.715943522481638</v>
      </c>
      <c r="N375" s="1">
        <v>100.54839460060133</v>
      </c>
      <c r="O375" s="1">
        <v>83.94818130047264</v>
      </c>
      <c r="P375" s="1">
        <v>92.03049797598149</v>
      </c>
      <c r="Q375" s="1">
        <v>100</v>
      </c>
      <c r="R375" s="1">
        <v>98.539127000430625</v>
      </c>
      <c r="S375" s="1">
        <v>102.95538019010159</v>
      </c>
      <c r="T375" s="1">
        <v>105.48362508025029</v>
      </c>
      <c r="U375" s="1">
        <v>100.96372424684154</v>
      </c>
      <c r="V375" s="1">
        <v>99.846517578811586</v>
      </c>
      <c r="W375" s="1">
        <v>102.20284750979505</v>
      </c>
      <c r="X375" s="1">
        <v>98.938308797866256</v>
      </c>
      <c r="Y375" s="1">
        <v>100.39327144977781</v>
      </c>
      <c r="Z375" s="1">
        <v>88.485885661512228</v>
      </c>
      <c r="AA375" s="1">
        <v>96.697105376186386</v>
      </c>
      <c r="AB375" s="1">
        <v>82.839828913563792</v>
      </c>
      <c r="AC375" s="1">
        <v>101.78077976073585</v>
      </c>
      <c r="AD375" s="1">
        <v>113.07002987575412</v>
      </c>
      <c r="AE375" s="1">
        <v>89.888421316744811</v>
      </c>
      <c r="AF375" s="1">
        <v>106.02708283094373</v>
      </c>
      <c r="AG375" s="1">
        <v>100</v>
      </c>
      <c r="AH375" s="1">
        <v>95.492997296199022</v>
      </c>
      <c r="AI375" s="1">
        <v>104.17024756963772</v>
      </c>
      <c r="AJ375" s="1">
        <v>101.7607159866544</v>
      </c>
      <c r="AK375" s="1">
        <v>93.657108769464841</v>
      </c>
      <c r="AL375" s="1">
        <v>107.56587867166117</v>
      </c>
      <c r="AM375" s="1">
        <v>116.7028707921346</v>
      </c>
      <c r="AN375" s="1">
        <v>104.6537395229083</v>
      </c>
      <c r="AO375" s="1">
        <v>103.86182420773497</v>
      </c>
      <c r="AP375" s="1">
        <v>102.63094974439248</v>
      </c>
      <c r="AQ375" s="1">
        <v>93.726423769841205</v>
      </c>
      <c r="AR375" s="1">
        <v>103.92302697040192</v>
      </c>
      <c r="AS375" s="1">
        <v>99.046953672111897</v>
      </c>
      <c r="AT375" s="1">
        <v>105.09441487020257</v>
      </c>
      <c r="AU375" s="1">
        <v>92.683083360025861</v>
      </c>
      <c r="AV375" s="1">
        <v>99.900323214082661</v>
      </c>
      <c r="AW375" s="1">
        <v>100</v>
      </c>
      <c r="AX375" s="1">
        <v>100</v>
      </c>
      <c r="AY375" s="1">
        <v>100</v>
      </c>
      <c r="AZ375" s="1">
        <v>100</v>
      </c>
      <c r="BA375" s="1">
        <v>100</v>
      </c>
      <c r="BB375" s="1">
        <v>100</v>
      </c>
      <c r="BC375" s="1">
        <v>100</v>
      </c>
      <c r="BD375" s="1">
        <v>100</v>
      </c>
      <c r="BE375" s="1">
        <v>100</v>
      </c>
      <c r="BF375" s="1">
        <v>100</v>
      </c>
      <c r="BG375" s="1">
        <v>100</v>
      </c>
      <c r="BH375" s="1">
        <v>100</v>
      </c>
    </row>
    <row r="376" spans="1:60" x14ac:dyDescent="0.25">
      <c r="A376">
        <v>363</v>
      </c>
      <c r="B376" s="1">
        <v>101.11057325745688</v>
      </c>
      <c r="C376" s="1">
        <v>94.353173132071191</v>
      </c>
      <c r="D376" s="1">
        <v>97.69521325787963</v>
      </c>
      <c r="E376" s="1">
        <v>119.51170313733628</v>
      </c>
      <c r="F376" s="1">
        <v>95.932799101521084</v>
      </c>
      <c r="G376" s="1">
        <v>101.20264176422626</v>
      </c>
      <c r="H376" s="1">
        <v>102.6264770510757</v>
      </c>
      <c r="I376" s="1">
        <v>90.647298591618593</v>
      </c>
      <c r="J376" s="1">
        <v>108.83206401308598</v>
      </c>
      <c r="K376" s="1">
        <v>106.16590636000029</v>
      </c>
      <c r="L376" s="1">
        <v>95.69663892742183</v>
      </c>
      <c r="M376" s="1">
        <v>96.715943522481638</v>
      </c>
      <c r="N376" s="1">
        <v>100.54839460060133</v>
      </c>
      <c r="O376" s="1">
        <v>83.94818130047264</v>
      </c>
      <c r="P376" s="1">
        <v>92.03049797598149</v>
      </c>
      <c r="Q376" s="1">
        <v>100</v>
      </c>
      <c r="R376" s="1">
        <v>98.539127000430625</v>
      </c>
      <c r="S376" s="1">
        <v>102.95538019010159</v>
      </c>
      <c r="T376" s="1">
        <v>105.48362508025029</v>
      </c>
      <c r="U376" s="1">
        <v>100.96372424684154</v>
      </c>
      <c r="V376" s="1">
        <v>100.37138551607451</v>
      </c>
      <c r="W376" s="1">
        <v>102.20284750979505</v>
      </c>
      <c r="X376" s="1">
        <v>98.938308797866256</v>
      </c>
      <c r="Y376" s="1">
        <v>100.39327144977781</v>
      </c>
      <c r="Z376" s="1">
        <v>87.98189899977838</v>
      </c>
      <c r="AA376" s="1">
        <v>96.697105376186386</v>
      </c>
      <c r="AB376" s="1">
        <v>82.839828913563792</v>
      </c>
      <c r="AC376" s="1">
        <v>101.78077976073585</v>
      </c>
      <c r="AD376" s="1">
        <v>113.07002987575412</v>
      </c>
      <c r="AE376" s="1">
        <v>90.471435624447579</v>
      </c>
      <c r="AF376" s="1">
        <v>105.42318724771188</v>
      </c>
      <c r="AG376" s="1">
        <v>100</v>
      </c>
      <c r="AH376" s="1">
        <v>95.492997296199022</v>
      </c>
      <c r="AI376" s="1">
        <v>104.17024756963772</v>
      </c>
      <c r="AJ376" s="1">
        <v>101.7607159866544</v>
      </c>
      <c r="AK376" s="1">
        <v>93.657108769464841</v>
      </c>
      <c r="AL376" s="1">
        <v>107.56587867166117</v>
      </c>
      <c r="AM376" s="1">
        <v>116.7028707921346</v>
      </c>
      <c r="AN376" s="1">
        <v>104.6537395229083</v>
      </c>
      <c r="AO376" s="1">
        <v>103.86182420773497</v>
      </c>
      <c r="AP376" s="1">
        <v>102.63094974439248</v>
      </c>
      <c r="AQ376" s="1">
        <v>93.726423769841205</v>
      </c>
      <c r="AR376" s="1">
        <v>103.92302697040192</v>
      </c>
      <c r="AS376" s="1">
        <v>99.046953672111897</v>
      </c>
      <c r="AT376" s="1">
        <v>105.09441487020257</v>
      </c>
      <c r="AU376" s="1">
        <v>92.683083360025861</v>
      </c>
      <c r="AV376" s="1">
        <v>99.900323214082661</v>
      </c>
      <c r="AW376" s="1">
        <v>100</v>
      </c>
      <c r="AX376" s="1">
        <v>100</v>
      </c>
      <c r="AY376" s="1">
        <v>100</v>
      </c>
      <c r="AZ376" s="1">
        <v>100</v>
      </c>
      <c r="BA376" s="1">
        <v>100</v>
      </c>
      <c r="BB376" s="1">
        <v>100</v>
      </c>
      <c r="BC376" s="1">
        <v>100</v>
      </c>
      <c r="BD376" s="1">
        <v>100</v>
      </c>
      <c r="BE376" s="1">
        <v>100</v>
      </c>
      <c r="BF376" s="1">
        <v>100</v>
      </c>
      <c r="BG376" s="1">
        <v>100</v>
      </c>
      <c r="BH376" s="1">
        <v>100</v>
      </c>
    </row>
    <row r="377" spans="1:60" x14ac:dyDescent="0.25">
      <c r="A377">
        <v>364</v>
      </c>
      <c r="B377" s="1">
        <v>101.11057325745688</v>
      </c>
      <c r="C377" s="1">
        <v>94.353173132071191</v>
      </c>
      <c r="D377" s="1">
        <v>97.69521325787963</v>
      </c>
      <c r="E377" s="1">
        <v>119.51170313733628</v>
      </c>
      <c r="F377" s="1">
        <v>95.932799101521084</v>
      </c>
      <c r="G377" s="1">
        <v>101.20264176422626</v>
      </c>
      <c r="H377" s="1">
        <v>102.6264770510757</v>
      </c>
      <c r="I377" s="1">
        <v>90.647298591618593</v>
      </c>
      <c r="J377" s="1">
        <v>108.83206401308598</v>
      </c>
      <c r="K377" s="1">
        <v>106.16590636000029</v>
      </c>
      <c r="L377" s="1">
        <v>95.69663892742183</v>
      </c>
      <c r="M377" s="1">
        <v>96.715943522481638</v>
      </c>
      <c r="N377" s="1">
        <v>100.54839460060133</v>
      </c>
      <c r="O377" s="1">
        <v>83.94818130047264</v>
      </c>
      <c r="P377" s="1">
        <v>92.03049797598149</v>
      </c>
      <c r="Q377" s="1">
        <v>100</v>
      </c>
      <c r="R377" s="1">
        <v>98.539127000430625</v>
      </c>
      <c r="S377" s="1">
        <v>102.95538019010159</v>
      </c>
      <c r="T377" s="1">
        <v>105.48362508025029</v>
      </c>
      <c r="U377" s="1">
        <v>100.96372424684154</v>
      </c>
      <c r="V377" s="1">
        <v>101.54807983238253</v>
      </c>
      <c r="W377" s="1">
        <v>102.20284750979505</v>
      </c>
      <c r="X377" s="1">
        <v>98.938308797866256</v>
      </c>
      <c r="Y377" s="1">
        <v>100.39327144977781</v>
      </c>
      <c r="Z377" s="1">
        <v>86.852744311290479</v>
      </c>
      <c r="AA377" s="1">
        <v>96.697105376186386</v>
      </c>
      <c r="AB377" s="1">
        <v>82.839828913563792</v>
      </c>
      <c r="AC377" s="1">
        <v>101.78077976073585</v>
      </c>
      <c r="AD377" s="1">
        <v>113.07002987575412</v>
      </c>
      <c r="AE377" s="1">
        <v>91.776891186653899</v>
      </c>
      <c r="AF377" s="1">
        <v>104.07019205768545</v>
      </c>
      <c r="AG377" s="1">
        <v>100</v>
      </c>
      <c r="AH377" s="1">
        <v>95.492997296199022</v>
      </c>
      <c r="AI377" s="1">
        <v>104.17024756963772</v>
      </c>
      <c r="AJ377" s="1">
        <v>101.7607159866544</v>
      </c>
      <c r="AK377" s="1">
        <v>93.657108769464841</v>
      </c>
      <c r="AL377" s="1">
        <v>107.56587867166117</v>
      </c>
      <c r="AM377" s="1">
        <v>116.7028707921346</v>
      </c>
      <c r="AN377" s="1">
        <v>104.6537395229083</v>
      </c>
      <c r="AO377" s="1">
        <v>103.86182420773497</v>
      </c>
      <c r="AP377" s="1">
        <v>102.63094974439248</v>
      </c>
      <c r="AQ377" s="1">
        <v>93.726423769841205</v>
      </c>
      <c r="AR377" s="1">
        <v>103.92302697040192</v>
      </c>
      <c r="AS377" s="1">
        <v>99.046953672111897</v>
      </c>
      <c r="AT377" s="1">
        <v>105.09441487020257</v>
      </c>
      <c r="AU377" s="1">
        <v>92.683083360025861</v>
      </c>
      <c r="AV377" s="1">
        <v>99.900323214082661</v>
      </c>
      <c r="AW377" s="1">
        <v>100</v>
      </c>
      <c r="AX377" s="1">
        <v>100</v>
      </c>
      <c r="AY377" s="1">
        <v>100</v>
      </c>
      <c r="AZ377" s="1">
        <v>100</v>
      </c>
      <c r="BA377" s="1">
        <v>100</v>
      </c>
      <c r="BB377" s="1">
        <v>100</v>
      </c>
      <c r="BC377" s="1">
        <v>100</v>
      </c>
      <c r="BD377" s="1">
        <v>100</v>
      </c>
      <c r="BE377" s="1">
        <v>100</v>
      </c>
      <c r="BF377" s="1">
        <v>100</v>
      </c>
      <c r="BG377" s="1">
        <v>100</v>
      </c>
      <c r="BH377" s="1">
        <v>100</v>
      </c>
    </row>
    <row r="378" spans="1:60" x14ac:dyDescent="0.25">
      <c r="A378">
        <v>365</v>
      </c>
      <c r="B378" s="1">
        <v>101.11057325745688</v>
      </c>
      <c r="C378" s="1">
        <v>94.353173132071191</v>
      </c>
      <c r="D378" s="1">
        <v>97.69521325787963</v>
      </c>
      <c r="E378" s="1">
        <v>119.51170313733628</v>
      </c>
      <c r="F378" s="1">
        <v>95.932799101521084</v>
      </c>
      <c r="G378" s="1">
        <v>101.20264176422626</v>
      </c>
      <c r="H378" s="1">
        <v>102.6264770510757</v>
      </c>
      <c r="I378" s="1">
        <v>90.647298591618593</v>
      </c>
      <c r="J378" s="1">
        <v>108.83206401308598</v>
      </c>
      <c r="K378" s="1">
        <v>106.16590636000029</v>
      </c>
      <c r="L378" s="1">
        <v>95.69663892742183</v>
      </c>
      <c r="M378" s="1">
        <v>96.715943522481638</v>
      </c>
      <c r="N378" s="1">
        <v>100.54839460060133</v>
      </c>
      <c r="O378" s="1">
        <v>83.94818130047264</v>
      </c>
      <c r="P378" s="1">
        <v>92.03049797598149</v>
      </c>
      <c r="Q378" s="1">
        <v>100</v>
      </c>
      <c r="R378" s="1">
        <v>98.539127000430625</v>
      </c>
      <c r="S378" s="1">
        <v>102.95538019010159</v>
      </c>
      <c r="T378" s="1">
        <v>105.48362508025029</v>
      </c>
      <c r="U378" s="1">
        <v>100.96372424684154</v>
      </c>
      <c r="V378" s="1">
        <v>101.87102316177489</v>
      </c>
      <c r="W378" s="1">
        <v>102.20284750979505</v>
      </c>
      <c r="X378" s="1">
        <v>98.938308797866256</v>
      </c>
      <c r="Y378" s="1">
        <v>100.71992954668899</v>
      </c>
      <c r="Z378" s="1">
        <v>86.852744311290479</v>
      </c>
      <c r="AA378" s="1">
        <v>96.697105376186386</v>
      </c>
      <c r="AB378" s="1">
        <v>82.839828913563792</v>
      </c>
      <c r="AC378" s="1">
        <v>101.78077976073585</v>
      </c>
      <c r="AD378" s="1">
        <v>113.07002987575412</v>
      </c>
      <c r="AE378" s="1">
        <v>91.776891186653899</v>
      </c>
      <c r="AF378" s="1">
        <v>104.07019205768545</v>
      </c>
      <c r="AG378" s="1">
        <v>100</v>
      </c>
      <c r="AH378" s="1">
        <v>95.492997296199022</v>
      </c>
      <c r="AI378" s="1">
        <v>104.17024756963772</v>
      </c>
      <c r="AJ378" s="1">
        <v>101.7607159866544</v>
      </c>
      <c r="AK378" s="1">
        <v>93.657108769464841</v>
      </c>
      <c r="AL378" s="1">
        <v>107.23730323784164</v>
      </c>
      <c r="AM378" s="1">
        <v>116.7028707921346</v>
      </c>
      <c r="AN378" s="1">
        <v>104.6537395229083</v>
      </c>
      <c r="AO378" s="1">
        <v>103.86182420773497</v>
      </c>
      <c r="AP378" s="1">
        <v>102.63094974439248</v>
      </c>
      <c r="AQ378" s="1">
        <v>93.726423769841205</v>
      </c>
      <c r="AR378" s="1">
        <v>103.92302697040192</v>
      </c>
      <c r="AS378" s="1">
        <v>99.046953672111897</v>
      </c>
      <c r="AT378" s="1">
        <v>104.77338887771856</v>
      </c>
      <c r="AU378" s="1">
        <v>92.683083360025861</v>
      </c>
      <c r="AV378" s="1">
        <v>99.900323214082661</v>
      </c>
      <c r="AW378" s="1">
        <v>100</v>
      </c>
      <c r="AX378" s="1">
        <v>100</v>
      </c>
      <c r="AY378" s="1">
        <v>100</v>
      </c>
      <c r="AZ378" s="1">
        <v>100</v>
      </c>
      <c r="BA378" s="1">
        <v>100</v>
      </c>
      <c r="BB378" s="1">
        <v>100</v>
      </c>
      <c r="BC378" s="1">
        <v>100</v>
      </c>
      <c r="BD378" s="1">
        <v>100</v>
      </c>
      <c r="BE378" s="1">
        <v>100</v>
      </c>
      <c r="BF378" s="1">
        <v>100</v>
      </c>
      <c r="BG378" s="1">
        <v>100</v>
      </c>
      <c r="BH378" s="1">
        <v>100</v>
      </c>
    </row>
    <row r="379" spans="1:60" x14ac:dyDescent="0.25">
      <c r="A379">
        <v>366</v>
      </c>
      <c r="B379" s="1">
        <v>101.11057325745688</v>
      </c>
      <c r="C379" s="1">
        <v>94.353173132071191</v>
      </c>
      <c r="D379" s="1">
        <v>97.69521325787963</v>
      </c>
      <c r="E379" s="1">
        <v>119.51170313733628</v>
      </c>
      <c r="F379" s="1">
        <v>95.932799101521084</v>
      </c>
      <c r="G379" s="1">
        <v>101.20264176422626</v>
      </c>
      <c r="H379" s="1">
        <v>102.6264770510757</v>
      </c>
      <c r="I379" s="1">
        <v>90.647298591618593</v>
      </c>
      <c r="J379" s="1">
        <v>108.83206401308598</v>
      </c>
      <c r="K379" s="1">
        <v>106.16590636000029</v>
      </c>
      <c r="L379" s="1">
        <v>95.69663892742183</v>
      </c>
      <c r="M379" s="1">
        <v>96.715943522481638</v>
      </c>
      <c r="N379" s="1">
        <v>100.54839460060133</v>
      </c>
      <c r="O379" s="1">
        <v>83.94818130047264</v>
      </c>
      <c r="P379" s="1">
        <v>92.03049797598149</v>
      </c>
      <c r="Q379" s="1">
        <v>100</v>
      </c>
      <c r="R379" s="1">
        <v>98.539127000430625</v>
      </c>
      <c r="S379" s="1">
        <v>102.95538019010159</v>
      </c>
      <c r="T379" s="1">
        <v>105.48362508025029</v>
      </c>
      <c r="U379" s="1">
        <v>100.96372424684154</v>
      </c>
      <c r="V379" s="1">
        <v>97.379544997597094</v>
      </c>
      <c r="W379" s="1">
        <v>102.20284750979505</v>
      </c>
      <c r="X379" s="1">
        <v>98.938308797866256</v>
      </c>
      <c r="Y379" s="1">
        <v>96.27920292771627</v>
      </c>
      <c r="Z379" s="1">
        <v>86.852744311290479</v>
      </c>
      <c r="AA379" s="1">
        <v>96.697105376186386</v>
      </c>
      <c r="AB379" s="1">
        <v>82.839828913563792</v>
      </c>
      <c r="AC379" s="1">
        <v>101.78077976073585</v>
      </c>
      <c r="AD379" s="1">
        <v>113.07002987575412</v>
      </c>
      <c r="AE379" s="1">
        <v>91.776891186653899</v>
      </c>
      <c r="AF379" s="1">
        <v>104.07019205768545</v>
      </c>
      <c r="AG379" s="1">
        <v>100</v>
      </c>
      <c r="AH379" s="1">
        <v>95.492997296199022</v>
      </c>
      <c r="AI379" s="1">
        <v>104.17024756963772</v>
      </c>
      <c r="AJ379" s="1">
        <v>101.7607159866544</v>
      </c>
      <c r="AK379" s="1">
        <v>93.657108769464841</v>
      </c>
      <c r="AL379" s="1">
        <v>111.65150214423615</v>
      </c>
      <c r="AM379" s="1">
        <v>116.7028707921346</v>
      </c>
      <c r="AN379" s="1">
        <v>104.6537395229083</v>
      </c>
      <c r="AO379" s="1">
        <v>103.86182420773497</v>
      </c>
      <c r="AP379" s="1">
        <v>102.63094974439248</v>
      </c>
      <c r="AQ379" s="1">
        <v>93.726423769841205</v>
      </c>
      <c r="AR379" s="1">
        <v>103.92302697040192</v>
      </c>
      <c r="AS379" s="1">
        <v>99.046953672111897</v>
      </c>
      <c r="AT379" s="1">
        <v>109.29139475447458</v>
      </c>
      <c r="AU379" s="1">
        <v>92.683083360025861</v>
      </c>
      <c r="AV379" s="1">
        <v>99.900323214082661</v>
      </c>
      <c r="AW379" s="1">
        <v>100</v>
      </c>
      <c r="AX379" s="1">
        <v>100</v>
      </c>
      <c r="AY379" s="1">
        <v>100</v>
      </c>
      <c r="AZ379" s="1">
        <v>100</v>
      </c>
      <c r="BA379" s="1">
        <v>100</v>
      </c>
      <c r="BB379" s="1">
        <v>100</v>
      </c>
      <c r="BC379" s="1">
        <v>100</v>
      </c>
      <c r="BD379" s="1">
        <v>100</v>
      </c>
      <c r="BE379" s="1">
        <v>100</v>
      </c>
      <c r="BF379" s="1">
        <v>100</v>
      </c>
      <c r="BG379" s="1">
        <v>100</v>
      </c>
      <c r="BH379" s="1">
        <v>100</v>
      </c>
    </row>
    <row r="380" spans="1:60" x14ac:dyDescent="0.25">
      <c r="A380">
        <v>367</v>
      </c>
      <c r="B380" s="1">
        <v>101.3051913977187</v>
      </c>
      <c r="C380" s="1">
        <v>94.353173132071191</v>
      </c>
      <c r="D380" s="1">
        <v>97.69521325787963</v>
      </c>
      <c r="E380" s="1">
        <v>119.51170313733628</v>
      </c>
      <c r="F380" s="1">
        <v>95.932799101521084</v>
      </c>
      <c r="G380" s="1">
        <v>101.20264176422626</v>
      </c>
      <c r="H380" s="1">
        <v>102.6264770510757</v>
      </c>
      <c r="I380" s="1">
        <v>90.647298591618593</v>
      </c>
      <c r="J380" s="1">
        <v>108.83206401308598</v>
      </c>
      <c r="K380" s="1">
        <v>106.16590636000029</v>
      </c>
      <c r="L380" s="1">
        <v>95.69663892742183</v>
      </c>
      <c r="M380" s="1">
        <v>96.715943522481638</v>
      </c>
      <c r="N380" s="1">
        <v>100.54839460060133</v>
      </c>
      <c r="O380" s="1">
        <v>83.783580803675903</v>
      </c>
      <c r="P380" s="1">
        <v>92.03049797598149</v>
      </c>
      <c r="Q380" s="1">
        <v>100</v>
      </c>
      <c r="R380" s="1">
        <v>98.539127000430625</v>
      </c>
      <c r="S380" s="1">
        <v>102.95538019010159</v>
      </c>
      <c r="T380" s="1">
        <v>105.48362508025029</v>
      </c>
      <c r="U380" s="1">
        <v>100.96372424684154</v>
      </c>
      <c r="V380" s="1">
        <v>97.379544997597094</v>
      </c>
      <c r="W380" s="1">
        <v>102.20284750979505</v>
      </c>
      <c r="X380" s="1">
        <v>98.938308797866256</v>
      </c>
      <c r="Y380" s="1">
        <v>96.27920292771627</v>
      </c>
      <c r="Z380" s="1">
        <v>86.852744311290479</v>
      </c>
      <c r="AA380" s="1">
        <v>96.697105376186386</v>
      </c>
      <c r="AB380" s="1">
        <v>82.839828913563792</v>
      </c>
      <c r="AC380" s="1">
        <v>101.78077976073585</v>
      </c>
      <c r="AD380" s="1">
        <v>113.07002987575412</v>
      </c>
      <c r="AE380" s="1">
        <v>91.776891186653899</v>
      </c>
      <c r="AF380" s="1">
        <v>104.07019205768545</v>
      </c>
      <c r="AG380" s="1">
        <v>100</v>
      </c>
      <c r="AH380" s="1">
        <v>95.492997296199022</v>
      </c>
      <c r="AI380" s="1">
        <v>104.35914941241215</v>
      </c>
      <c r="AJ380" s="1">
        <v>101.7607159866544</v>
      </c>
      <c r="AK380" s="1">
        <v>93.657108769464841</v>
      </c>
      <c r="AL380" s="1">
        <v>111.43258265799662</v>
      </c>
      <c r="AM380" s="1">
        <v>116.7028707921346</v>
      </c>
      <c r="AN380" s="1">
        <v>104.6537395229083</v>
      </c>
      <c r="AO380" s="1">
        <v>103.86182420773497</v>
      </c>
      <c r="AP380" s="1">
        <v>102.63094974439248</v>
      </c>
      <c r="AQ380" s="1">
        <v>93.726423769841205</v>
      </c>
      <c r="AR380" s="1">
        <v>103.92302697040192</v>
      </c>
      <c r="AS380" s="1">
        <v>99.046953672111897</v>
      </c>
      <c r="AT380" s="1">
        <v>109.29139475447458</v>
      </c>
      <c r="AU380" s="1">
        <v>92.683083360025861</v>
      </c>
      <c r="AV380" s="1">
        <v>99.900323214082661</v>
      </c>
      <c r="AW380" s="1">
        <v>100</v>
      </c>
      <c r="AX380" s="1">
        <v>100</v>
      </c>
      <c r="AY380" s="1">
        <v>100</v>
      </c>
      <c r="AZ380" s="1">
        <v>100</v>
      </c>
      <c r="BA380" s="1">
        <v>100</v>
      </c>
      <c r="BB380" s="1">
        <v>100</v>
      </c>
      <c r="BC380" s="1">
        <v>100</v>
      </c>
      <c r="BD380" s="1">
        <v>100</v>
      </c>
      <c r="BE380" s="1">
        <v>100</v>
      </c>
      <c r="BF380" s="1">
        <v>100</v>
      </c>
      <c r="BG380" s="1">
        <v>100</v>
      </c>
      <c r="BH380" s="1">
        <v>100</v>
      </c>
    </row>
    <row r="381" spans="1:60" x14ac:dyDescent="0.25">
      <c r="A381">
        <v>368</v>
      </c>
      <c r="B381" s="1">
        <v>102.28948914215103</v>
      </c>
      <c r="C381" s="1">
        <v>94.353173132071191</v>
      </c>
      <c r="D381" s="1">
        <v>97.69521325787963</v>
      </c>
      <c r="E381" s="1">
        <v>119.51170313733628</v>
      </c>
      <c r="F381" s="1">
        <v>95.932799101521084</v>
      </c>
      <c r="G381" s="1">
        <v>101.20264176422626</v>
      </c>
      <c r="H381" s="1">
        <v>102.6264770510757</v>
      </c>
      <c r="I381" s="1">
        <v>90.647298591618593</v>
      </c>
      <c r="J381" s="1">
        <v>108.83206401308598</v>
      </c>
      <c r="K381" s="1">
        <v>106.16590636000029</v>
      </c>
      <c r="L381" s="1">
        <v>95.69663892742183</v>
      </c>
      <c r="M381" s="1">
        <v>96.715943522481638</v>
      </c>
      <c r="N381" s="1">
        <v>100.54839460060133</v>
      </c>
      <c r="O381" s="1">
        <v>82.951054236670302</v>
      </c>
      <c r="P381" s="1">
        <v>92.03049797598149</v>
      </c>
      <c r="Q381" s="1">
        <v>100</v>
      </c>
      <c r="R381" s="1">
        <v>98.539127000430625</v>
      </c>
      <c r="S381" s="1">
        <v>102.95538019010159</v>
      </c>
      <c r="T381" s="1">
        <v>105.48362508025029</v>
      </c>
      <c r="U381" s="1">
        <v>100.96372424684154</v>
      </c>
      <c r="V381" s="1">
        <v>97.379544997597094</v>
      </c>
      <c r="W381" s="1">
        <v>102.20284750979505</v>
      </c>
      <c r="X381" s="1">
        <v>98.938308797866256</v>
      </c>
      <c r="Y381" s="1">
        <v>96.27920292771627</v>
      </c>
      <c r="Z381" s="1">
        <v>86.852744311290479</v>
      </c>
      <c r="AA381" s="1">
        <v>96.697105376186386</v>
      </c>
      <c r="AB381" s="1">
        <v>82.839828913563792</v>
      </c>
      <c r="AC381" s="1">
        <v>101.78077976073585</v>
      </c>
      <c r="AD381" s="1">
        <v>113.07002987575412</v>
      </c>
      <c r="AE381" s="1">
        <v>91.776891186653899</v>
      </c>
      <c r="AF381" s="1">
        <v>104.07019205768545</v>
      </c>
      <c r="AG381" s="1">
        <v>100</v>
      </c>
      <c r="AH381" s="1">
        <v>95.492997296199022</v>
      </c>
      <c r="AI381" s="1">
        <v>105.31464274436719</v>
      </c>
      <c r="AJ381" s="1">
        <v>101.7607159866544</v>
      </c>
      <c r="AK381" s="1">
        <v>93.657108769464841</v>
      </c>
      <c r="AL381" s="1">
        <v>110.32531814861485</v>
      </c>
      <c r="AM381" s="1">
        <v>116.7028707921346</v>
      </c>
      <c r="AN381" s="1">
        <v>104.6537395229083</v>
      </c>
      <c r="AO381" s="1">
        <v>103.86182420773497</v>
      </c>
      <c r="AP381" s="1">
        <v>102.63094974439248</v>
      </c>
      <c r="AQ381" s="1">
        <v>93.726423769841205</v>
      </c>
      <c r="AR381" s="1">
        <v>103.92302697040192</v>
      </c>
      <c r="AS381" s="1">
        <v>99.046953672111897</v>
      </c>
      <c r="AT381" s="1">
        <v>109.29139475447458</v>
      </c>
      <c r="AU381" s="1">
        <v>92.683083360025861</v>
      </c>
      <c r="AV381" s="1">
        <v>99.900323214082661</v>
      </c>
      <c r="AW381" s="1">
        <v>100</v>
      </c>
      <c r="AX381" s="1">
        <v>100</v>
      </c>
      <c r="AY381" s="1">
        <v>100</v>
      </c>
      <c r="AZ381" s="1">
        <v>100</v>
      </c>
      <c r="BA381" s="1">
        <v>100</v>
      </c>
      <c r="BB381" s="1">
        <v>100</v>
      </c>
      <c r="BC381" s="1">
        <v>100</v>
      </c>
      <c r="BD381" s="1">
        <v>100</v>
      </c>
      <c r="BE381" s="1">
        <v>100</v>
      </c>
      <c r="BF381" s="1">
        <v>100</v>
      </c>
      <c r="BG381" s="1">
        <v>100</v>
      </c>
      <c r="BH381" s="1">
        <v>100</v>
      </c>
    </row>
    <row r="382" spans="1:60" x14ac:dyDescent="0.25">
      <c r="A382">
        <v>369</v>
      </c>
      <c r="B382" s="1">
        <v>102.28948914215103</v>
      </c>
      <c r="C382" s="1">
        <v>94.353173132071191</v>
      </c>
      <c r="D382" s="1">
        <v>97.69521325787963</v>
      </c>
      <c r="E382" s="1">
        <v>119.51170313733628</v>
      </c>
      <c r="F382" s="1">
        <v>95.932799101521084</v>
      </c>
      <c r="G382" s="1">
        <v>101.20264176422626</v>
      </c>
      <c r="H382" s="1">
        <v>102.6264770510757</v>
      </c>
      <c r="I382" s="1">
        <v>90.647298591618593</v>
      </c>
      <c r="J382" s="1">
        <v>108.9702241897252</v>
      </c>
      <c r="K382" s="1">
        <v>106.16590636000029</v>
      </c>
      <c r="L382" s="1">
        <v>95.69663892742183</v>
      </c>
      <c r="M382" s="1">
        <v>96.715943522481638</v>
      </c>
      <c r="N382" s="1">
        <v>100.54839460060133</v>
      </c>
      <c r="O382" s="1">
        <v>82.951054236670302</v>
      </c>
      <c r="P382" s="1">
        <v>92.03049797598149</v>
      </c>
      <c r="Q382" s="1">
        <v>100</v>
      </c>
      <c r="R382" s="1">
        <v>98.539127000430625</v>
      </c>
      <c r="S382" s="1">
        <v>102.95538019010159</v>
      </c>
      <c r="T382" s="1">
        <v>105.48362508025029</v>
      </c>
      <c r="U382" s="1">
        <v>100.96372424684154</v>
      </c>
      <c r="V382" s="1">
        <v>97.379544997597094</v>
      </c>
      <c r="W382" s="1">
        <v>102.20284750979505</v>
      </c>
      <c r="X382" s="1">
        <v>98.938308797866256</v>
      </c>
      <c r="Y382" s="1">
        <v>96.27920292771627</v>
      </c>
      <c r="Z382" s="1">
        <v>86.852744311290479</v>
      </c>
      <c r="AA382" s="1">
        <v>96.697105376186386</v>
      </c>
      <c r="AB382" s="1">
        <v>83.021338911655988</v>
      </c>
      <c r="AC382" s="1">
        <v>101.78077976073585</v>
      </c>
      <c r="AD382" s="1">
        <v>113.07002987575412</v>
      </c>
      <c r="AE382" s="1">
        <v>91.776891186653899</v>
      </c>
      <c r="AF382" s="1">
        <v>104.07019205768545</v>
      </c>
      <c r="AG382" s="1">
        <v>100</v>
      </c>
      <c r="AH382" s="1">
        <v>95.492997296199022</v>
      </c>
      <c r="AI382" s="1">
        <v>105.31464274436719</v>
      </c>
      <c r="AJ382" s="1">
        <v>101.7607159866544</v>
      </c>
      <c r="AK382" s="1">
        <v>93.657108769464841</v>
      </c>
      <c r="AL382" s="1">
        <v>110.32531814861485</v>
      </c>
      <c r="AM382" s="1">
        <v>116.7028707921346</v>
      </c>
      <c r="AN382" s="1">
        <v>104.6537395229083</v>
      </c>
      <c r="AO382" s="1">
        <v>103.86182420773497</v>
      </c>
      <c r="AP382" s="1">
        <v>102.63094974439248</v>
      </c>
      <c r="AQ382" s="1">
        <v>93.726423769841205</v>
      </c>
      <c r="AR382" s="1">
        <v>103.75935206594028</v>
      </c>
      <c r="AS382" s="1">
        <v>98.890958401842127</v>
      </c>
      <c r="AT382" s="1">
        <v>109.29139475447458</v>
      </c>
      <c r="AU382" s="1">
        <v>92.683083360025861</v>
      </c>
      <c r="AV382" s="1">
        <v>99.900323214082661</v>
      </c>
      <c r="AW382" s="1">
        <v>100</v>
      </c>
      <c r="AX382" s="1">
        <v>100</v>
      </c>
      <c r="AY382" s="1">
        <v>100</v>
      </c>
      <c r="AZ382" s="1">
        <v>100</v>
      </c>
      <c r="BA382" s="1">
        <v>100</v>
      </c>
      <c r="BB382" s="1">
        <v>100</v>
      </c>
      <c r="BC382" s="1">
        <v>100</v>
      </c>
      <c r="BD382" s="1">
        <v>100</v>
      </c>
      <c r="BE382" s="1">
        <v>100</v>
      </c>
      <c r="BF382" s="1">
        <v>100</v>
      </c>
      <c r="BG382" s="1">
        <v>100</v>
      </c>
      <c r="BH382" s="1">
        <v>100</v>
      </c>
    </row>
    <row r="383" spans="1:60" x14ac:dyDescent="0.25">
      <c r="A383">
        <v>370</v>
      </c>
      <c r="B383" s="1">
        <v>102.28948914215103</v>
      </c>
      <c r="C383" s="1">
        <v>94.353173132071191</v>
      </c>
      <c r="D383" s="1">
        <v>97.69521325787963</v>
      </c>
      <c r="E383" s="1">
        <v>119.51170313733628</v>
      </c>
      <c r="F383" s="1">
        <v>95.932799101521084</v>
      </c>
      <c r="G383" s="1">
        <v>101.20264176422626</v>
      </c>
      <c r="H383" s="1">
        <v>102.6264770510757</v>
      </c>
      <c r="I383" s="1">
        <v>90.647298591618593</v>
      </c>
      <c r="J383" s="1">
        <v>109.73261611443155</v>
      </c>
      <c r="K383" s="1">
        <v>106.16590636000029</v>
      </c>
      <c r="L383" s="1">
        <v>95.69663892742183</v>
      </c>
      <c r="M383" s="1">
        <v>96.715943522481638</v>
      </c>
      <c r="N383" s="1">
        <v>100.54839460060133</v>
      </c>
      <c r="O383" s="1">
        <v>82.951054236670302</v>
      </c>
      <c r="P383" s="1">
        <v>92.03049797598149</v>
      </c>
      <c r="Q383" s="1">
        <v>100</v>
      </c>
      <c r="R383" s="1">
        <v>98.539127000430625</v>
      </c>
      <c r="S383" s="1">
        <v>102.95538019010159</v>
      </c>
      <c r="T383" s="1">
        <v>105.48362508025029</v>
      </c>
      <c r="U383" s="1">
        <v>100.96372424684154</v>
      </c>
      <c r="V383" s="1">
        <v>97.379544997597094</v>
      </c>
      <c r="W383" s="1">
        <v>102.20284750979505</v>
      </c>
      <c r="X383" s="1">
        <v>98.938308797866256</v>
      </c>
      <c r="Y383" s="1">
        <v>96.27920292771627</v>
      </c>
      <c r="Z383" s="1">
        <v>86.852744311290479</v>
      </c>
      <c r="AA383" s="1">
        <v>96.697105376186386</v>
      </c>
      <c r="AB383" s="1">
        <v>84.02202162822951</v>
      </c>
      <c r="AC383" s="1">
        <v>101.78077976073585</v>
      </c>
      <c r="AD383" s="1">
        <v>113.07002987575412</v>
      </c>
      <c r="AE383" s="1">
        <v>91.776891186653899</v>
      </c>
      <c r="AF383" s="1">
        <v>104.07019205768545</v>
      </c>
      <c r="AG383" s="1">
        <v>100</v>
      </c>
      <c r="AH383" s="1">
        <v>95.492997296199022</v>
      </c>
      <c r="AI383" s="1">
        <v>105.31464274436719</v>
      </c>
      <c r="AJ383" s="1">
        <v>101.7607159866544</v>
      </c>
      <c r="AK383" s="1">
        <v>93.657108769464841</v>
      </c>
      <c r="AL383" s="1">
        <v>110.32531814861485</v>
      </c>
      <c r="AM383" s="1">
        <v>116.7028707921346</v>
      </c>
      <c r="AN383" s="1">
        <v>104.6537395229083</v>
      </c>
      <c r="AO383" s="1">
        <v>103.86182420773497</v>
      </c>
      <c r="AP383" s="1">
        <v>102.63094974439248</v>
      </c>
      <c r="AQ383" s="1">
        <v>93.726423769841205</v>
      </c>
      <c r="AR383" s="1">
        <v>102.85663702937894</v>
      </c>
      <c r="AS383" s="1">
        <v>98.030598797123588</v>
      </c>
      <c r="AT383" s="1">
        <v>109.29139475447458</v>
      </c>
      <c r="AU383" s="1">
        <v>92.683083360025861</v>
      </c>
      <c r="AV383" s="1">
        <v>99.900323214082661</v>
      </c>
      <c r="AW383" s="1">
        <v>100</v>
      </c>
      <c r="AX383" s="1">
        <v>100</v>
      </c>
      <c r="AY383" s="1">
        <v>100</v>
      </c>
      <c r="AZ383" s="1">
        <v>100</v>
      </c>
      <c r="BA383" s="1">
        <v>100</v>
      </c>
      <c r="BB383" s="1">
        <v>100</v>
      </c>
      <c r="BC383" s="1">
        <v>100</v>
      </c>
      <c r="BD383" s="1">
        <v>100</v>
      </c>
      <c r="BE383" s="1">
        <v>100</v>
      </c>
      <c r="BF383" s="1">
        <v>100</v>
      </c>
      <c r="BG383" s="1">
        <v>100</v>
      </c>
      <c r="BH383" s="1">
        <v>100</v>
      </c>
    </row>
    <row r="384" spans="1:60" x14ac:dyDescent="0.25">
      <c r="A384">
        <v>371</v>
      </c>
      <c r="B384" s="1">
        <v>102.28948914215103</v>
      </c>
      <c r="C384" s="1">
        <v>94.353173132071191</v>
      </c>
      <c r="D384" s="1">
        <v>97.69521325787963</v>
      </c>
      <c r="E384" s="1">
        <v>119.51170313733628</v>
      </c>
      <c r="F384" s="1">
        <v>95.932799101521084</v>
      </c>
      <c r="G384" s="1">
        <v>101.20264176422626</v>
      </c>
      <c r="H384" s="1">
        <v>102.6264770510757</v>
      </c>
      <c r="I384" s="1">
        <v>90.647298591618593</v>
      </c>
      <c r="J384" s="1">
        <v>109.73261611443155</v>
      </c>
      <c r="K384" s="1">
        <v>106.16590636000029</v>
      </c>
      <c r="L384" s="1">
        <v>95.69663892742183</v>
      </c>
      <c r="M384" s="1">
        <v>96.715943522481638</v>
      </c>
      <c r="N384" s="1">
        <v>100.54839460060133</v>
      </c>
      <c r="O384" s="1">
        <v>82.951054236670302</v>
      </c>
      <c r="P384" s="1">
        <v>92.03049797598149</v>
      </c>
      <c r="Q384" s="1">
        <v>100</v>
      </c>
      <c r="R384" s="1">
        <v>98.539127000430625</v>
      </c>
      <c r="S384" s="1">
        <v>102.95538019010159</v>
      </c>
      <c r="T384" s="1">
        <v>105.48362508025029</v>
      </c>
      <c r="U384" s="1">
        <v>100.96372424684154</v>
      </c>
      <c r="V384" s="1">
        <v>99.11626988090967</v>
      </c>
      <c r="W384" s="1">
        <v>102.20284750979505</v>
      </c>
      <c r="X384" s="1">
        <v>98.938308797866256</v>
      </c>
      <c r="Y384" s="1">
        <v>96.27920292771627</v>
      </c>
      <c r="Z384" s="1">
        <v>86.852744311290479</v>
      </c>
      <c r="AA384" s="1">
        <v>96.697105376186386</v>
      </c>
      <c r="AB384" s="1">
        <v>84.02202162822951</v>
      </c>
      <c r="AC384" s="1">
        <v>101.78077976073585</v>
      </c>
      <c r="AD384" s="1">
        <v>113.07002987575412</v>
      </c>
      <c r="AE384" s="1">
        <v>91.776891186653899</v>
      </c>
      <c r="AF384" s="1">
        <v>104.07019205768545</v>
      </c>
      <c r="AG384" s="1">
        <v>100</v>
      </c>
      <c r="AH384" s="1">
        <v>95.492997296199022</v>
      </c>
      <c r="AI384" s="1">
        <v>105.31464274436719</v>
      </c>
      <c r="AJ384" s="1">
        <v>101.7607159866544</v>
      </c>
      <c r="AK384" s="1">
        <v>92.099865406162351</v>
      </c>
      <c r="AL384" s="1">
        <v>110.32531814861485</v>
      </c>
      <c r="AM384" s="1">
        <v>116.7028707921346</v>
      </c>
      <c r="AN384" s="1">
        <v>104.6537395229083</v>
      </c>
      <c r="AO384" s="1">
        <v>102.13490631999512</v>
      </c>
      <c r="AP384" s="1">
        <v>102.63094974439248</v>
      </c>
      <c r="AQ384" s="1">
        <v>93.726423769841205</v>
      </c>
      <c r="AR384" s="1">
        <v>102.85663702937894</v>
      </c>
      <c r="AS384" s="1">
        <v>98.030598797123588</v>
      </c>
      <c r="AT384" s="1">
        <v>110.83883112220434</v>
      </c>
      <c r="AU384" s="1">
        <v>92.683083360025861</v>
      </c>
      <c r="AV384" s="1">
        <v>99.900323214082661</v>
      </c>
      <c r="AW384" s="1">
        <v>100</v>
      </c>
      <c r="AX384" s="1">
        <v>100</v>
      </c>
      <c r="AY384" s="1">
        <v>100</v>
      </c>
      <c r="AZ384" s="1">
        <v>100</v>
      </c>
      <c r="BA384" s="1">
        <v>100</v>
      </c>
      <c r="BB384" s="1">
        <v>100</v>
      </c>
      <c r="BC384" s="1">
        <v>100</v>
      </c>
      <c r="BD384" s="1">
        <v>100</v>
      </c>
      <c r="BE384" s="1">
        <v>100</v>
      </c>
      <c r="BF384" s="1">
        <v>100</v>
      </c>
      <c r="BG384" s="1">
        <v>100</v>
      </c>
      <c r="BH384" s="1">
        <v>100</v>
      </c>
    </row>
    <row r="385" spans="1:60" x14ac:dyDescent="0.25">
      <c r="A385">
        <v>372</v>
      </c>
      <c r="B385" s="1">
        <v>102.28948914215103</v>
      </c>
      <c r="C385" s="1">
        <v>94.353173132071191</v>
      </c>
      <c r="D385" s="1">
        <v>97.69521325787963</v>
      </c>
      <c r="E385" s="1">
        <v>119.51170313733628</v>
      </c>
      <c r="F385" s="1">
        <v>95.932799101521084</v>
      </c>
      <c r="G385" s="1">
        <v>101.20264176422626</v>
      </c>
      <c r="H385" s="1">
        <v>102.6264770510757</v>
      </c>
      <c r="I385" s="1">
        <v>90.647298591618593</v>
      </c>
      <c r="J385" s="1">
        <v>109.73261611443155</v>
      </c>
      <c r="K385" s="1">
        <v>106.16590636000029</v>
      </c>
      <c r="L385" s="1">
        <v>95.69663892742183</v>
      </c>
      <c r="M385" s="1">
        <v>96.715943522481638</v>
      </c>
      <c r="N385" s="1">
        <v>100.54839460060133</v>
      </c>
      <c r="O385" s="1">
        <v>82.951054236670302</v>
      </c>
      <c r="P385" s="1">
        <v>92.03049797598149</v>
      </c>
      <c r="Q385" s="1">
        <v>100</v>
      </c>
      <c r="R385" s="1">
        <v>98.539127000430625</v>
      </c>
      <c r="S385" s="1">
        <v>102.95538019010159</v>
      </c>
      <c r="T385" s="1">
        <v>105.48362508025029</v>
      </c>
      <c r="U385" s="1">
        <v>100.96372424684154</v>
      </c>
      <c r="V385" s="1">
        <v>100.48238252556169</v>
      </c>
      <c r="W385" s="1">
        <v>102.20284750979505</v>
      </c>
      <c r="X385" s="1">
        <v>98.938308797866256</v>
      </c>
      <c r="Y385" s="1">
        <v>96.27920292771627</v>
      </c>
      <c r="Z385" s="1">
        <v>86.852744311290479</v>
      </c>
      <c r="AA385" s="1">
        <v>96.697105376186386</v>
      </c>
      <c r="AB385" s="1">
        <v>84.02202162822951</v>
      </c>
      <c r="AC385" s="1">
        <v>101.78077976073585</v>
      </c>
      <c r="AD385" s="1">
        <v>113.07002987575412</v>
      </c>
      <c r="AE385" s="1">
        <v>91.776891186653899</v>
      </c>
      <c r="AF385" s="1">
        <v>104.07019205768545</v>
      </c>
      <c r="AG385" s="1">
        <v>100</v>
      </c>
      <c r="AH385" s="1">
        <v>95.492997296199022</v>
      </c>
      <c r="AI385" s="1">
        <v>105.31464274436719</v>
      </c>
      <c r="AJ385" s="1">
        <v>101.7607159866544</v>
      </c>
      <c r="AK385" s="1">
        <v>90.872841510233741</v>
      </c>
      <c r="AL385" s="1">
        <v>110.32531814861485</v>
      </c>
      <c r="AM385" s="1">
        <v>116.7028707921346</v>
      </c>
      <c r="AN385" s="1">
        <v>104.6537395229083</v>
      </c>
      <c r="AO385" s="1">
        <v>100.77418803761337</v>
      </c>
      <c r="AP385" s="1">
        <v>102.63094974439248</v>
      </c>
      <c r="AQ385" s="1">
        <v>93.726423769841205</v>
      </c>
      <c r="AR385" s="1">
        <v>102.85663702937894</v>
      </c>
      <c r="AS385" s="1">
        <v>98.030598797123588</v>
      </c>
      <c r="AT385" s="1">
        <v>112.06046065586267</v>
      </c>
      <c r="AU385" s="1">
        <v>92.683083360025861</v>
      </c>
      <c r="AV385" s="1">
        <v>99.900323214082661</v>
      </c>
      <c r="AW385" s="1">
        <v>100</v>
      </c>
      <c r="AX385" s="1">
        <v>100</v>
      </c>
      <c r="AY385" s="1">
        <v>100</v>
      </c>
      <c r="AZ385" s="1">
        <v>100</v>
      </c>
      <c r="BA385" s="1">
        <v>100</v>
      </c>
      <c r="BB385" s="1">
        <v>100</v>
      </c>
      <c r="BC385" s="1">
        <v>100</v>
      </c>
      <c r="BD385" s="1">
        <v>100</v>
      </c>
      <c r="BE385" s="1">
        <v>100</v>
      </c>
      <c r="BF385" s="1">
        <v>100</v>
      </c>
      <c r="BG385" s="1">
        <v>100</v>
      </c>
      <c r="BH385" s="1">
        <v>100</v>
      </c>
    </row>
    <row r="386" spans="1:60" x14ac:dyDescent="0.25">
      <c r="A386">
        <v>373</v>
      </c>
      <c r="B386" s="1">
        <v>102.04321903985249</v>
      </c>
      <c r="C386" s="1">
        <v>94.353173132071191</v>
      </c>
      <c r="D386" s="1">
        <v>97.69521325787963</v>
      </c>
      <c r="E386" s="1">
        <v>119.51170313733628</v>
      </c>
      <c r="F386" s="1">
        <v>95.932799101521084</v>
      </c>
      <c r="G386" s="1">
        <v>101.20264176422626</v>
      </c>
      <c r="H386" s="1">
        <v>102.6264770510757</v>
      </c>
      <c r="I386" s="1">
        <v>90.647298591618593</v>
      </c>
      <c r="J386" s="1">
        <v>109.73261611443155</v>
      </c>
      <c r="K386" s="1">
        <v>106.16590636000029</v>
      </c>
      <c r="L386" s="1">
        <v>95.69663892742183</v>
      </c>
      <c r="M386" s="1">
        <v>96.715943522481638</v>
      </c>
      <c r="N386" s="1">
        <v>100.54839460060133</v>
      </c>
      <c r="O386" s="1">
        <v>82.951054236670302</v>
      </c>
      <c r="P386" s="1">
        <v>92.03049797598149</v>
      </c>
      <c r="Q386" s="1">
        <v>100</v>
      </c>
      <c r="R386" s="1">
        <v>98.539127000430625</v>
      </c>
      <c r="S386" s="1">
        <v>102.95538019010159</v>
      </c>
      <c r="T386" s="1">
        <v>105.48362508025029</v>
      </c>
      <c r="U386" s="1">
        <v>100.96372424684154</v>
      </c>
      <c r="V386" s="1">
        <v>100.48238252556169</v>
      </c>
      <c r="W386" s="1">
        <v>102.20284750979505</v>
      </c>
      <c r="X386" s="1">
        <v>98.938308797866256</v>
      </c>
      <c r="Y386" s="1">
        <v>96.27920292771627</v>
      </c>
      <c r="Z386" s="1">
        <v>86.852744311290479</v>
      </c>
      <c r="AA386" s="1">
        <v>96.697105376186386</v>
      </c>
      <c r="AB386" s="1">
        <v>84.02202162822951</v>
      </c>
      <c r="AC386" s="1">
        <v>101.78077976073585</v>
      </c>
      <c r="AD386" s="1">
        <v>113.07002987575412</v>
      </c>
      <c r="AE386" s="1">
        <v>92.030758767969417</v>
      </c>
      <c r="AF386" s="1">
        <v>104.07019205768545</v>
      </c>
      <c r="AG386" s="1">
        <v>100</v>
      </c>
      <c r="AH386" s="1">
        <v>95.492997296199022</v>
      </c>
      <c r="AI386" s="1">
        <v>105.31464274436719</v>
      </c>
      <c r="AJ386" s="1">
        <v>101.7607159866544</v>
      </c>
      <c r="AK386" s="1">
        <v>90.654057897542273</v>
      </c>
      <c r="AL386" s="1">
        <v>110.53650428228934</v>
      </c>
      <c r="AM386" s="1">
        <v>116.7028707921346</v>
      </c>
      <c r="AN386" s="1">
        <v>104.6537395229083</v>
      </c>
      <c r="AO386" s="1">
        <v>100.77418803761337</v>
      </c>
      <c r="AP386" s="1">
        <v>102.63094974439248</v>
      </c>
      <c r="AQ386" s="1">
        <v>93.726423769841205</v>
      </c>
      <c r="AR386" s="1">
        <v>102.85663702937894</v>
      </c>
      <c r="AS386" s="1">
        <v>98.030598797123588</v>
      </c>
      <c r="AT386" s="1">
        <v>112.06046065586267</v>
      </c>
      <c r="AU386" s="1">
        <v>92.683083360025861</v>
      </c>
      <c r="AV386" s="1">
        <v>99.900323214082661</v>
      </c>
      <c r="AW386" s="1">
        <v>100</v>
      </c>
      <c r="AX386" s="1">
        <v>100</v>
      </c>
      <c r="AY386" s="1">
        <v>100</v>
      </c>
      <c r="AZ386" s="1">
        <v>100</v>
      </c>
      <c r="BA386" s="1">
        <v>100</v>
      </c>
      <c r="BB386" s="1">
        <v>100</v>
      </c>
      <c r="BC386" s="1">
        <v>100</v>
      </c>
      <c r="BD386" s="1">
        <v>100</v>
      </c>
      <c r="BE386" s="1">
        <v>100</v>
      </c>
      <c r="BF386" s="1">
        <v>100</v>
      </c>
      <c r="BG386" s="1">
        <v>100</v>
      </c>
      <c r="BH386" s="1">
        <v>100</v>
      </c>
    </row>
    <row r="387" spans="1:60" x14ac:dyDescent="0.25">
      <c r="A387">
        <v>374</v>
      </c>
      <c r="B387" s="1">
        <v>102.30533227216664</v>
      </c>
      <c r="C387" s="1">
        <v>94.353173132071191</v>
      </c>
      <c r="D387" s="1">
        <v>97.69521325787963</v>
      </c>
      <c r="E387" s="1">
        <v>119.51170313733628</v>
      </c>
      <c r="F387" s="1">
        <v>95.932799101521084</v>
      </c>
      <c r="G387" s="1">
        <v>101.20264176422626</v>
      </c>
      <c r="H387" s="1">
        <v>102.6264770510757</v>
      </c>
      <c r="I387" s="1">
        <v>90.647298591618593</v>
      </c>
      <c r="J387" s="1">
        <v>109.73261611443155</v>
      </c>
      <c r="K387" s="1">
        <v>106.16590636000029</v>
      </c>
      <c r="L387" s="1">
        <v>95.69663892742183</v>
      </c>
      <c r="M387" s="1">
        <v>96.715943522481638</v>
      </c>
      <c r="N387" s="1">
        <v>100.54839460060133</v>
      </c>
      <c r="O387" s="1">
        <v>82.951054236670302</v>
      </c>
      <c r="P387" s="1">
        <v>92.03049797598149</v>
      </c>
      <c r="Q387" s="1">
        <v>100</v>
      </c>
      <c r="R387" s="1">
        <v>98.539127000430625</v>
      </c>
      <c r="S387" s="1">
        <v>102.95538019010159</v>
      </c>
      <c r="T387" s="1">
        <v>105.48362508025029</v>
      </c>
      <c r="U387" s="1">
        <v>100.96372424684154</v>
      </c>
      <c r="V387" s="1">
        <v>100.48238252556169</v>
      </c>
      <c r="W387" s="1">
        <v>102.20284750979505</v>
      </c>
      <c r="X387" s="1">
        <v>98.938308797866256</v>
      </c>
      <c r="Y387" s="1">
        <v>96.27920292771627</v>
      </c>
      <c r="Z387" s="1">
        <v>86.852744311290479</v>
      </c>
      <c r="AA387" s="1">
        <v>96.697105376186386</v>
      </c>
      <c r="AB387" s="1">
        <v>84.02202162822951</v>
      </c>
      <c r="AC387" s="1">
        <v>101.78077976073585</v>
      </c>
      <c r="AD387" s="1">
        <v>113.07002987575412</v>
      </c>
      <c r="AE387" s="1">
        <v>91.777630284561994</v>
      </c>
      <c r="AF387" s="1">
        <v>104.07019205768545</v>
      </c>
      <c r="AG387" s="1">
        <v>100</v>
      </c>
      <c r="AH387" s="1">
        <v>95.492997296199022</v>
      </c>
      <c r="AI387" s="1">
        <v>105.31464274436719</v>
      </c>
      <c r="AJ387" s="1">
        <v>101.7607159866544</v>
      </c>
      <c r="AK387" s="1">
        <v>90.94910125907063</v>
      </c>
      <c r="AL387" s="1">
        <v>110.23247617185426</v>
      </c>
      <c r="AM387" s="1">
        <v>116.7028707921346</v>
      </c>
      <c r="AN387" s="1">
        <v>104.6537395229083</v>
      </c>
      <c r="AO387" s="1">
        <v>100.77418803761337</v>
      </c>
      <c r="AP387" s="1">
        <v>102.63094974439248</v>
      </c>
      <c r="AQ387" s="1">
        <v>93.726423769841205</v>
      </c>
      <c r="AR387" s="1">
        <v>102.85663702937894</v>
      </c>
      <c r="AS387" s="1">
        <v>98.030598797123588</v>
      </c>
      <c r="AT387" s="1">
        <v>112.06046065586267</v>
      </c>
      <c r="AU387" s="1">
        <v>92.683083360025861</v>
      </c>
      <c r="AV387" s="1">
        <v>99.900323214082661</v>
      </c>
      <c r="AW387" s="1">
        <v>100</v>
      </c>
      <c r="AX387" s="1">
        <v>100</v>
      </c>
      <c r="AY387" s="1">
        <v>100</v>
      </c>
      <c r="AZ387" s="1">
        <v>100</v>
      </c>
      <c r="BA387" s="1">
        <v>100</v>
      </c>
      <c r="BB387" s="1">
        <v>100</v>
      </c>
      <c r="BC387" s="1">
        <v>100</v>
      </c>
      <c r="BD387" s="1">
        <v>100</v>
      </c>
      <c r="BE387" s="1">
        <v>100</v>
      </c>
      <c r="BF387" s="1">
        <v>100</v>
      </c>
      <c r="BG387" s="1">
        <v>100</v>
      </c>
      <c r="BH387" s="1">
        <v>100</v>
      </c>
    </row>
    <row r="388" spans="1:60" x14ac:dyDescent="0.25">
      <c r="A388">
        <v>375</v>
      </c>
      <c r="B388" s="1">
        <v>102.30533227216664</v>
      </c>
      <c r="C388" s="1">
        <v>94.353173132071191</v>
      </c>
      <c r="D388" s="1">
        <v>97.69521325787963</v>
      </c>
      <c r="E388" s="1">
        <v>119.51170313733628</v>
      </c>
      <c r="F388" s="1">
        <v>95.932799101521084</v>
      </c>
      <c r="G388" s="1">
        <v>101.20264176422626</v>
      </c>
      <c r="H388" s="1">
        <v>102.6264770510757</v>
      </c>
      <c r="I388" s="1">
        <v>90.647298591618593</v>
      </c>
      <c r="J388" s="1">
        <v>109.73261611443155</v>
      </c>
      <c r="K388" s="1">
        <v>106.16590636000029</v>
      </c>
      <c r="L388" s="1">
        <v>95.69663892742183</v>
      </c>
      <c r="M388" s="1">
        <v>96.715943522481638</v>
      </c>
      <c r="N388" s="1">
        <v>100.54839460060133</v>
      </c>
      <c r="O388" s="1">
        <v>82.951054236670302</v>
      </c>
      <c r="P388" s="1">
        <v>92.03049797598149</v>
      </c>
      <c r="Q388" s="1">
        <v>100</v>
      </c>
      <c r="R388" s="1">
        <v>98.539127000430625</v>
      </c>
      <c r="S388" s="1">
        <v>102.95538019010159</v>
      </c>
      <c r="T388" s="1">
        <v>105.48362508025029</v>
      </c>
      <c r="U388" s="1">
        <v>100.96372424684154</v>
      </c>
      <c r="V388" s="1">
        <v>100.45537806581483</v>
      </c>
      <c r="W388" s="1">
        <v>102.20284750979505</v>
      </c>
      <c r="X388" s="1">
        <v>98.938308797866256</v>
      </c>
      <c r="Y388" s="1">
        <v>96.253328064933626</v>
      </c>
      <c r="Z388" s="1">
        <v>86.852744311290479</v>
      </c>
      <c r="AA388" s="1">
        <v>96.697105376186386</v>
      </c>
      <c r="AB388" s="1">
        <v>84.02202162822951</v>
      </c>
      <c r="AC388" s="1">
        <v>101.78077976073585</v>
      </c>
      <c r="AD388" s="1">
        <v>113.07002987575412</v>
      </c>
      <c r="AE388" s="1">
        <v>91.777630284561994</v>
      </c>
      <c r="AF388" s="1">
        <v>104.07019205768545</v>
      </c>
      <c r="AG388" s="1">
        <v>100</v>
      </c>
      <c r="AH388" s="1">
        <v>95.492997296199022</v>
      </c>
      <c r="AI388" s="1">
        <v>105.31464274436719</v>
      </c>
      <c r="AJ388" s="1">
        <v>101.7607159866544</v>
      </c>
      <c r="AK388" s="1">
        <v>90.978075177732336</v>
      </c>
      <c r="AL388" s="1">
        <v>110.25638157572206</v>
      </c>
      <c r="AM388" s="1">
        <v>116.7028707921346</v>
      </c>
      <c r="AN388" s="1">
        <v>104.6537395229083</v>
      </c>
      <c r="AO388" s="1">
        <v>100.77418803761337</v>
      </c>
      <c r="AP388" s="1">
        <v>102.63094974439248</v>
      </c>
      <c r="AQ388" s="1">
        <v>93.726423769841205</v>
      </c>
      <c r="AR388" s="1">
        <v>102.85663702937894</v>
      </c>
      <c r="AS388" s="1">
        <v>98.030598797123588</v>
      </c>
      <c r="AT388" s="1">
        <v>112.06046065586267</v>
      </c>
      <c r="AU388" s="1">
        <v>92.683083360025861</v>
      </c>
      <c r="AV388" s="1">
        <v>99.900323214082661</v>
      </c>
      <c r="AW388" s="1">
        <v>100</v>
      </c>
      <c r="AX388" s="1">
        <v>100</v>
      </c>
      <c r="AY388" s="1">
        <v>100</v>
      </c>
      <c r="AZ388" s="1">
        <v>100</v>
      </c>
      <c r="BA388" s="1">
        <v>100</v>
      </c>
      <c r="BB388" s="1">
        <v>100</v>
      </c>
      <c r="BC388" s="1">
        <v>100</v>
      </c>
      <c r="BD388" s="1">
        <v>100</v>
      </c>
      <c r="BE388" s="1">
        <v>100</v>
      </c>
      <c r="BF388" s="1">
        <v>100</v>
      </c>
      <c r="BG388" s="1">
        <v>100</v>
      </c>
      <c r="BH388" s="1">
        <v>100</v>
      </c>
    </row>
    <row r="389" spans="1:60" x14ac:dyDescent="0.25">
      <c r="A389">
        <v>376</v>
      </c>
      <c r="B389" s="1">
        <v>102.30533227216664</v>
      </c>
      <c r="C389" s="1">
        <v>94.353173132071191</v>
      </c>
      <c r="D389" s="1">
        <v>97.69521325787963</v>
      </c>
      <c r="E389" s="1">
        <v>119.51170313733628</v>
      </c>
      <c r="F389" s="1">
        <v>95.932799101521084</v>
      </c>
      <c r="G389" s="1">
        <v>101.20264176422626</v>
      </c>
      <c r="H389" s="1">
        <v>102.6264770510757</v>
      </c>
      <c r="I389" s="1">
        <v>90.647298591618593</v>
      </c>
      <c r="J389" s="1">
        <v>109.73261611443155</v>
      </c>
      <c r="K389" s="1">
        <v>106.16590636000029</v>
      </c>
      <c r="L389" s="1">
        <v>95.69663892742183</v>
      </c>
      <c r="M389" s="1">
        <v>96.715943522481638</v>
      </c>
      <c r="N389" s="1">
        <v>100.54839460060133</v>
      </c>
      <c r="O389" s="1">
        <v>82.951054236670302</v>
      </c>
      <c r="P389" s="1">
        <v>92.03049797598149</v>
      </c>
      <c r="Q389" s="1">
        <v>100</v>
      </c>
      <c r="R389" s="1">
        <v>98.539127000430625</v>
      </c>
      <c r="S389" s="1">
        <v>102.95538019010159</v>
      </c>
      <c r="T389" s="1">
        <v>105.48362508025029</v>
      </c>
      <c r="U389" s="1">
        <v>100.96372424684154</v>
      </c>
      <c r="V389" s="1">
        <v>98.513089250469832</v>
      </c>
      <c r="W389" s="1">
        <v>102.20284750979505</v>
      </c>
      <c r="X389" s="1">
        <v>98.938308797866256</v>
      </c>
      <c r="Y389" s="1">
        <v>94.392285220440343</v>
      </c>
      <c r="Z389" s="1">
        <v>86.852744311290479</v>
      </c>
      <c r="AA389" s="1">
        <v>96.697105376186386</v>
      </c>
      <c r="AB389" s="1">
        <v>84.02202162822951</v>
      </c>
      <c r="AC389" s="1">
        <v>101.78077976073585</v>
      </c>
      <c r="AD389" s="1">
        <v>113.07002987575412</v>
      </c>
      <c r="AE389" s="1">
        <v>91.777630284561994</v>
      </c>
      <c r="AF389" s="1">
        <v>104.07019205768545</v>
      </c>
      <c r="AG389" s="1">
        <v>100</v>
      </c>
      <c r="AH389" s="1">
        <v>95.492997296199022</v>
      </c>
      <c r="AI389" s="1">
        <v>105.31464274436719</v>
      </c>
      <c r="AJ389" s="1">
        <v>101.7607159866544</v>
      </c>
      <c r="AK389" s="1">
        <v>93.061921023575309</v>
      </c>
      <c r="AL389" s="1">
        <v>111.97586738971737</v>
      </c>
      <c r="AM389" s="1">
        <v>116.7028707921346</v>
      </c>
      <c r="AN389" s="1">
        <v>104.6537395229083</v>
      </c>
      <c r="AO389" s="1">
        <v>100.77418803761337</v>
      </c>
      <c r="AP389" s="1">
        <v>102.63094974439248</v>
      </c>
      <c r="AQ389" s="1">
        <v>93.726423769841205</v>
      </c>
      <c r="AR389" s="1">
        <v>102.85663702937894</v>
      </c>
      <c r="AS389" s="1">
        <v>98.030598797123588</v>
      </c>
      <c r="AT389" s="1">
        <v>112.06046065586267</v>
      </c>
      <c r="AU389" s="1">
        <v>92.683083360025861</v>
      </c>
      <c r="AV389" s="1">
        <v>99.900323214082661</v>
      </c>
      <c r="AW389" s="1">
        <v>100</v>
      </c>
      <c r="AX389" s="1">
        <v>100</v>
      </c>
      <c r="AY389" s="1">
        <v>100</v>
      </c>
      <c r="AZ389" s="1">
        <v>100</v>
      </c>
      <c r="BA389" s="1">
        <v>100</v>
      </c>
      <c r="BB389" s="1">
        <v>100</v>
      </c>
      <c r="BC389" s="1">
        <v>100</v>
      </c>
      <c r="BD389" s="1">
        <v>100</v>
      </c>
      <c r="BE389" s="1">
        <v>100</v>
      </c>
      <c r="BF389" s="1">
        <v>100</v>
      </c>
      <c r="BG389" s="1">
        <v>100</v>
      </c>
      <c r="BH389" s="1">
        <v>100</v>
      </c>
    </row>
    <row r="390" spans="1:60" x14ac:dyDescent="0.25">
      <c r="A390">
        <v>377</v>
      </c>
      <c r="B390" s="1">
        <v>102.30533227216664</v>
      </c>
      <c r="C390" s="1">
        <v>94.353173132071191</v>
      </c>
      <c r="D390" s="1">
        <v>97.69521325787963</v>
      </c>
      <c r="E390" s="1">
        <v>119.51170313733628</v>
      </c>
      <c r="F390" s="1">
        <v>95.932799101521084</v>
      </c>
      <c r="G390" s="1">
        <v>101.20264176422626</v>
      </c>
      <c r="H390" s="1">
        <v>102.6264770510757</v>
      </c>
      <c r="I390" s="1">
        <v>94.578811535954415</v>
      </c>
      <c r="J390" s="1">
        <v>109.73261611443155</v>
      </c>
      <c r="K390" s="1">
        <v>106.16590636000029</v>
      </c>
      <c r="L390" s="1">
        <v>95.69663892742183</v>
      </c>
      <c r="M390" s="1">
        <v>96.715943522481638</v>
      </c>
      <c r="N390" s="1">
        <v>100.54839460060133</v>
      </c>
      <c r="O390" s="1">
        <v>79.588278711652094</v>
      </c>
      <c r="P390" s="1">
        <v>92.03049797598149</v>
      </c>
      <c r="Q390" s="1">
        <v>100</v>
      </c>
      <c r="R390" s="1">
        <v>98.539127000430625</v>
      </c>
      <c r="S390" s="1">
        <v>102.95538019010159</v>
      </c>
      <c r="T390" s="1">
        <v>105.48362508025029</v>
      </c>
      <c r="U390" s="1">
        <v>100.96372424684154</v>
      </c>
      <c r="V390" s="1">
        <v>98.513089250469832</v>
      </c>
      <c r="W390" s="1">
        <v>102.20284750979505</v>
      </c>
      <c r="X390" s="1">
        <v>98.938308797866256</v>
      </c>
      <c r="Y390" s="1">
        <v>94.392285220440343</v>
      </c>
      <c r="Z390" s="1">
        <v>86.852744311290479</v>
      </c>
      <c r="AA390" s="1">
        <v>96.697105376186386</v>
      </c>
      <c r="AB390" s="1">
        <v>84.02202162822951</v>
      </c>
      <c r="AC390" s="1">
        <v>101.78077976073585</v>
      </c>
      <c r="AD390" s="1">
        <v>116.22189096727084</v>
      </c>
      <c r="AE390" s="1">
        <v>88.057031773727644</v>
      </c>
      <c r="AF390" s="1">
        <v>104.07019205768545</v>
      </c>
      <c r="AG390" s="1">
        <v>100</v>
      </c>
      <c r="AH390" s="1">
        <v>95.492997296199022</v>
      </c>
      <c r="AI390" s="1">
        <v>105.31464274436719</v>
      </c>
      <c r="AJ390" s="1">
        <v>101.7607159866544</v>
      </c>
      <c r="AK390" s="1">
        <v>93.061921023575309</v>
      </c>
      <c r="AL390" s="1">
        <v>111.97586738971737</v>
      </c>
      <c r="AM390" s="1">
        <v>116.7028707921346</v>
      </c>
      <c r="AN390" s="1">
        <v>104.6537395229083</v>
      </c>
      <c r="AO390" s="1">
        <v>100.77418803761337</v>
      </c>
      <c r="AP390" s="1">
        <v>102.63094974439248</v>
      </c>
      <c r="AQ390" s="1">
        <v>93.726423769841205</v>
      </c>
      <c r="AR390" s="1">
        <v>102.85663702937894</v>
      </c>
      <c r="AS390" s="1">
        <v>98.030598797123588</v>
      </c>
      <c r="AT390" s="1">
        <v>112.06046065586267</v>
      </c>
      <c r="AU390" s="1">
        <v>92.683083360025861</v>
      </c>
      <c r="AV390" s="1">
        <v>99.900323214082661</v>
      </c>
      <c r="AW390" s="1">
        <v>100</v>
      </c>
      <c r="AX390" s="1">
        <v>100</v>
      </c>
      <c r="AY390" s="1">
        <v>100</v>
      </c>
      <c r="AZ390" s="1">
        <v>100</v>
      </c>
      <c r="BA390" s="1">
        <v>100</v>
      </c>
      <c r="BB390" s="1">
        <v>100</v>
      </c>
      <c r="BC390" s="1">
        <v>100</v>
      </c>
      <c r="BD390" s="1">
        <v>100</v>
      </c>
      <c r="BE390" s="1">
        <v>100</v>
      </c>
      <c r="BF390" s="1">
        <v>100</v>
      </c>
      <c r="BG390" s="1">
        <v>100</v>
      </c>
      <c r="BH390" s="1">
        <v>100</v>
      </c>
    </row>
    <row r="391" spans="1:60" x14ac:dyDescent="0.25">
      <c r="A391">
        <v>378</v>
      </c>
      <c r="B391" s="1">
        <v>102.30533227216664</v>
      </c>
      <c r="C391" s="1">
        <v>94.353173132071191</v>
      </c>
      <c r="D391" s="1">
        <v>97.69521325787963</v>
      </c>
      <c r="E391" s="1">
        <v>119.51170313733628</v>
      </c>
      <c r="F391" s="1">
        <v>95.932799101521084</v>
      </c>
      <c r="G391" s="1">
        <v>101.20264176422626</v>
      </c>
      <c r="H391" s="1">
        <v>102.6264770510757</v>
      </c>
      <c r="I391" s="1">
        <v>96.741614334843746</v>
      </c>
      <c r="J391" s="1">
        <v>109.73261611443155</v>
      </c>
      <c r="K391" s="1">
        <v>106.16590636000029</v>
      </c>
      <c r="L391" s="1">
        <v>95.69663892742183</v>
      </c>
      <c r="M391" s="1">
        <v>96.715943522481638</v>
      </c>
      <c r="N391" s="1">
        <v>100.54839460060133</v>
      </c>
      <c r="O391" s="1">
        <v>77.725939694255231</v>
      </c>
      <c r="P391" s="1">
        <v>92.03049797598149</v>
      </c>
      <c r="Q391" s="1">
        <v>100</v>
      </c>
      <c r="R391" s="1">
        <v>98.539127000430625</v>
      </c>
      <c r="S391" s="1">
        <v>102.95538019010159</v>
      </c>
      <c r="T391" s="1">
        <v>105.48362508025029</v>
      </c>
      <c r="U391" s="1">
        <v>100.96372424684154</v>
      </c>
      <c r="V391" s="1">
        <v>98.513089250469832</v>
      </c>
      <c r="W391" s="1">
        <v>102.20284750979505</v>
      </c>
      <c r="X391" s="1">
        <v>98.938308797866256</v>
      </c>
      <c r="Y391" s="1">
        <v>94.392285220440343</v>
      </c>
      <c r="Z391" s="1">
        <v>86.852744311290479</v>
      </c>
      <c r="AA391" s="1">
        <v>96.697105376186386</v>
      </c>
      <c r="AB391" s="1">
        <v>84.02202162822951</v>
      </c>
      <c r="AC391" s="1">
        <v>101.78077976073585</v>
      </c>
      <c r="AD391" s="1">
        <v>117.98193218328575</v>
      </c>
      <c r="AE391" s="1">
        <v>85.996526776220264</v>
      </c>
      <c r="AF391" s="1">
        <v>104.07019205768545</v>
      </c>
      <c r="AG391" s="1">
        <v>100</v>
      </c>
      <c r="AH391" s="1">
        <v>95.492997296199022</v>
      </c>
      <c r="AI391" s="1">
        <v>105.31464274436719</v>
      </c>
      <c r="AJ391" s="1">
        <v>101.7607159866544</v>
      </c>
      <c r="AK391" s="1">
        <v>93.061921023575309</v>
      </c>
      <c r="AL391" s="1">
        <v>111.97586738971737</v>
      </c>
      <c r="AM391" s="1">
        <v>116.7028707921346</v>
      </c>
      <c r="AN391" s="1">
        <v>104.6537395229083</v>
      </c>
      <c r="AO391" s="1">
        <v>100.77418803761337</v>
      </c>
      <c r="AP391" s="1">
        <v>102.63094974439248</v>
      </c>
      <c r="AQ391" s="1">
        <v>93.726423769841205</v>
      </c>
      <c r="AR391" s="1">
        <v>102.85663702937894</v>
      </c>
      <c r="AS391" s="1">
        <v>98.030598797123588</v>
      </c>
      <c r="AT391" s="1">
        <v>112.06046065586267</v>
      </c>
      <c r="AU391" s="1">
        <v>92.683083360025861</v>
      </c>
      <c r="AV391" s="1">
        <v>99.900323214082661</v>
      </c>
      <c r="AW391" s="1">
        <v>100</v>
      </c>
      <c r="AX391" s="1">
        <v>100</v>
      </c>
      <c r="AY391" s="1">
        <v>100</v>
      </c>
      <c r="AZ391" s="1">
        <v>100</v>
      </c>
      <c r="BA391" s="1">
        <v>100</v>
      </c>
      <c r="BB391" s="1">
        <v>100</v>
      </c>
      <c r="BC391" s="1">
        <v>100</v>
      </c>
      <c r="BD391" s="1">
        <v>100</v>
      </c>
      <c r="BE391" s="1">
        <v>100</v>
      </c>
      <c r="BF391" s="1">
        <v>100</v>
      </c>
      <c r="BG391" s="1">
        <v>100</v>
      </c>
      <c r="BH391" s="1">
        <v>100</v>
      </c>
    </row>
    <row r="392" spans="1:60" x14ac:dyDescent="0.25">
      <c r="A392">
        <v>379</v>
      </c>
      <c r="B392" s="1">
        <v>102.30533227216664</v>
      </c>
      <c r="C392" s="1">
        <v>94.353173132071191</v>
      </c>
      <c r="D392" s="1">
        <v>97.69521325787963</v>
      </c>
      <c r="E392" s="1">
        <v>119.51170313733628</v>
      </c>
      <c r="F392" s="1">
        <v>95.932799101521084</v>
      </c>
      <c r="G392" s="1">
        <v>101.20264176422626</v>
      </c>
      <c r="H392" s="1">
        <v>102.6264770510757</v>
      </c>
      <c r="I392" s="1">
        <v>93.782855155388518</v>
      </c>
      <c r="J392" s="1">
        <v>109.73261611443155</v>
      </c>
      <c r="K392" s="1">
        <v>106.16590636000029</v>
      </c>
      <c r="L392" s="1">
        <v>95.69663892742183</v>
      </c>
      <c r="M392" s="1">
        <v>96.715943522481638</v>
      </c>
      <c r="N392" s="1">
        <v>100.54839460060133</v>
      </c>
      <c r="O392" s="1">
        <v>77.725939694255231</v>
      </c>
      <c r="P392" s="1">
        <v>92.03049797598149</v>
      </c>
      <c r="Q392" s="1">
        <v>100</v>
      </c>
      <c r="R392" s="1">
        <v>98.539127000430625</v>
      </c>
      <c r="S392" s="1">
        <v>102.95538019010159</v>
      </c>
      <c r="T392" s="1">
        <v>105.48362508025029</v>
      </c>
      <c r="U392" s="1">
        <v>100.96372424684154</v>
      </c>
      <c r="V392" s="1">
        <v>98.513089250469832</v>
      </c>
      <c r="W392" s="1">
        <v>102.20284750979505</v>
      </c>
      <c r="X392" s="1">
        <v>98.938308797866256</v>
      </c>
      <c r="Y392" s="1">
        <v>94.392285220440343</v>
      </c>
      <c r="Z392" s="1">
        <v>86.852744311290479</v>
      </c>
      <c r="AA392" s="1">
        <v>96.697105376186386</v>
      </c>
      <c r="AB392" s="1">
        <v>84.02202162822951</v>
      </c>
      <c r="AC392" s="1">
        <v>101.78077976073585</v>
      </c>
      <c r="AD392" s="1">
        <v>120.67316778411167</v>
      </c>
      <c r="AE392" s="1">
        <v>89.688736078720709</v>
      </c>
      <c r="AF392" s="1">
        <v>104.07019205768545</v>
      </c>
      <c r="AG392" s="1">
        <v>100</v>
      </c>
      <c r="AH392" s="1">
        <v>95.492997296199022</v>
      </c>
      <c r="AI392" s="1">
        <v>105.31464274436719</v>
      </c>
      <c r="AJ392" s="1">
        <v>101.7607159866544</v>
      </c>
      <c r="AK392" s="1">
        <v>93.061921023575309</v>
      </c>
      <c r="AL392" s="1">
        <v>108.55118166584623</v>
      </c>
      <c r="AM392" s="1">
        <v>116.7028707921346</v>
      </c>
      <c r="AN392" s="1">
        <v>104.6537395229083</v>
      </c>
      <c r="AO392" s="1">
        <v>100.77418803761337</v>
      </c>
      <c r="AP392" s="1">
        <v>102.63094974439248</v>
      </c>
      <c r="AQ392" s="1">
        <v>93.726423769841205</v>
      </c>
      <c r="AR392" s="1">
        <v>102.85663702937894</v>
      </c>
      <c r="AS392" s="1">
        <v>98.030598797123588</v>
      </c>
      <c r="AT392" s="1">
        <v>112.06046065586267</v>
      </c>
      <c r="AU392" s="1">
        <v>92.683083360025861</v>
      </c>
      <c r="AV392" s="1">
        <v>99.900323214082661</v>
      </c>
      <c r="AW392" s="1">
        <v>100</v>
      </c>
      <c r="AX392" s="1">
        <v>100</v>
      </c>
      <c r="AY392" s="1">
        <v>100</v>
      </c>
      <c r="AZ392" s="1">
        <v>100</v>
      </c>
      <c r="BA392" s="1">
        <v>100</v>
      </c>
      <c r="BB392" s="1">
        <v>100</v>
      </c>
      <c r="BC392" s="1">
        <v>100</v>
      </c>
      <c r="BD392" s="1">
        <v>100</v>
      </c>
      <c r="BE392" s="1">
        <v>100</v>
      </c>
      <c r="BF392" s="1">
        <v>100</v>
      </c>
      <c r="BG392" s="1">
        <v>100</v>
      </c>
      <c r="BH392" s="1">
        <v>100</v>
      </c>
    </row>
    <row r="393" spans="1:60" x14ac:dyDescent="0.25">
      <c r="A393">
        <v>380</v>
      </c>
      <c r="B393" s="1">
        <v>102.30533227216664</v>
      </c>
      <c r="C393" s="1">
        <v>94.353173132071191</v>
      </c>
      <c r="D393" s="1">
        <v>97.69521325787963</v>
      </c>
      <c r="E393" s="1">
        <v>119.51170313733628</v>
      </c>
      <c r="F393" s="1">
        <v>95.932799101521084</v>
      </c>
      <c r="G393" s="1">
        <v>101.20264176422626</v>
      </c>
      <c r="H393" s="1">
        <v>102.6264770510757</v>
      </c>
      <c r="I393" s="1">
        <v>91.499563034783122</v>
      </c>
      <c r="J393" s="1">
        <v>109.73261611443155</v>
      </c>
      <c r="K393" s="1">
        <v>106.16590636000029</v>
      </c>
      <c r="L393" s="1">
        <v>95.69663892742183</v>
      </c>
      <c r="M393" s="1">
        <v>96.715943522481638</v>
      </c>
      <c r="N393" s="1">
        <v>100.54839460060133</v>
      </c>
      <c r="O393" s="1">
        <v>77.725939694255231</v>
      </c>
      <c r="P393" s="1">
        <v>92.03049797598149</v>
      </c>
      <c r="Q393" s="1">
        <v>100</v>
      </c>
      <c r="R393" s="1">
        <v>98.539127000430625</v>
      </c>
      <c r="S393" s="1">
        <v>102.95538019010159</v>
      </c>
      <c r="T393" s="1">
        <v>105.48362508025029</v>
      </c>
      <c r="U393" s="1">
        <v>100.96372424684154</v>
      </c>
      <c r="V393" s="1">
        <v>98.513089250469832</v>
      </c>
      <c r="W393" s="1">
        <v>102.20284750979505</v>
      </c>
      <c r="X393" s="1">
        <v>98.938308797866256</v>
      </c>
      <c r="Y393" s="1">
        <v>94.392285220440343</v>
      </c>
      <c r="Z393" s="1">
        <v>86.852744311290479</v>
      </c>
      <c r="AA393" s="1">
        <v>96.697105376186386</v>
      </c>
      <c r="AB393" s="1">
        <v>84.02202162822951</v>
      </c>
      <c r="AC393" s="1">
        <v>101.78077976073585</v>
      </c>
      <c r="AD393" s="1">
        <v>122.77345062885132</v>
      </c>
      <c r="AE393" s="1">
        <v>92.514595770788461</v>
      </c>
      <c r="AF393" s="1">
        <v>104.07019205768545</v>
      </c>
      <c r="AG393" s="1">
        <v>100</v>
      </c>
      <c r="AH393" s="1">
        <v>95.492997296199022</v>
      </c>
      <c r="AI393" s="1">
        <v>105.31464274436719</v>
      </c>
      <c r="AJ393" s="1">
        <v>101.7607159866544</v>
      </c>
      <c r="AK393" s="1">
        <v>93.061921023575309</v>
      </c>
      <c r="AL393" s="1">
        <v>105.90833124964422</v>
      </c>
      <c r="AM393" s="1">
        <v>116.7028707921346</v>
      </c>
      <c r="AN393" s="1">
        <v>104.6537395229083</v>
      </c>
      <c r="AO393" s="1">
        <v>100.77418803761337</v>
      </c>
      <c r="AP393" s="1">
        <v>102.63094974439248</v>
      </c>
      <c r="AQ393" s="1">
        <v>93.726423769841205</v>
      </c>
      <c r="AR393" s="1">
        <v>102.85663702937894</v>
      </c>
      <c r="AS393" s="1">
        <v>98.030598797123588</v>
      </c>
      <c r="AT393" s="1">
        <v>112.06046065586267</v>
      </c>
      <c r="AU393" s="1">
        <v>92.683083360025861</v>
      </c>
      <c r="AV393" s="1">
        <v>99.900323214082661</v>
      </c>
      <c r="AW393" s="1">
        <v>100</v>
      </c>
      <c r="AX393" s="1">
        <v>100</v>
      </c>
      <c r="AY393" s="1">
        <v>100</v>
      </c>
      <c r="AZ393" s="1">
        <v>100</v>
      </c>
      <c r="BA393" s="1">
        <v>100</v>
      </c>
      <c r="BB393" s="1">
        <v>100</v>
      </c>
      <c r="BC393" s="1">
        <v>100</v>
      </c>
      <c r="BD393" s="1">
        <v>100</v>
      </c>
      <c r="BE393" s="1">
        <v>100</v>
      </c>
      <c r="BF393" s="1">
        <v>100</v>
      </c>
      <c r="BG393" s="1">
        <v>100</v>
      </c>
      <c r="BH393" s="1">
        <v>100</v>
      </c>
    </row>
    <row r="394" spans="1:60" x14ac:dyDescent="0.25">
      <c r="A394">
        <v>381</v>
      </c>
      <c r="B394" s="1">
        <v>101.76710646225155</v>
      </c>
      <c r="C394" s="1">
        <v>94.353173132071191</v>
      </c>
      <c r="D394" s="1">
        <v>97.69521325787963</v>
      </c>
      <c r="E394" s="1">
        <v>119.51170313733628</v>
      </c>
      <c r="F394" s="1">
        <v>95.932799101521084</v>
      </c>
      <c r="G394" s="1">
        <v>101.20264176422626</v>
      </c>
      <c r="H394" s="1">
        <v>102.6264770510757</v>
      </c>
      <c r="I394" s="1">
        <v>91.499563034783122</v>
      </c>
      <c r="J394" s="1">
        <v>109.73261611443155</v>
      </c>
      <c r="K394" s="1">
        <v>106.16590636000029</v>
      </c>
      <c r="L394" s="1">
        <v>95.69663892742183</v>
      </c>
      <c r="M394" s="1">
        <v>96.715943522481638</v>
      </c>
      <c r="N394" s="1">
        <v>100.54839460060133</v>
      </c>
      <c r="O394" s="1">
        <v>77.725939694255231</v>
      </c>
      <c r="P394" s="1">
        <v>92.03049797598149</v>
      </c>
      <c r="Q394" s="1">
        <v>100</v>
      </c>
      <c r="R394" s="1">
        <v>98.539127000430625</v>
      </c>
      <c r="S394" s="1">
        <v>102.95538019010159</v>
      </c>
      <c r="T394" s="1">
        <v>105.48362508025029</v>
      </c>
      <c r="U394" s="1">
        <v>100.96372424684154</v>
      </c>
      <c r="V394" s="1">
        <v>98.513089250469832</v>
      </c>
      <c r="W394" s="1">
        <v>102.20284750979505</v>
      </c>
      <c r="X394" s="1">
        <v>98.938308797866256</v>
      </c>
      <c r="Y394" s="1">
        <v>94.9698267561525</v>
      </c>
      <c r="Z394" s="1">
        <v>86.852744311290479</v>
      </c>
      <c r="AA394" s="1">
        <v>96.697105376186386</v>
      </c>
      <c r="AB394" s="1">
        <v>84.02202162822951</v>
      </c>
      <c r="AC394" s="1">
        <v>101.78077976073585</v>
      </c>
      <c r="AD394" s="1">
        <v>122.77345062885132</v>
      </c>
      <c r="AE394" s="1">
        <v>92.514595770788461</v>
      </c>
      <c r="AF394" s="1">
        <v>104.07019205768545</v>
      </c>
      <c r="AG394" s="1">
        <v>100</v>
      </c>
      <c r="AH394" s="1">
        <v>95.492997296199022</v>
      </c>
      <c r="AI394" s="1">
        <v>104.76058502686513</v>
      </c>
      <c r="AJ394" s="1">
        <v>101.7607159866544</v>
      </c>
      <c r="AK394" s="1">
        <v>93.061921023575309</v>
      </c>
      <c r="AL394" s="1">
        <v>106.42307324134921</v>
      </c>
      <c r="AM394" s="1">
        <v>116.7028707921346</v>
      </c>
      <c r="AN394" s="1">
        <v>104.6537395229083</v>
      </c>
      <c r="AO394" s="1">
        <v>100.77418803761337</v>
      </c>
      <c r="AP394" s="1">
        <v>102.63094974439248</v>
      </c>
      <c r="AQ394" s="1">
        <v>93.726423769841205</v>
      </c>
      <c r="AR394" s="1">
        <v>102.85663702937894</v>
      </c>
      <c r="AS394" s="1">
        <v>98.030598797123588</v>
      </c>
      <c r="AT394" s="1">
        <v>112.06046065586267</v>
      </c>
      <c r="AU394" s="1">
        <v>92.683083360025861</v>
      </c>
      <c r="AV394" s="1">
        <v>99.900323214082661</v>
      </c>
      <c r="AW394" s="1">
        <v>100</v>
      </c>
      <c r="AX394" s="1">
        <v>100</v>
      </c>
      <c r="AY394" s="1">
        <v>100</v>
      </c>
      <c r="AZ394" s="1">
        <v>100</v>
      </c>
      <c r="BA394" s="1">
        <v>100</v>
      </c>
      <c r="BB394" s="1">
        <v>100</v>
      </c>
      <c r="BC394" s="1">
        <v>100</v>
      </c>
      <c r="BD394" s="1">
        <v>100</v>
      </c>
      <c r="BE394" s="1">
        <v>100</v>
      </c>
      <c r="BF394" s="1">
        <v>100</v>
      </c>
      <c r="BG394" s="1">
        <v>100</v>
      </c>
      <c r="BH394" s="1">
        <v>100</v>
      </c>
    </row>
    <row r="395" spans="1:60" x14ac:dyDescent="0.25">
      <c r="A395">
        <v>382</v>
      </c>
      <c r="B395" s="1">
        <v>103.66120520080217</v>
      </c>
      <c r="C395" s="1">
        <v>94.353173132071191</v>
      </c>
      <c r="D395" s="1">
        <v>97.69521325787963</v>
      </c>
      <c r="E395" s="1">
        <v>119.51170313733628</v>
      </c>
      <c r="F395" s="1">
        <v>95.932799101521084</v>
      </c>
      <c r="G395" s="1">
        <v>101.20264176422626</v>
      </c>
      <c r="H395" s="1">
        <v>102.6264770510757</v>
      </c>
      <c r="I395" s="1">
        <v>91.499563034783122</v>
      </c>
      <c r="J395" s="1">
        <v>109.73261611443155</v>
      </c>
      <c r="K395" s="1">
        <v>106.16590636000029</v>
      </c>
      <c r="L395" s="1">
        <v>95.69663892742183</v>
      </c>
      <c r="M395" s="1">
        <v>96.715943522481638</v>
      </c>
      <c r="N395" s="1">
        <v>100.54839460060133</v>
      </c>
      <c r="O395" s="1">
        <v>77.725939694255231</v>
      </c>
      <c r="P395" s="1">
        <v>92.03049797598149</v>
      </c>
      <c r="Q395" s="1">
        <v>100</v>
      </c>
      <c r="R395" s="1">
        <v>98.539127000430625</v>
      </c>
      <c r="S395" s="1">
        <v>102.95538019010159</v>
      </c>
      <c r="T395" s="1">
        <v>105.48362508025029</v>
      </c>
      <c r="U395" s="1">
        <v>100.96372424684154</v>
      </c>
      <c r="V395" s="1">
        <v>98.513089250469832</v>
      </c>
      <c r="W395" s="1">
        <v>102.20284750979505</v>
      </c>
      <c r="X395" s="1">
        <v>98.938308797866256</v>
      </c>
      <c r="Y395" s="1">
        <v>93.208968165165942</v>
      </c>
      <c r="Z395" s="1">
        <v>86.852744311290479</v>
      </c>
      <c r="AA395" s="1">
        <v>96.697105376186386</v>
      </c>
      <c r="AB395" s="1">
        <v>84.02202162822951</v>
      </c>
      <c r="AC395" s="1">
        <v>101.78077976073585</v>
      </c>
      <c r="AD395" s="1">
        <v>122.77345062885132</v>
      </c>
      <c r="AE395" s="1">
        <v>92.514595770788461</v>
      </c>
      <c r="AF395" s="1">
        <v>104.07019205768545</v>
      </c>
      <c r="AG395" s="1">
        <v>100</v>
      </c>
      <c r="AH395" s="1">
        <v>95.492997296199022</v>
      </c>
      <c r="AI395" s="1">
        <v>106.60056089113381</v>
      </c>
      <c r="AJ395" s="1">
        <v>101.7607159866544</v>
      </c>
      <c r="AK395" s="1">
        <v>93.061921023575309</v>
      </c>
      <c r="AL395" s="1">
        <v>104.44985722951647</v>
      </c>
      <c r="AM395" s="1">
        <v>116.7028707921346</v>
      </c>
      <c r="AN395" s="1">
        <v>104.6537395229083</v>
      </c>
      <c r="AO395" s="1">
        <v>100.77418803761337</v>
      </c>
      <c r="AP395" s="1">
        <v>102.63094974439248</v>
      </c>
      <c r="AQ395" s="1">
        <v>93.726423769841205</v>
      </c>
      <c r="AR395" s="1">
        <v>102.85663702937894</v>
      </c>
      <c r="AS395" s="1">
        <v>98.030598797123588</v>
      </c>
      <c r="AT395" s="1">
        <v>112.06046065586267</v>
      </c>
      <c r="AU395" s="1">
        <v>92.683083360025861</v>
      </c>
      <c r="AV395" s="1">
        <v>99.900323214082661</v>
      </c>
      <c r="AW395" s="1">
        <v>100</v>
      </c>
      <c r="AX395" s="1">
        <v>100</v>
      </c>
      <c r="AY395" s="1">
        <v>100</v>
      </c>
      <c r="AZ395" s="1">
        <v>100</v>
      </c>
      <c r="BA395" s="1">
        <v>100</v>
      </c>
      <c r="BB395" s="1">
        <v>100</v>
      </c>
      <c r="BC395" s="1">
        <v>100</v>
      </c>
      <c r="BD395" s="1">
        <v>100</v>
      </c>
      <c r="BE395" s="1">
        <v>100</v>
      </c>
      <c r="BF395" s="1">
        <v>100</v>
      </c>
      <c r="BG395" s="1">
        <v>100</v>
      </c>
      <c r="BH395" s="1">
        <v>100</v>
      </c>
    </row>
    <row r="396" spans="1:60" x14ac:dyDescent="0.25">
      <c r="A396">
        <v>383</v>
      </c>
      <c r="B396" s="1">
        <v>103.09081792328008</v>
      </c>
      <c r="C396" s="1">
        <v>94.353173132071191</v>
      </c>
      <c r="D396" s="1">
        <v>97.69521325787963</v>
      </c>
      <c r="E396" s="1">
        <v>119.51170313733628</v>
      </c>
      <c r="F396" s="1">
        <v>95.932799101521084</v>
      </c>
      <c r="G396" s="1">
        <v>101.20264176422626</v>
      </c>
      <c r="H396" s="1">
        <v>102.6264770510757</v>
      </c>
      <c r="I396" s="1">
        <v>91.499563034783122</v>
      </c>
      <c r="J396" s="1">
        <v>109.73261611443155</v>
      </c>
      <c r="K396" s="1">
        <v>106.16590636000029</v>
      </c>
      <c r="L396" s="1">
        <v>95.69663892742183</v>
      </c>
      <c r="M396" s="1">
        <v>96.715943522481638</v>
      </c>
      <c r="N396" s="1">
        <v>100.54839460060133</v>
      </c>
      <c r="O396" s="1">
        <v>77.725939694255231</v>
      </c>
      <c r="P396" s="1">
        <v>92.03049797598149</v>
      </c>
      <c r="Q396" s="1">
        <v>100</v>
      </c>
      <c r="R396" s="1">
        <v>98.539127000430625</v>
      </c>
      <c r="S396" s="1">
        <v>102.95538019010159</v>
      </c>
      <c r="T396" s="1">
        <v>105.48362508025029</v>
      </c>
      <c r="U396" s="1">
        <v>100.96372424684154</v>
      </c>
      <c r="V396" s="1">
        <v>98.513089250469832</v>
      </c>
      <c r="W396" s="1">
        <v>102.20284750979505</v>
      </c>
      <c r="X396" s="1">
        <v>98.938308797866256</v>
      </c>
      <c r="Y396" s="1">
        <v>93.208968165165942</v>
      </c>
      <c r="Z396" s="1">
        <v>86.852744311290479</v>
      </c>
      <c r="AA396" s="1">
        <v>96.697105376186386</v>
      </c>
      <c r="AB396" s="1">
        <v>84.02202162822951</v>
      </c>
      <c r="AC396" s="1">
        <v>101.78077976073585</v>
      </c>
      <c r="AD396" s="1">
        <v>122.77345062885132</v>
      </c>
      <c r="AE396" s="1">
        <v>92.00554179721621</v>
      </c>
      <c r="AF396" s="1">
        <v>104.07019205768545</v>
      </c>
      <c r="AG396" s="1">
        <v>100</v>
      </c>
      <c r="AH396" s="1">
        <v>95.492997296199022</v>
      </c>
      <c r="AI396" s="1">
        <v>107.10368433974367</v>
      </c>
      <c r="AJ396" s="1">
        <v>101.7607159866544</v>
      </c>
      <c r="AK396" s="1">
        <v>93.638238826059791</v>
      </c>
      <c r="AL396" s="1">
        <v>104.44985722951647</v>
      </c>
      <c r="AM396" s="1">
        <v>116.7028707921346</v>
      </c>
      <c r="AN396" s="1">
        <v>104.6537395229083</v>
      </c>
      <c r="AO396" s="1">
        <v>100.77418803761337</v>
      </c>
      <c r="AP396" s="1">
        <v>102.63094974439248</v>
      </c>
      <c r="AQ396" s="1">
        <v>93.726423769841205</v>
      </c>
      <c r="AR396" s="1">
        <v>102.85663702937894</v>
      </c>
      <c r="AS396" s="1">
        <v>98.030598797123588</v>
      </c>
      <c r="AT396" s="1">
        <v>112.06046065586267</v>
      </c>
      <c r="AU396" s="1">
        <v>92.683083360025861</v>
      </c>
      <c r="AV396" s="1">
        <v>99.900323214082661</v>
      </c>
      <c r="AW396" s="1">
        <v>100</v>
      </c>
      <c r="AX396" s="1">
        <v>100</v>
      </c>
      <c r="AY396" s="1">
        <v>100</v>
      </c>
      <c r="AZ396" s="1">
        <v>100</v>
      </c>
      <c r="BA396" s="1">
        <v>100</v>
      </c>
      <c r="BB396" s="1">
        <v>100</v>
      </c>
      <c r="BC396" s="1">
        <v>100</v>
      </c>
      <c r="BD396" s="1">
        <v>100</v>
      </c>
      <c r="BE396" s="1">
        <v>100</v>
      </c>
      <c r="BF396" s="1">
        <v>100</v>
      </c>
      <c r="BG396" s="1">
        <v>100</v>
      </c>
      <c r="BH396" s="1">
        <v>100</v>
      </c>
    </row>
    <row r="397" spans="1:60" x14ac:dyDescent="0.25">
      <c r="A397">
        <v>384</v>
      </c>
      <c r="B397" s="1">
        <v>103.84481195479886</v>
      </c>
      <c r="C397" s="1">
        <v>94.353173132071191</v>
      </c>
      <c r="D397" s="1">
        <v>97.69521325787963</v>
      </c>
      <c r="E397" s="1">
        <v>119.51170313733628</v>
      </c>
      <c r="F397" s="1">
        <v>95.932799101521084</v>
      </c>
      <c r="G397" s="1">
        <v>101.20264176422626</v>
      </c>
      <c r="H397" s="1">
        <v>102.6264770510757</v>
      </c>
      <c r="I397" s="1">
        <v>91.499563034783122</v>
      </c>
      <c r="J397" s="1">
        <v>109.73261611443155</v>
      </c>
      <c r="K397" s="1">
        <v>106.16590636000029</v>
      </c>
      <c r="L397" s="1">
        <v>95.69663892742183</v>
      </c>
      <c r="M397" s="1">
        <v>96.715943522481638</v>
      </c>
      <c r="N397" s="1">
        <v>100.54839460060133</v>
      </c>
      <c r="O397" s="1">
        <v>77.725939694255231</v>
      </c>
      <c r="P397" s="1">
        <v>92.03049797598149</v>
      </c>
      <c r="Q397" s="1">
        <v>100</v>
      </c>
      <c r="R397" s="1">
        <v>98.539127000430625</v>
      </c>
      <c r="S397" s="1">
        <v>102.95538019010159</v>
      </c>
      <c r="T397" s="1">
        <v>105.48362508025029</v>
      </c>
      <c r="U397" s="1">
        <v>100.96372424684154</v>
      </c>
      <c r="V397" s="1">
        <v>98.513089250469832</v>
      </c>
      <c r="W397" s="1">
        <v>102.20284750979505</v>
      </c>
      <c r="X397" s="1">
        <v>98.938308797866256</v>
      </c>
      <c r="Y397" s="1">
        <v>93.208968165165942</v>
      </c>
      <c r="Z397" s="1">
        <v>86.852744311290479</v>
      </c>
      <c r="AA397" s="1">
        <v>96.697105376186386</v>
      </c>
      <c r="AB397" s="1">
        <v>84.02202162822951</v>
      </c>
      <c r="AC397" s="1">
        <v>101.78077976073585</v>
      </c>
      <c r="AD397" s="1">
        <v>122.77345062885132</v>
      </c>
      <c r="AE397" s="1">
        <v>92.850380704744865</v>
      </c>
      <c r="AF397" s="1">
        <v>104.07019205768545</v>
      </c>
      <c r="AG397" s="1">
        <v>100</v>
      </c>
      <c r="AH397" s="1">
        <v>95.492997296199022</v>
      </c>
      <c r="AI397" s="1">
        <v>106.25064429850482</v>
      </c>
      <c r="AJ397" s="1">
        <v>101.7607159866544</v>
      </c>
      <c r="AK397" s="1">
        <v>92.892445928251206</v>
      </c>
      <c r="AL397" s="1">
        <v>104.44985722951647</v>
      </c>
      <c r="AM397" s="1">
        <v>116.7028707921346</v>
      </c>
      <c r="AN397" s="1">
        <v>104.6537395229083</v>
      </c>
      <c r="AO397" s="1">
        <v>100.77418803761337</v>
      </c>
      <c r="AP397" s="1">
        <v>102.63094974439248</v>
      </c>
      <c r="AQ397" s="1">
        <v>93.726423769841205</v>
      </c>
      <c r="AR397" s="1">
        <v>102.85663702937894</v>
      </c>
      <c r="AS397" s="1">
        <v>98.030598797123588</v>
      </c>
      <c r="AT397" s="1">
        <v>112.06046065586267</v>
      </c>
      <c r="AU397" s="1">
        <v>92.683083360025861</v>
      </c>
      <c r="AV397" s="1">
        <v>99.900323214082661</v>
      </c>
      <c r="AW397" s="1">
        <v>100</v>
      </c>
      <c r="AX397" s="1">
        <v>100</v>
      </c>
      <c r="AY397" s="1">
        <v>100</v>
      </c>
      <c r="AZ397" s="1">
        <v>100</v>
      </c>
      <c r="BA397" s="1">
        <v>100</v>
      </c>
      <c r="BB397" s="1">
        <v>100</v>
      </c>
      <c r="BC397" s="1">
        <v>100</v>
      </c>
      <c r="BD397" s="1">
        <v>100</v>
      </c>
      <c r="BE397" s="1">
        <v>100</v>
      </c>
      <c r="BF397" s="1">
        <v>100</v>
      </c>
      <c r="BG397" s="1">
        <v>100</v>
      </c>
      <c r="BH397" s="1">
        <v>100</v>
      </c>
    </row>
    <row r="398" spans="1:60" x14ac:dyDescent="0.25">
      <c r="A398">
        <v>385</v>
      </c>
      <c r="B398" s="1">
        <v>103.3079605575237</v>
      </c>
      <c r="C398" s="1">
        <v>94.353173132071191</v>
      </c>
      <c r="D398" s="1">
        <v>97.69521325787963</v>
      </c>
      <c r="E398" s="1">
        <v>119.51170313733628</v>
      </c>
      <c r="F398" s="1">
        <v>95.932799101521084</v>
      </c>
      <c r="G398" s="1">
        <v>101.20264176422626</v>
      </c>
      <c r="H398" s="1">
        <v>102.6264770510757</v>
      </c>
      <c r="I398" s="1">
        <v>91.499563034783122</v>
      </c>
      <c r="J398" s="1">
        <v>109.73261611443155</v>
      </c>
      <c r="K398" s="1">
        <v>106.16590636000029</v>
      </c>
      <c r="L398" s="1">
        <v>95.69663892742183</v>
      </c>
      <c r="M398" s="1">
        <v>96.715943522481638</v>
      </c>
      <c r="N398" s="1">
        <v>100.54839460060133</v>
      </c>
      <c r="O398" s="1">
        <v>77.725939694255231</v>
      </c>
      <c r="P398" s="1">
        <v>92.03049797598149</v>
      </c>
      <c r="Q398" s="1">
        <v>100</v>
      </c>
      <c r="R398" s="1">
        <v>98.539127000430625</v>
      </c>
      <c r="S398" s="1">
        <v>102.95538019010159</v>
      </c>
      <c r="T398" s="1">
        <v>105.48362508025029</v>
      </c>
      <c r="U398" s="1">
        <v>100.96372424684154</v>
      </c>
      <c r="V398" s="1">
        <v>98.513089250469832</v>
      </c>
      <c r="W398" s="1">
        <v>102.20284750979505</v>
      </c>
      <c r="X398" s="1">
        <v>98.938308797866256</v>
      </c>
      <c r="Y398" s="1">
        <v>92.727101388616475</v>
      </c>
      <c r="Z398" s="1">
        <v>86.852744311290479</v>
      </c>
      <c r="AA398" s="1">
        <v>96.697105376186386</v>
      </c>
      <c r="AB398" s="1">
        <v>84.02202162822951</v>
      </c>
      <c r="AC398" s="1">
        <v>101.78077976073585</v>
      </c>
      <c r="AD398" s="1">
        <v>122.77345062885132</v>
      </c>
      <c r="AE398" s="1">
        <v>92.850380704744865</v>
      </c>
      <c r="AF398" s="1">
        <v>104.07019205768545</v>
      </c>
      <c r="AG398" s="1">
        <v>100</v>
      </c>
      <c r="AH398" s="1">
        <v>95.492997296199022</v>
      </c>
      <c r="AI398" s="1">
        <v>106.25064429850482</v>
      </c>
      <c r="AJ398" s="1">
        <v>101.7607159866544</v>
      </c>
      <c r="AK398" s="1">
        <v>92.892445928251206</v>
      </c>
      <c r="AL398" s="1">
        <v>104.97712091353969</v>
      </c>
      <c r="AM398" s="1">
        <v>116.7028707921346</v>
      </c>
      <c r="AN398" s="1">
        <v>104.6537395229083</v>
      </c>
      <c r="AO398" s="1">
        <v>100.77418803761337</v>
      </c>
      <c r="AP398" s="1">
        <v>102.63094974439248</v>
      </c>
      <c r="AQ398" s="1">
        <v>93.726423769841205</v>
      </c>
      <c r="AR398" s="1">
        <v>102.85663702937894</v>
      </c>
      <c r="AS398" s="1">
        <v>98.030598797123588</v>
      </c>
      <c r="AT398" s="1">
        <v>112.55191514566405</v>
      </c>
      <c r="AU398" s="1">
        <v>92.683083360025861</v>
      </c>
      <c r="AV398" s="1">
        <v>99.900323214082661</v>
      </c>
      <c r="AW398" s="1">
        <v>100</v>
      </c>
      <c r="AX398" s="1">
        <v>100</v>
      </c>
      <c r="AY398" s="1">
        <v>100</v>
      </c>
      <c r="AZ398" s="1">
        <v>100</v>
      </c>
      <c r="BA398" s="1">
        <v>100</v>
      </c>
      <c r="BB398" s="1">
        <v>100</v>
      </c>
      <c r="BC398" s="1">
        <v>100</v>
      </c>
      <c r="BD398" s="1">
        <v>100</v>
      </c>
      <c r="BE398" s="1">
        <v>100</v>
      </c>
      <c r="BF398" s="1">
        <v>100</v>
      </c>
      <c r="BG398" s="1">
        <v>100</v>
      </c>
      <c r="BH398" s="1">
        <v>100</v>
      </c>
    </row>
    <row r="399" spans="1:60" x14ac:dyDescent="0.25">
      <c r="A399">
        <v>386</v>
      </c>
      <c r="B399" s="1">
        <v>102.87085184974566</v>
      </c>
      <c r="C399" s="1">
        <v>94.353173132071191</v>
      </c>
      <c r="D399" s="1">
        <v>97.69521325787963</v>
      </c>
      <c r="E399" s="1">
        <v>119.51170313733628</v>
      </c>
      <c r="F399" s="1">
        <v>95.932799101521084</v>
      </c>
      <c r="G399" s="1">
        <v>101.20264176422626</v>
      </c>
      <c r="H399" s="1">
        <v>102.6264770510757</v>
      </c>
      <c r="I399" s="1">
        <v>91.499563034783122</v>
      </c>
      <c r="J399" s="1">
        <v>109.73261611443155</v>
      </c>
      <c r="K399" s="1">
        <v>106.16590636000029</v>
      </c>
      <c r="L399" s="1">
        <v>95.69663892742183</v>
      </c>
      <c r="M399" s="1">
        <v>96.715943522481638</v>
      </c>
      <c r="N399" s="1">
        <v>100.54839460060133</v>
      </c>
      <c r="O399" s="1">
        <v>77.725939694255231</v>
      </c>
      <c r="P399" s="1">
        <v>92.03049797598149</v>
      </c>
      <c r="Q399" s="1">
        <v>100</v>
      </c>
      <c r="R399" s="1">
        <v>98.539127000430625</v>
      </c>
      <c r="S399" s="1">
        <v>102.95538019010159</v>
      </c>
      <c r="T399" s="1">
        <v>105.48362508025029</v>
      </c>
      <c r="U399" s="1">
        <v>100.96372424684154</v>
      </c>
      <c r="V399" s="1">
        <v>98.513089250469832</v>
      </c>
      <c r="W399" s="1">
        <v>102.20284750979505</v>
      </c>
      <c r="X399" s="1">
        <v>98.938308797866256</v>
      </c>
      <c r="Y399" s="1">
        <v>92.334761599453643</v>
      </c>
      <c r="Z399" s="1">
        <v>86.852744311290479</v>
      </c>
      <c r="AA399" s="1">
        <v>96.697105376186386</v>
      </c>
      <c r="AB399" s="1">
        <v>84.02202162822951</v>
      </c>
      <c r="AC399" s="1">
        <v>101.78077976073585</v>
      </c>
      <c r="AD399" s="1">
        <v>122.77345062885132</v>
      </c>
      <c r="AE399" s="1">
        <v>92.850380704744865</v>
      </c>
      <c r="AF399" s="1">
        <v>104.07019205768545</v>
      </c>
      <c r="AG399" s="1">
        <v>100</v>
      </c>
      <c r="AH399" s="1">
        <v>95.492997296199022</v>
      </c>
      <c r="AI399" s="1">
        <v>106.25064429850482</v>
      </c>
      <c r="AJ399" s="1">
        <v>101.7607159866544</v>
      </c>
      <c r="AK399" s="1">
        <v>92.892445928251206</v>
      </c>
      <c r="AL399" s="1">
        <v>105.40628668624132</v>
      </c>
      <c r="AM399" s="1">
        <v>116.7028707921346</v>
      </c>
      <c r="AN399" s="1">
        <v>104.6537395229083</v>
      </c>
      <c r="AO399" s="1">
        <v>100.77418803761337</v>
      </c>
      <c r="AP399" s="1">
        <v>102.63094974439248</v>
      </c>
      <c r="AQ399" s="1">
        <v>93.726423769841205</v>
      </c>
      <c r="AR399" s="1">
        <v>102.85663702937894</v>
      </c>
      <c r="AS399" s="1">
        <v>98.030598797123588</v>
      </c>
      <c r="AT399" s="1">
        <v>112.9521978699033</v>
      </c>
      <c r="AU399" s="1">
        <v>92.683083360025861</v>
      </c>
      <c r="AV399" s="1">
        <v>99.900323214082661</v>
      </c>
      <c r="AW399" s="1">
        <v>100</v>
      </c>
      <c r="AX399" s="1">
        <v>100</v>
      </c>
      <c r="AY399" s="1">
        <v>100</v>
      </c>
      <c r="AZ399" s="1">
        <v>100</v>
      </c>
      <c r="BA399" s="1">
        <v>100</v>
      </c>
      <c r="BB399" s="1">
        <v>100</v>
      </c>
      <c r="BC399" s="1">
        <v>100</v>
      </c>
      <c r="BD399" s="1">
        <v>100</v>
      </c>
      <c r="BE399" s="1">
        <v>100</v>
      </c>
      <c r="BF399" s="1">
        <v>100</v>
      </c>
      <c r="BG399" s="1">
        <v>100</v>
      </c>
      <c r="BH399" s="1">
        <v>100</v>
      </c>
    </row>
    <row r="400" spans="1:60" x14ac:dyDescent="0.25">
      <c r="A400">
        <v>387</v>
      </c>
      <c r="B400" s="1">
        <v>102.87085184974566</v>
      </c>
      <c r="C400" s="1">
        <v>94.353173132071191</v>
      </c>
      <c r="D400" s="1">
        <v>97.69521325787963</v>
      </c>
      <c r="E400" s="1">
        <v>119.51170313733628</v>
      </c>
      <c r="F400" s="1">
        <v>95.932799101521084</v>
      </c>
      <c r="G400" s="1">
        <v>101.20264176422626</v>
      </c>
      <c r="H400" s="1">
        <v>102.6264770510757</v>
      </c>
      <c r="I400" s="1">
        <v>91.499563034783122</v>
      </c>
      <c r="J400" s="1">
        <v>109.73261611443155</v>
      </c>
      <c r="K400" s="1">
        <v>106.16590636000029</v>
      </c>
      <c r="L400" s="1">
        <v>95.69663892742183</v>
      </c>
      <c r="M400" s="1">
        <v>96.715943522481638</v>
      </c>
      <c r="N400" s="1">
        <v>101.08198598696463</v>
      </c>
      <c r="O400" s="1">
        <v>77.725939694255231</v>
      </c>
      <c r="P400" s="1">
        <v>92.03049797598149</v>
      </c>
      <c r="Q400" s="1">
        <v>100</v>
      </c>
      <c r="R400" s="1">
        <v>98.539127000430625</v>
      </c>
      <c r="S400" s="1">
        <v>103.47649678616946</v>
      </c>
      <c r="T400" s="1">
        <v>105.48362508025029</v>
      </c>
      <c r="U400" s="1">
        <v>100.96372424684154</v>
      </c>
      <c r="V400" s="1">
        <v>98.513089250469832</v>
      </c>
      <c r="W400" s="1">
        <v>102.20284750979505</v>
      </c>
      <c r="X400" s="1">
        <v>98.938308797866256</v>
      </c>
      <c r="Y400" s="1">
        <v>92.334761599453643</v>
      </c>
      <c r="Z400" s="1">
        <v>86.852744311290479</v>
      </c>
      <c r="AA400" s="1">
        <v>96.697105376186386</v>
      </c>
      <c r="AB400" s="1">
        <v>84.02202162822951</v>
      </c>
      <c r="AC400" s="1">
        <v>101.78077976073585</v>
      </c>
      <c r="AD400" s="1">
        <v>122.77345062885132</v>
      </c>
      <c r="AE400" s="1">
        <v>92.850380704744865</v>
      </c>
      <c r="AF400" s="1">
        <v>104.07019205768545</v>
      </c>
      <c r="AG400" s="1">
        <v>100</v>
      </c>
      <c r="AH400" s="1">
        <v>95.492997296199022</v>
      </c>
      <c r="AI400" s="1">
        <v>106.25064429850482</v>
      </c>
      <c r="AJ400" s="1">
        <v>101.23560729856209</v>
      </c>
      <c r="AK400" s="1">
        <v>92.892445928251206</v>
      </c>
      <c r="AL400" s="1">
        <v>105.40628668624132</v>
      </c>
      <c r="AM400" s="1">
        <v>116.7028707921346</v>
      </c>
      <c r="AN400" s="1">
        <v>104.6537395229083</v>
      </c>
      <c r="AO400" s="1">
        <v>100.77418803761337</v>
      </c>
      <c r="AP400" s="1">
        <v>102.10135045005364</v>
      </c>
      <c r="AQ400" s="1">
        <v>93.726423769841205</v>
      </c>
      <c r="AR400" s="1">
        <v>102.85663702937894</v>
      </c>
      <c r="AS400" s="1">
        <v>98.030598797123588</v>
      </c>
      <c r="AT400" s="1">
        <v>112.9521978699033</v>
      </c>
      <c r="AU400" s="1">
        <v>92.683083360025861</v>
      </c>
      <c r="AV400" s="1">
        <v>99.900323214082661</v>
      </c>
      <c r="AW400" s="1">
        <v>100</v>
      </c>
      <c r="AX400" s="1">
        <v>100</v>
      </c>
      <c r="AY400" s="1">
        <v>100</v>
      </c>
      <c r="AZ400" s="1">
        <v>100</v>
      </c>
      <c r="BA400" s="1">
        <v>100</v>
      </c>
      <c r="BB400" s="1">
        <v>100</v>
      </c>
      <c r="BC400" s="1">
        <v>100</v>
      </c>
      <c r="BD400" s="1">
        <v>100</v>
      </c>
      <c r="BE400" s="1">
        <v>100</v>
      </c>
      <c r="BF400" s="1">
        <v>100</v>
      </c>
      <c r="BG400" s="1">
        <v>100</v>
      </c>
      <c r="BH400" s="1">
        <v>100</v>
      </c>
    </row>
    <row r="401" spans="1:60" x14ac:dyDescent="0.25">
      <c r="A401">
        <v>388</v>
      </c>
      <c r="B401" s="1">
        <v>102.87085184974566</v>
      </c>
      <c r="C401" s="1">
        <v>94.353173132071191</v>
      </c>
      <c r="D401" s="1">
        <v>97.69521325787963</v>
      </c>
      <c r="E401" s="1">
        <v>119.51170313733628</v>
      </c>
      <c r="F401" s="1">
        <v>95.932799101521084</v>
      </c>
      <c r="G401" s="1">
        <v>101.20264176422626</v>
      </c>
      <c r="H401" s="1">
        <v>102.6264770510757</v>
      </c>
      <c r="I401" s="1">
        <v>91.499563034783122</v>
      </c>
      <c r="J401" s="1">
        <v>109.73261611443155</v>
      </c>
      <c r="K401" s="1">
        <v>106.16590636000029</v>
      </c>
      <c r="L401" s="1">
        <v>95.69663892742183</v>
      </c>
      <c r="M401" s="1">
        <v>96.715943522481638</v>
      </c>
      <c r="N401" s="1">
        <v>100.8852678985722</v>
      </c>
      <c r="O401" s="1">
        <v>77.725939694255231</v>
      </c>
      <c r="P401" s="1">
        <v>92.03049797598149</v>
      </c>
      <c r="Q401" s="1">
        <v>100</v>
      </c>
      <c r="R401" s="1">
        <v>98.539127000430625</v>
      </c>
      <c r="S401" s="1">
        <v>103.2751186826175</v>
      </c>
      <c r="T401" s="1">
        <v>105.48362508025029</v>
      </c>
      <c r="U401" s="1">
        <v>100.96372424684154</v>
      </c>
      <c r="V401" s="1">
        <v>98.513089250469832</v>
      </c>
      <c r="W401" s="1">
        <v>102.20284750979505</v>
      </c>
      <c r="X401" s="1">
        <v>98.938308797866256</v>
      </c>
      <c r="Y401" s="1">
        <v>92.334761599453643</v>
      </c>
      <c r="Z401" s="1">
        <v>86.852744311290479</v>
      </c>
      <c r="AA401" s="1">
        <v>96.697105376186386</v>
      </c>
      <c r="AB401" s="1">
        <v>84.02202162822951</v>
      </c>
      <c r="AC401" s="1">
        <v>101.78077976073585</v>
      </c>
      <c r="AD401" s="1">
        <v>122.77345062885132</v>
      </c>
      <c r="AE401" s="1">
        <v>92.850380704744865</v>
      </c>
      <c r="AF401" s="1">
        <v>104.07019205768545</v>
      </c>
      <c r="AG401" s="1">
        <v>100</v>
      </c>
      <c r="AH401" s="1">
        <v>95.492997296199022</v>
      </c>
      <c r="AI401" s="1">
        <v>106.25064429850482</v>
      </c>
      <c r="AJ401" s="1">
        <v>101.4355028770963</v>
      </c>
      <c r="AK401" s="1">
        <v>92.892445928251206</v>
      </c>
      <c r="AL401" s="1">
        <v>105.40628668624132</v>
      </c>
      <c r="AM401" s="1">
        <v>116.7028707921346</v>
      </c>
      <c r="AN401" s="1">
        <v>104.6537395229083</v>
      </c>
      <c r="AO401" s="1">
        <v>100.77418803761337</v>
      </c>
      <c r="AP401" s="1">
        <v>102.29955106346382</v>
      </c>
      <c r="AQ401" s="1">
        <v>93.726423769841205</v>
      </c>
      <c r="AR401" s="1">
        <v>102.85663702937894</v>
      </c>
      <c r="AS401" s="1">
        <v>98.030598797123588</v>
      </c>
      <c r="AT401" s="1">
        <v>112.9521978699033</v>
      </c>
      <c r="AU401" s="1">
        <v>92.683083360025861</v>
      </c>
      <c r="AV401" s="1">
        <v>99.900323214082661</v>
      </c>
      <c r="AW401" s="1">
        <v>100</v>
      </c>
      <c r="AX401" s="1">
        <v>100</v>
      </c>
      <c r="AY401" s="1">
        <v>100</v>
      </c>
      <c r="AZ401" s="1">
        <v>100</v>
      </c>
      <c r="BA401" s="1">
        <v>100</v>
      </c>
      <c r="BB401" s="1">
        <v>100</v>
      </c>
      <c r="BC401" s="1">
        <v>100</v>
      </c>
      <c r="BD401" s="1">
        <v>100</v>
      </c>
      <c r="BE401" s="1">
        <v>100</v>
      </c>
      <c r="BF401" s="1">
        <v>100</v>
      </c>
      <c r="BG401" s="1">
        <v>100</v>
      </c>
      <c r="BH401" s="1">
        <v>100</v>
      </c>
    </row>
    <row r="402" spans="1:60" x14ac:dyDescent="0.25">
      <c r="A402">
        <v>389</v>
      </c>
      <c r="B402" s="1">
        <v>102.87071965601642</v>
      </c>
      <c r="C402" s="1">
        <v>94.353173132071191</v>
      </c>
      <c r="D402" s="1">
        <v>97.69521325787963</v>
      </c>
      <c r="E402" s="1">
        <v>119.51170313733628</v>
      </c>
      <c r="F402" s="1">
        <v>95.932799101521084</v>
      </c>
      <c r="G402" s="1">
        <v>101.20264176422626</v>
      </c>
      <c r="H402" s="1">
        <v>102.6264770510757</v>
      </c>
      <c r="I402" s="1">
        <v>91.499563034783122</v>
      </c>
      <c r="J402" s="1">
        <v>109.73261611443155</v>
      </c>
      <c r="K402" s="1">
        <v>106.16590636000029</v>
      </c>
      <c r="L402" s="1">
        <v>95.69663892742183</v>
      </c>
      <c r="M402" s="1">
        <v>96.715943522481638</v>
      </c>
      <c r="N402" s="1">
        <v>100.8852678985722</v>
      </c>
      <c r="O402" s="1">
        <v>77.725939694255231</v>
      </c>
      <c r="P402" s="1">
        <v>92.03049797598149</v>
      </c>
      <c r="Q402" s="1">
        <v>100</v>
      </c>
      <c r="R402" s="1">
        <v>98.539127000430625</v>
      </c>
      <c r="S402" s="1">
        <v>103.2751186826175</v>
      </c>
      <c r="T402" s="1">
        <v>105.48362508025029</v>
      </c>
      <c r="U402" s="1">
        <v>100.96372424684154</v>
      </c>
      <c r="V402" s="1">
        <v>98.512962656663973</v>
      </c>
      <c r="W402" s="1">
        <v>102.20284750979505</v>
      </c>
      <c r="X402" s="1">
        <v>98.938308797866256</v>
      </c>
      <c r="Y402" s="1">
        <v>92.334761599453643</v>
      </c>
      <c r="Z402" s="1">
        <v>86.852744311290479</v>
      </c>
      <c r="AA402" s="1">
        <v>96.697105376186386</v>
      </c>
      <c r="AB402" s="1">
        <v>84.02202162822951</v>
      </c>
      <c r="AC402" s="1">
        <v>101.78077976073585</v>
      </c>
      <c r="AD402" s="1">
        <v>122.77345062885132</v>
      </c>
      <c r="AE402" s="1">
        <v>92.850380704744865</v>
      </c>
      <c r="AF402" s="1">
        <v>104.07019205768545</v>
      </c>
      <c r="AG402" s="1">
        <v>100</v>
      </c>
      <c r="AH402" s="1">
        <v>95.492997296199022</v>
      </c>
      <c r="AI402" s="1">
        <v>106.25076501274644</v>
      </c>
      <c r="AJ402" s="1">
        <v>101.4355028770963</v>
      </c>
      <c r="AK402" s="1">
        <v>92.892584001544677</v>
      </c>
      <c r="AL402" s="1">
        <v>105.40628668624132</v>
      </c>
      <c r="AM402" s="1">
        <v>116.7028707921346</v>
      </c>
      <c r="AN402" s="1">
        <v>104.6537395229083</v>
      </c>
      <c r="AO402" s="1">
        <v>100.77418803761337</v>
      </c>
      <c r="AP402" s="1">
        <v>102.29955106346382</v>
      </c>
      <c r="AQ402" s="1">
        <v>93.726423769841205</v>
      </c>
      <c r="AR402" s="1">
        <v>102.85663702937894</v>
      </c>
      <c r="AS402" s="1">
        <v>98.030598797123588</v>
      </c>
      <c r="AT402" s="1">
        <v>112.9521978699033</v>
      </c>
      <c r="AU402" s="1">
        <v>92.683083360025861</v>
      </c>
      <c r="AV402" s="1">
        <v>99.900323214082661</v>
      </c>
      <c r="AW402" s="1">
        <v>100</v>
      </c>
      <c r="AX402" s="1">
        <v>100</v>
      </c>
      <c r="AY402" s="1">
        <v>100</v>
      </c>
      <c r="AZ402" s="1">
        <v>100</v>
      </c>
      <c r="BA402" s="1">
        <v>100</v>
      </c>
      <c r="BB402" s="1">
        <v>100</v>
      </c>
      <c r="BC402" s="1">
        <v>100</v>
      </c>
      <c r="BD402" s="1">
        <v>100</v>
      </c>
      <c r="BE402" s="1">
        <v>100</v>
      </c>
      <c r="BF402" s="1">
        <v>100</v>
      </c>
      <c r="BG402" s="1">
        <v>100</v>
      </c>
      <c r="BH402" s="1">
        <v>100</v>
      </c>
    </row>
    <row r="403" spans="1:60" x14ac:dyDescent="0.25">
      <c r="A403">
        <v>390</v>
      </c>
      <c r="B403" s="1">
        <v>101.98306887203741</v>
      </c>
      <c r="C403" s="1">
        <v>94.353173132071191</v>
      </c>
      <c r="D403" s="1">
        <v>97.69521325787963</v>
      </c>
      <c r="E403" s="1">
        <v>119.51170313733628</v>
      </c>
      <c r="F403" s="1">
        <v>95.932799101521084</v>
      </c>
      <c r="G403" s="1">
        <v>101.20264176422626</v>
      </c>
      <c r="H403" s="1">
        <v>102.6264770510757</v>
      </c>
      <c r="I403" s="1">
        <v>91.499563034783122</v>
      </c>
      <c r="J403" s="1">
        <v>109.73261611443155</v>
      </c>
      <c r="K403" s="1">
        <v>106.16590636000029</v>
      </c>
      <c r="L403" s="1">
        <v>95.69663892742183</v>
      </c>
      <c r="M403" s="1">
        <v>96.715943522481638</v>
      </c>
      <c r="N403" s="1">
        <v>100.8852678985722</v>
      </c>
      <c r="O403" s="1">
        <v>77.725939694255231</v>
      </c>
      <c r="P403" s="1">
        <v>92.03049797598149</v>
      </c>
      <c r="Q403" s="1">
        <v>100</v>
      </c>
      <c r="R403" s="1">
        <v>98.539127000430625</v>
      </c>
      <c r="S403" s="1">
        <v>103.2751186826175</v>
      </c>
      <c r="T403" s="1">
        <v>105.48362508025029</v>
      </c>
      <c r="U403" s="1">
        <v>100.96372424684154</v>
      </c>
      <c r="V403" s="1">
        <v>97.662914082816272</v>
      </c>
      <c r="W403" s="1">
        <v>102.20284750979505</v>
      </c>
      <c r="X403" s="1">
        <v>98.938308797866256</v>
      </c>
      <c r="Y403" s="1">
        <v>92.334761599453643</v>
      </c>
      <c r="Z403" s="1">
        <v>86.852744311290479</v>
      </c>
      <c r="AA403" s="1">
        <v>96.697105376186386</v>
      </c>
      <c r="AB403" s="1">
        <v>84.02202162822951</v>
      </c>
      <c r="AC403" s="1">
        <v>101.78077976073585</v>
      </c>
      <c r="AD403" s="1">
        <v>122.77345062885132</v>
      </c>
      <c r="AE403" s="1">
        <v>92.850380704744865</v>
      </c>
      <c r="AF403" s="1">
        <v>104.07019205768545</v>
      </c>
      <c r="AG403" s="1">
        <v>100</v>
      </c>
      <c r="AH403" s="1">
        <v>95.492997296199022</v>
      </c>
      <c r="AI403" s="1">
        <v>107.06133380334543</v>
      </c>
      <c r="AJ403" s="1">
        <v>101.4355028770963</v>
      </c>
      <c r="AK403" s="1">
        <v>93.819714568772383</v>
      </c>
      <c r="AL403" s="1">
        <v>105.40628668624132</v>
      </c>
      <c r="AM403" s="1">
        <v>116.7028707921346</v>
      </c>
      <c r="AN403" s="1">
        <v>104.6537395229083</v>
      </c>
      <c r="AO403" s="1">
        <v>100.77418803761337</v>
      </c>
      <c r="AP403" s="1">
        <v>102.29955106346382</v>
      </c>
      <c r="AQ403" s="1">
        <v>93.726423769841205</v>
      </c>
      <c r="AR403" s="1">
        <v>102.85663702937894</v>
      </c>
      <c r="AS403" s="1">
        <v>98.030598797123588</v>
      </c>
      <c r="AT403" s="1">
        <v>112.9521978699033</v>
      </c>
      <c r="AU403" s="1">
        <v>92.683083360025861</v>
      </c>
      <c r="AV403" s="1">
        <v>99.900323214082661</v>
      </c>
      <c r="AW403" s="1">
        <v>100</v>
      </c>
      <c r="AX403" s="1">
        <v>100</v>
      </c>
      <c r="AY403" s="1">
        <v>100</v>
      </c>
      <c r="AZ403" s="1">
        <v>100</v>
      </c>
      <c r="BA403" s="1">
        <v>100</v>
      </c>
      <c r="BB403" s="1">
        <v>100</v>
      </c>
      <c r="BC403" s="1">
        <v>100</v>
      </c>
      <c r="BD403" s="1">
        <v>100</v>
      </c>
      <c r="BE403" s="1">
        <v>100</v>
      </c>
      <c r="BF403" s="1">
        <v>100</v>
      </c>
      <c r="BG403" s="1">
        <v>100</v>
      </c>
      <c r="BH403" s="1">
        <v>100</v>
      </c>
    </row>
    <row r="404" spans="1:60" x14ac:dyDescent="0.25">
      <c r="A404">
        <v>391</v>
      </c>
      <c r="B404" s="1">
        <v>102.23209357578601</v>
      </c>
      <c r="C404" s="1">
        <v>94.353173132071191</v>
      </c>
      <c r="D404" s="1">
        <v>97.69521325787963</v>
      </c>
      <c r="E404" s="1">
        <v>119.51170313733628</v>
      </c>
      <c r="F404" s="1">
        <v>95.932799101521084</v>
      </c>
      <c r="G404" s="1">
        <v>101.20264176422626</v>
      </c>
      <c r="H404" s="1">
        <v>102.6264770510757</v>
      </c>
      <c r="I404" s="1">
        <v>91.499563034783122</v>
      </c>
      <c r="J404" s="1">
        <v>109.73261611443155</v>
      </c>
      <c r="K404" s="1">
        <v>106.16590636000029</v>
      </c>
      <c r="L404" s="1">
        <v>95.69663892742183</v>
      </c>
      <c r="M404" s="1">
        <v>96.715943522481638</v>
      </c>
      <c r="N404" s="1">
        <v>100.8852678985722</v>
      </c>
      <c r="O404" s="1">
        <v>77.725939694255231</v>
      </c>
      <c r="P404" s="1">
        <v>91.812193370751558</v>
      </c>
      <c r="Q404" s="1">
        <v>100</v>
      </c>
      <c r="R404" s="1">
        <v>98.539127000430625</v>
      </c>
      <c r="S404" s="1">
        <v>103.2751186826175</v>
      </c>
      <c r="T404" s="1">
        <v>105.48362508025029</v>
      </c>
      <c r="U404" s="1">
        <v>100.96372424684154</v>
      </c>
      <c r="V404" s="1">
        <v>97.662914082816272</v>
      </c>
      <c r="W404" s="1">
        <v>102.20284750979505</v>
      </c>
      <c r="X404" s="1">
        <v>98.938308797866256</v>
      </c>
      <c r="Y404" s="1">
        <v>92.334761599453643</v>
      </c>
      <c r="Z404" s="1">
        <v>86.852744311290479</v>
      </c>
      <c r="AA404" s="1">
        <v>96.697105376186386</v>
      </c>
      <c r="AB404" s="1">
        <v>84.02202162822951</v>
      </c>
      <c r="AC404" s="1">
        <v>101.78077976073585</v>
      </c>
      <c r="AD404" s="1">
        <v>122.77345062885132</v>
      </c>
      <c r="AE404" s="1">
        <v>92.850380704744865</v>
      </c>
      <c r="AF404" s="1">
        <v>104.07019205768545</v>
      </c>
      <c r="AG404" s="1">
        <v>100</v>
      </c>
      <c r="AH404" s="1">
        <v>95.492997296199022</v>
      </c>
      <c r="AI404" s="1">
        <v>107.29854646090378</v>
      </c>
      <c r="AJ404" s="1">
        <v>101.4355028770963</v>
      </c>
      <c r="AK404" s="1">
        <v>93.819714568772383</v>
      </c>
      <c r="AL404" s="1">
        <v>105.40628668624132</v>
      </c>
      <c r="AM404" s="1">
        <v>116.7028707921346</v>
      </c>
      <c r="AN404" s="1">
        <v>104.6537395229083</v>
      </c>
      <c r="AO404" s="1">
        <v>100.77418803761337</v>
      </c>
      <c r="AP404" s="1">
        <v>102.29955106346382</v>
      </c>
      <c r="AQ404" s="1">
        <v>93.726423769841205</v>
      </c>
      <c r="AR404" s="1">
        <v>102.85663702937894</v>
      </c>
      <c r="AS404" s="1">
        <v>98.030598797123588</v>
      </c>
      <c r="AT404" s="1">
        <v>112.6842651138263</v>
      </c>
      <c r="AU404" s="1">
        <v>92.683083360025861</v>
      </c>
      <c r="AV404" s="1">
        <v>99.900323214082661</v>
      </c>
      <c r="AW404" s="1">
        <v>100</v>
      </c>
      <c r="AX404" s="1">
        <v>100</v>
      </c>
      <c r="AY404" s="1">
        <v>100</v>
      </c>
      <c r="AZ404" s="1">
        <v>100</v>
      </c>
      <c r="BA404" s="1">
        <v>100</v>
      </c>
      <c r="BB404" s="1">
        <v>100</v>
      </c>
      <c r="BC404" s="1">
        <v>100</v>
      </c>
      <c r="BD404" s="1">
        <v>100</v>
      </c>
      <c r="BE404" s="1">
        <v>100</v>
      </c>
      <c r="BF404" s="1">
        <v>100</v>
      </c>
      <c r="BG404" s="1">
        <v>100</v>
      </c>
      <c r="BH404" s="1">
        <v>100</v>
      </c>
    </row>
    <row r="405" spans="1:60" x14ac:dyDescent="0.25">
      <c r="A405">
        <v>392</v>
      </c>
      <c r="B405" s="1">
        <v>103.53433867344353</v>
      </c>
      <c r="C405" s="1">
        <v>94.353173132071191</v>
      </c>
      <c r="D405" s="1">
        <v>97.69521325787963</v>
      </c>
      <c r="E405" s="1">
        <v>119.51170313733628</v>
      </c>
      <c r="F405" s="1">
        <v>95.932799101521084</v>
      </c>
      <c r="G405" s="1">
        <v>101.20264176422626</v>
      </c>
      <c r="H405" s="1">
        <v>102.6264770510757</v>
      </c>
      <c r="I405" s="1">
        <v>91.499563034783122</v>
      </c>
      <c r="J405" s="1">
        <v>109.73261611443155</v>
      </c>
      <c r="K405" s="1">
        <v>106.16590636000029</v>
      </c>
      <c r="L405" s="1">
        <v>95.69663892742183</v>
      </c>
      <c r="M405" s="1">
        <v>96.715943522481638</v>
      </c>
      <c r="N405" s="1">
        <v>100.8852678985722</v>
      </c>
      <c r="O405" s="1">
        <v>77.725939694255231</v>
      </c>
      <c r="P405" s="1">
        <v>90.670469704225752</v>
      </c>
      <c r="Q405" s="1">
        <v>100</v>
      </c>
      <c r="R405" s="1">
        <v>98.539127000430625</v>
      </c>
      <c r="S405" s="1">
        <v>103.2751186826175</v>
      </c>
      <c r="T405" s="1">
        <v>105.48362508025029</v>
      </c>
      <c r="U405" s="1">
        <v>100.96372424684154</v>
      </c>
      <c r="V405" s="1">
        <v>97.662914082816272</v>
      </c>
      <c r="W405" s="1">
        <v>102.20284750979505</v>
      </c>
      <c r="X405" s="1">
        <v>98.938308797866256</v>
      </c>
      <c r="Y405" s="1">
        <v>92.334761599453643</v>
      </c>
      <c r="Z405" s="1">
        <v>86.852744311290479</v>
      </c>
      <c r="AA405" s="1">
        <v>96.697105376186386</v>
      </c>
      <c r="AB405" s="1">
        <v>84.02202162822951</v>
      </c>
      <c r="AC405" s="1">
        <v>101.78077976073585</v>
      </c>
      <c r="AD405" s="1">
        <v>122.77345062885132</v>
      </c>
      <c r="AE405" s="1">
        <v>92.850380704744865</v>
      </c>
      <c r="AF405" s="1">
        <v>104.07019205768545</v>
      </c>
      <c r="AG405" s="1">
        <v>100</v>
      </c>
      <c r="AH405" s="1">
        <v>95.492997296199022</v>
      </c>
      <c r="AI405" s="1">
        <v>108.53930178400446</v>
      </c>
      <c r="AJ405" s="1">
        <v>101.4355028770963</v>
      </c>
      <c r="AK405" s="1">
        <v>93.819714568772383</v>
      </c>
      <c r="AL405" s="1">
        <v>105.40628668624132</v>
      </c>
      <c r="AM405" s="1">
        <v>116.7028707921346</v>
      </c>
      <c r="AN405" s="1">
        <v>104.6537395229083</v>
      </c>
      <c r="AO405" s="1">
        <v>100.77418803761337</v>
      </c>
      <c r="AP405" s="1">
        <v>102.29955106346382</v>
      </c>
      <c r="AQ405" s="1">
        <v>93.726423769841205</v>
      </c>
      <c r="AR405" s="1">
        <v>102.85663702937894</v>
      </c>
      <c r="AS405" s="1">
        <v>98.030598797123588</v>
      </c>
      <c r="AT405" s="1">
        <v>111.2829883595939</v>
      </c>
      <c r="AU405" s="1">
        <v>92.683083360025861</v>
      </c>
      <c r="AV405" s="1">
        <v>99.900323214082661</v>
      </c>
      <c r="AW405" s="1">
        <v>100</v>
      </c>
      <c r="AX405" s="1">
        <v>100</v>
      </c>
      <c r="AY405" s="1">
        <v>100</v>
      </c>
      <c r="AZ405" s="1">
        <v>100</v>
      </c>
      <c r="BA405" s="1">
        <v>100</v>
      </c>
      <c r="BB405" s="1">
        <v>100</v>
      </c>
      <c r="BC405" s="1">
        <v>100</v>
      </c>
      <c r="BD405" s="1">
        <v>100</v>
      </c>
      <c r="BE405" s="1">
        <v>100</v>
      </c>
      <c r="BF405" s="1">
        <v>100</v>
      </c>
      <c r="BG405" s="1">
        <v>100</v>
      </c>
      <c r="BH405" s="1">
        <v>100</v>
      </c>
    </row>
    <row r="406" spans="1:60" x14ac:dyDescent="0.25">
      <c r="A406">
        <v>393</v>
      </c>
      <c r="B406" s="1">
        <v>103.53433867344353</v>
      </c>
      <c r="C406" s="1">
        <v>94.353173132071191</v>
      </c>
      <c r="D406" s="1">
        <v>97.69521325787963</v>
      </c>
      <c r="E406" s="1">
        <v>119.51170313733628</v>
      </c>
      <c r="F406" s="1">
        <v>95.932799101521084</v>
      </c>
      <c r="G406" s="1">
        <v>101.20264176422626</v>
      </c>
      <c r="H406" s="1">
        <v>102.6264770510757</v>
      </c>
      <c r="I406" s="1">
        <v>91.499563034783122</v>
      </c>
      <c r="J406" s="1">
        <v>109.73261611443155</v>
      </c>
      <c r="K406" s="1">
        <v>106.16590636000029</v>
      </c>
      <c r="L406" s="1">
        <v>95.69663892742183</v>
      </c>
      <c r="M406" s="1">
        <v>96.715943522481638</v>
      </c>
      <c r="N406" s="1">
        <v>101.75024271426307</v>
      </c>
      <c r="O406" s="1">
        <v>77.725939694255231</v>
      </c>
      <c r="P406" s="1">
        <v>90.670469704225752</v>
      </c>
      <c r="Q406" s="1">
        <v>100</v>
      </c>
      <c r="R406" s="1">
        <v>98.539127000430625</v>
      </c>
      <c r="S406" s="1">
        <v>102.3728488317175</v>
      </c>
      <c r="T406" s="1">
        <v>105.48362508025029</v>
      </c>
      <c r="U406" s="1">
        <v>100.96372424684154</v>
      </c>
      <c r="V406" s="1">
        <v>97.662914082816272</v>
      </c>
      <c r="W406" s="1">
        <v>102.20284750979505</v>
      </c>
      <c r="X406" s="1">
        <v>98.938308797866256</v>
      </c>
      <c r="Y406" s="1">
        <v>92.334761599453643</v>
      </c>
      <c r="Z406" s="1">
        <v>86.852744311290479</v>
      </c>
      <c r="AA406" s="1">
        <v>96.697105376186386</v>
      </c>
      <c r="AB406" s="1">
        <v>84.02202162822951</v>
      </c>
      <c r="AC406" s="1">
        <v>101.78077976073585</v>
      </c>
      <c r="AD406" s="1">
        <v>122.77345062885132</v>
      </c>
      <c r="AE406" s="1">
        <v>92.850380704744865</v>
      </c>
      <c r="AF406" s="1">
        <v>104.07019205768545</v>
      </c>
      <c r="AG406" s="1">
        <v>100</v>
      </c>
      <c r="AH406" s="1">
        <v>95.492997296199022</v>
      </c>
      <c r="AI406" s="1">
        <v>108.53930178400446</v>
      </c>
      <c r="AJ406" s="1">
        <v>101.4355028770963</v>
      </c>
      <c r="AK406" s="1">
        <v>93.819714568772383</v>
      </c>
      <c r="AL406" s="1">
        <v>105.40628668624132</v>
      </c>
      <c r="AM406" s="1">
        <v>116.7028707921346</v>
      </c>
      <c r="AN406" s="1">
        <v>104.6537395229083</v>
      </c>
      <c r="AO406" s="1">
        <v>100.77418803761337</v>
      </c>
      <c r="AP406" s="1">
        <v>101.40580432308168</v>
      </c>
      <c r="AQ406" s="1">
        <v>94.657465545432458</v>
      </c>
      <c r="AR406" s="1">
        <v>102.85663702937894</v>
      </c>
      <c r="AS406" s="1">
        <v>98.030598797123588</v>
      </c>
      <c r="AT406" s="1">
        <v>111.2829883595939</v>
      </c>
      <c r="AU406" s="1">
        <v>92.683083360025861</v>
      </c>
      <c r="AV406" s="1">
        <v>99.900323214082661</v>
      </c>
      <c r="AW406" s="1">
        <v>100</v>
      </c>
      <c r="AX406" s="1">
        <v>100</v>
      </c>
      <c r="AY406" s="1">
        <v>100</v>
      </c>
      <c r="AZ406" s="1">
        <v>100</v>
      </c>
      <c r="BA406" s="1">
        <v>100</v>
      </c>
      <c r="BB406" s="1">
        <v>100</v>
      </c>
      <c r="BC406" s="1">
        <v>100</v>
      </c>
      <c r="BD406" s="1">
        <v>100</v>
      </c>
      <c r="BE406" s="1">
        <v>100</v>
      </c>
      <c r="BF406" s="1">
        <v>100</v>
      </c>
      <c r="BG406" s="1">
        <v>100</v>
      </c>
      <c r="BH406" s="1">
        <v>100</v>
      </c>
    </row>
    <row r="407" spans="1:60" x14ac:dyDescent="0.25">
      <c r="A407">
        <v>394</v>
      </c>
      <c r="B407" s="1">
        <v>103.53433867344353</v>
      </c>
      <c r="C407" s="1">
        <v>94.353173132071191</v>
      </c>
      <c r="D407" s="1">
        <v>97.69521325787963</v>
      </c>
      <c r="E407" s="1">
        <v>119.51170313733628</v>
      </c>
      <c r="F407" s="1">
        <v>95.932799101521084</v>
      </c>
      <c r="G407" s="1">
        <v>101.20264176422626</v>
      </c>
      <c r="H407" s="1">
        <v>102.6264770510757</v>
      </c>
      <c r="I407" s="1">
        <v>91.499563034783122</v>
      </c>
      <c r="J407" s="1">
        <v>109.73261611443155</v>
      </c>
      <c r="K407" s="1">
        <v>106.16590636000029</v>
      </c>
      <c r="L407" s="1">
        <v>95.69663892742183</v>
      </c>
      <c r="M407" s="1">
        <v>96.715943522481638</v>
      </c>
      <c r="N407" s="1">
        <v>100.569362444262</v>
      </c>
      <c r="O407" s="1">
        <v>77.725939694255231</v>
      </c>
      <c r="P407" s="1">
        <v>90.670469704225752</v>
      </c>
      <c r="Q407" s="1">
        <v>100</v>
      </c>
      <c r="R407" s="1">
        <v>98.539127000430625</v>
      </c>
      <c r="S407" s="1">
        <v>103.50716224449451</v>
      </c>
      <c r="T407" s="1">
        <v>105.48362508025029</v>
      </c>
      <c r="U407" s="1">
        <v>100.96372424684154</v>
      </c>
      <c r="V407" s="1">
        <v>97.662914082816272</v>
      </c>
      <c r="W407" s="1">
        <v>102.20284750979505</v>
      </c>
      <c r="X407" s="1">
        <v>98.938308797866256</v>
      </c>
      <c r="Y407" s="1">
        <v>92.334761599453643</v>
      </c>
      <c r="Z407" s="1">
        <v>86.852744311290479</v>
      </c>
      <c r="AA407" s="1">
        <v>96.697105376186386</v>
      </c>
      <c r="AB407" s="1">
        <v>84.02202162822951</v>
      </c>
      <c r="AC407" s="1">
        <v>101.78077976073585</v>
      </c>
      <c r="AD407" s="1">
        <v>122.77345062885132</v>
      </c>
      <c r="AE407" s="1">
        <v>92.850380704744865</v>
      </c>
      <c r="AF407" s="1">
        <v>104.07019205768545</v>
      </c>
      <c r="AG407" s="1">
        <v>100</v>
      </c>
      <c r="AH407" s="1">
        <v>95.492997296199022</v>
      </c>
      <c r="AI407" s="1">
        <v>108.53930178400446</v>
      </c>
      <c r="AJ407" s="1">
        <v>101.4355028770963</v>
      </c>
      <c r="AK407" s="1">
        <v>93.819714568772383</v>
      </c>
      <c r="AL407" s="1">
        <v>105.40628668624132</v>
      </c>
      <c r="AM407" s="1">
        <v>116.7028707921346</v>
      </c>
      <c r="AN407" s="1">
        <v>104.6537395229083</v>
      </c>
      <c r="AO407" s="1">
        <v>100.77418803761337</v>
      </c>
      <c r="AP407" s="1">
        <v>102.5509349821122</v>
      </c>
      <c r="AQ407" s="1">
        <v>93.558901743626024</v>
      </c>
      <c r="AR407" s="1">
        <v>102.85663702937894</v>
      </c>
      <c r="AS407" s="1">
        <v>98.030598797123588</v>
      </c>
      <c r="AT407" s="1">
        <v>111.2829883595939</v>
      </c>
      <c r="AU407" s="1">
        <v>92.683083360025861</v>
      </c>
      <c r="AV407" s="1">
        <v>99.900323214082661</v>
      </c>
      <c r="AW407" s="1">
        <v>100</v>
      </c>
      <c r="AX407" s="1">
        <v>100</v>
      </c>
      <c r="AY407" s="1">
        <v>100</v>
      </c>
      <c r="AZ407" s="1">
        <v>100</v>
      </c>
      <c r="BA407" s="1">
        <v>100</v>
      </c>
      <c r="BB407" s="1">
        <v>100</v>
      </c>
      <c r="BC407" s="1">
        <v>100</v>
      </c>
      <c r="BD407" s="1">
        <v>100</v>
      </c>
      <c r="BE407" s="1">
        <v>100</v>
      </c>
      <c r="BF407" s="1">
        <v>100</v>
      </c>
      <c r="BG407" s="1">
        <v>100</v>
      </c>
      <c r="BH407" s="1">
        <v>100</v>
      </c>
    </row>
    <row r="408" spans="1:60" x14ac:dyDescent="0.25">
      <c r="A408">
        <v>395</v>
      </c>
      <c r="B408" s="1">
        <v>103.53433867344353</v>
      </c>
      <c r="C408" s="1">
        <v>94.353173132071191</v>
      </c>
      <c r="D408" s="1">
        <v>97.69521325787963</v>
      </c>
      <c r="E408" s="1">
        <v>119.51170313733628</v>
      </c>
      <c r="F408" s="1">
        <v>95.932799101521084</v>
      </c>
      <c r="G408" s="1">
        <v>101.20264176422626</v>
      </c>
      <c r="H408" s="1">
        <v>102.6264770510757</v>
      </c>
      <c r="I408" s="1">
        <v>91.499563034783122</v>
      </c>
      <c r="J408" s="1">
        <v>109.73261611443155</v>
      </c>
      <c r="K408" s="1">
        <v>106.16590636000029</v>
      </c>
      <c r="L408" s="1">
        <v>95.69663892742183</v>
      </c>
      <c r="M408" s="1">
        <v>96.715943522481638</v>
      </c>
      <c r="N408" s="1">
        <v>100.569362444262</v>
      </c>
      <c r="O408" s="1">
        <v>75.469922408998414</v>
      </c>
      <c r="P408" s="1">
        <v>90.670469704225752</v>
      </c>
      <c r="Q408" s="1">
        <v>100</v>
      </c>
      <c r="R408" s="1">
        <v>98.539127000430625</v>
      </c>
      <c r="S408" s="1">
        <v>103.50716224449451</v>
      </c>
      <c r="T408" s="1">
        <v>105.48362508025029</v>
      </c>
      <c r="U408" s="1">
        <v>100.96372424684154</v>
      </c>
      <c r="V408" s="1">
        <v>97.662914082816272</v>
      </c>
      <c r="W408" s="1">
        <v>102.20284750979505</v>
      </c>
      <c r="X408" s="1">
        <v>98.938308797866256</v>
      </c>
      <c r="Y408" s="1">
        <v>92.334761599453643</v>
      </c>
      <c r="Z408" s="1">
        <v>86.852744311290479</v>
      </c>
      <c r="AA408" s="1">
        <v>96.697105376186386</v>
      </c>
      <c r="AB408" s="1">
        <v>84.02202162822951</v>
      </c>
      <c r="AC408" s="1">
        <v>101.78077976073585</v>
      </c>
      <c r="AD408" s="1">
        <v>122.77345062885132</v>
      </c>
      <c r="AE408" s="1">
        <v>95.49763020242662</v>
      </c>
      <c r="AF408" s="1">
        <v>104.07019205768545</v>
      </c>
      <c r="AG408" s="1">
        <v>100</v>
      </c>
      <c r="AH408" s="1">
        <v>95.492997296199022</v>
      </c>
      <c r="AI408" s="1">
        <v>108.53930178400446</v>
      </c>
      <c r="AJ408" s="1">
        <v>101.4355028770963</v>
      </c>
      <c r="AK408" s="1">
        <v>91.096570936188471</v>
      </c>
      <c r="AL408" s="1">
        <v>107.73819810640029</v>
      </c>
      <c r="AM408" s="1">
        <v>116.7028707921346</v>
      </c>
      <c r="AN408" s="1">
        <v>104.6537395229083</v>
      </c>
      <c r="AO408" s="1">
        <v>100.77418803761337</v>
      </c>
      <c r="AP408" s="1">
        <v>102.5509349821122</v>
      </c>
      <c r="AQ408" s="1">
        <v>93.558901743626024</v>
      </c>
      <c r="AR408" s="1">
        <v>102.85663702937894</v>
      </c>
      <c r="AS408" s="1">
        <v>98.030598797123588</v>
      </c>
      <c r="AT408" s="1">
        <v>111.2829883595939</v>
      </c>
      <c r="AU408" s="1">
        <v>92.683083360025861</v>
      </c>
      <c r="AV408" s="1">
        <v>99.900323214082661</v>
      </c>
      <c r="AW408" s="1">
        <v>100</v>
      </c>
      <c r="AX408" s="1">
        <v>100</v>
      </c>
      <c r="AY408" s="1">
        <v>100</v>
      </c>
      <c r="AZ408" s="1">
        <v>100</v>
      </c>
      <c r="BA408" s="1">
        <v>100</v>
      </c>
      <c r="BB408" s="1">
        <v>100</v>
      </c>
      <c r="BC408" s="1">
        <v>100</v>
      </c>
      <c r="BD408" s="1">
        <v>100</v>
      </c>
      <c r="BE408" s="1">
        <v>100</v>
      </c>
      <c r="BF408" s="1">
        <v>100</v>
      </c>
      <c r="BG408" s="1">
        <v>100</v>
      </c>
      <c r="BH408" s="1">
        <v>100</v>
      </c>
    </row>
    <row r="409" spans="1:60" x14ac:dyDescent="0.25">
      <c r="A409">
        <v>396</v>
      </c>
      <c r="B409" s="1">
        <v>103.53433867344353</v>
      </c>
      <c r="C409" s="1">
        <v>94.353173132071191</v>
      </c>
      <c r="D409" s="1">
        <v>97.69521325787963</v>
      </c>
      <c r="E409" s="1">
        <v>119.51170313733628</v>
      </c>
      <c r="F409" s="1">
        <v>95.932799101521084</v>
      </c>
      <c r="G409" s="1">
        <v>101.20264176422626</v>
      </c>
      <c r="H409" s="1">
        <v>102.6264770510757</v>
      </c>
      <c r="I409" s="1">
        <v>91.499563034783122</v>
      </c>
      <c r="J409" s="1">
        <v>109.73261611443155</v>
      </c>
      <c r="K409" s="1">
        <v>106.16590636000029</v>
      </c>
      <c r="L409" s="1">
        <v>95.69663892742183</v>
      </c>
      <c r="M409" s="1">
        <v>96.715943522481638</v>
      </c>
      <c r="N409" s="1">
        <v>100.569362444262</v>
      </c>
      <c r="O409" s="1">
        <v>75.645212939194266</v>
      </c>
      <c r="P409" s="1">
        <v>90.670469704225752</v>
      </c>
      <c r="Q409" s="1">
        <v>100</v>
      </c>
      <c r="R409" s="1">
        <v>98.539127000430625</v>
      </c>
      <c r="S409" s="1">
        <v>103.50716224449451</v>
      </c>
      <c r="T409" s="1">
        <v>105.48362508025029</v>
      </c>
      <c r="U409" s="1">
        <v>100.96372424684154</v>
      </c>
      <c r="V409" s="1">
        <v>97.662914082816272</v>
      </c>
      <c r="W409" s="1">
        <v>102.20284750979505</v>
      </c>
      <c r="X409" s="1">
        <v>98.938308797866256</v>
      </c>
      <c r="Y409" s="1">
        <v>92.334761599453643</v>
      </c>
      <c r="Z409" s="1">
        <v>86.852744311290479</v>
      </c>
      <c r="AA409" s="1">
        <v>96.697105376186386</v>
      </c>
      <c r="AB409" s="1">
        <v>84.02202162822951</v>
      </c>
      <c r="AC409" s="1">
        <v>101.78077976073585</v>
      </c>
      <c r="AD409" s="1">
        <v>122.77345062885132</v>
      </c>
      <c r="AE409" s="1">
        <v>95.347026242688671</v>
      </c>
      <c r="AF409" s="1">
        <v>104.07019205768545</v>
      </c>
      <c r="AG409" s="1">
        <v>100</v>
      </c>
      <c r="AH409" s="1">
        <v>95.492997296199022</v>
      </c>
      <c r="AI409" s="1">
        <v>108.53930178400446</v>
      </c>
      <c r="AJ409" s="1">
        <v>101.4355028770963</v>
      </c>
      <c r="AK409" s="1">
        <v>91.241792238998869</v>
      </c>
      <c r="AL409" s="1">
        <v>107.568290233132</v>
      </c>
      <c r="AM409" s="1">
        <v>116.7028707921346</v>
      </c>
      <c r="AN409" s="1">
        <v>104.6537395229083</v>
      </c>
      <c r="AO409" s="1">
        <v>100.77418803761337</v>
      </c>
      <c r="AP409" s="1">
        <v>102.5509349821122</v>
      </c>
      <c r="AQ409" s="1">
        <v>93.558901743626024</v>
      </c>
      <c r="AR409" s="1">
        <v>102.85663702937894</v>
      </c>
      <c r="AS409" s="1">
        <v>98.030598797123588</v>
      </c>
      <c r="AT409" s="1">
        <v>111.2829883595939</v>
      </c>
      <c r="AU409" s="1">
        <v>92.683083360025861</v>
      </c>
      <c r="AV409" s="1">
        <v>99.900323214082661</v>
      </c>
      <c r="AW409" s="1">
        <v>100</v>
      </c>
      <c r="AX409" s="1">
        <v>100</v>
      </c>
      <c r="AY409" s="1">
        <v>100</v>
      </c>
      <c r="AZ409" s="1">
        <v>100</v>
      </c>
      <c r="BA409" s="1">
        <v>100</v>
      </c>
      <c r="BB409" s="1">
        <v>100</v>
      </c>
      <c r="BC409" s="1">
        <v>100</v>
      </c>
      <c r="BD409" s="1">
        <v>100</v>
      </c>
      <c r="BE409" s="1">
        <v>100</v>
      </c>
      <c r="BF409" s="1">
        <v>100</v>
      </c>
      <c r="BG409" s="1">
        <v>100</v>
      </c>
      <c r="BH409" s="1">
        <v>100</v>
      </c>
    </row>
    <row r="410" spans="1:60" x14ac:dyDescent="0.25">
      <c r="A410">
        <v>397</v>
      </c>
      <c r="B410" s="1">
        <v>102.92654810519862</v>
      </c>
      <c r="C410" s="1">
        <v>94.353173132071191</v>
      </c>
      <c r="D410" s="1">
        <v>97.69521325787963</v>
      </c>
      <c r="E410" s="1">
        <v>119.51170313733628</v>
      </c>
      <c r="F410" s="1">
        <v>95.932799101521084</v>
      </c>
      <c r="G410" s="1">
        <v>101.20264176422626</v>
      </c>
      <c r="H410" s="1">
        <v>102.6264770510757</v>
      </c>
      <c r="I410" s="1">
        <v>91.499563034783122</v>
      </c>
      <c r="J410" s="1">
        <v>109.73261611443155</v>
      </c>
      <c r="K410" s="1">
        <v>106.16590636000029</v>
      </c>
      <c r="L410" s="1">
        <v>95.69663892742183</v>
      </c>
      <c r="M410" s="1">
        <v>96.715943522481638</v>
      </c>
      <c r="N410" s="1">
        <v>100.569362444262</v>
      </c>
      <c r="O410" s="1">
        <v>75.645212939194266</v>
      </c>
      <c r="P410" s="1">
        <v>91.354750803347827</v>
      </c>
      <c r="Q410" s="1">
        <v>100</v>
      </c>
      <c r="R410" s="1">
        <v>98.539127000430625</v>
      </c>
      <c r="S410" s="1">
        <v>103.50716224449451</v>
      </c>
      <c r="T410" s="1">
        <v>105.48362508025029</v>
      </c>
      <c r="U410" s="1">
        <v>100.96372424684154</v>
      </c>
      <c r="V410" s="1">
        <v>97.662914082816272</v>
      </c>
      <c r="W410" s="1">
        <v>102.20284750979505</v>
      </c>
      <c r="X410" s="1">
        <v>98.938308797866256</v>
      </c>
      <c r="Y410" s="1">
        <v>92.334761599453643</v>
      </c>
      <c r="Z410" s="1">
        <v>86.852744311290479</v>
      </c>
      <c r="AA410" s="1">
        <v>96.697105376186386</v>
      </c>
      <c r="AB410" s="1">
        <v>84.02202162822951</v>
      </c>
      <c r="AC410" s="1">
        <v>101.78077976073585</v>
      </c>
      <c r="AD410" s="1">
        <v>122.77345062885132</v>
      </c>
      <c r="AE410" s="1">
        <v>95.347026242688671</v>
      </c>
      <c r="AF410" s="1">
        <v>104.07019205768545</v>
      </c>
      <c r="AG410" s="1">
        <v>100</v>
      </c>
      <c r="AH410" s="1">
        <v>95.492997296199022</v>
      </c>
      <c r="AI410" s="1">
        <v>108.53930178400446</v>
      </c>
      <c r="AJ410" s="1">
        <v>101.4355028770963</v>
      </c>
      <c r="AK410" s="1">
        <v>91.241792238998869</v>
      </c>
      <c r="AL410" s="1">
        <v>108.1450781371942</v>
      </c>
      <c r="AM410" s="1">
        <v>116.7028707921346</v>
      </c>
      <c r="AN410" s="1">
        <v>104.6537395229083</v>
      </c>
      <c r="AO410" s="1">
        <v>100.77418803761337</v>
      </c>
      <c r="AP410" s="1">
        <v>102.5509349821122</v>
      </c>
      <c r="AQ410" s="1">
        <v>93.558901743626024</v>
      </c>
      <c r="AR410" s="1">
        <v>102.85663702937894</v>
      </c>
      <c r="AS410" s="1">
        <v>98.030598797123588</v>
      </c>
      <c r="AT410" s="1">
        <v>110.62970992465453</v>
      </c>
      <c r="AU410" s="1">
        <v>92.683083360025861</v>
      </c>
      <c r="AV410" s="1">
        <v>99.900323214082661</v>
      </c>
      <c r="AW410" s="1">
        <v>100</v>
      </c>
      <c r="AX410" s="1">
        <v>100</v>
      </c>
      <c r="AY410" s="1">
        <v>100</v>
      </c>
      <c r="AZ410" s="1">
        <v>100</v>
      </c>
      <c r="BA410" s="1">
        <v>100</v>
      </c>
      <c r="BB410" s="1">
        <v>100</v>
      </c>
      <c r="BC410" s="1">
        <v>100</v>
      </c>
      <c r="BD410" s="1">
        <v>100</v>
      </c>
      <c r="BE410" s="1">
        <v>100</v>
      </c>
      <c r="BF410" s="1">
        <v>100</v>
      </c>
      <c r="BG410" s="1">
        <v>100</v>
      </c>
      <c r="BH410" s="1">
        <v>100</v>
      </c>
    </row>
    <row r="411" spans="1:60" x14ac:dyDescent="0.25">
      <c r="A411">
        <v>398</v>
      </c>
      <c r="B411" s="1">
        <v>102.63179382615931</v>
      </c>
      <c r="C411" s="1">
        <v>94.353173132071191</v>
      </c>
      <c r="D411" s="1">
        <v>97.69521325787963</v>
      </c>
      <c r="E411" s="1">
        <v>119.51170313733628</v>
      </c>
      <c r="F411" s="1">
        <v>95.932799101521084</v>
      </c>
      <c r="G411" s="1">
        <v>101.20264176422626</v>
      </c>
      <c r="H411" s="1">
        <v>102.6264770510757</v>
      </c>
      <c r="I411" s="1">
        <v>91.499563034783122</v>
      </c>
      <c r="J411" s="1">
        <v>109.73261611443155</v>
      </c>
      <c r="K411" s="1">
        <v>106.16590636000029</v>
      </c>
      <c r="L411" s="1">
        <v>95.69663892742183</v>
      </c>
      <c r="M411" s="1">
        <v>96.715943522481638</v>
      </c>
      <c r="N411" s="1">
        <v>100.569362444262</v>
      </c>
      <c r="O411" s="1">
        <v>75.645212939194266</v>
      </c>
      <c r="P411" s="1">
        <v>91.6862704297411</v>
      </c>
      <c r="Q411" s="1">
        <v>100</v>
      </c>
      <c r="R411" s="1">
        <v>98.539127000430625</v>
      </c>
      <c r="S411" s="1">
        <v>103.50716224449451</v>
      </c>
      <c r="T411" s="1">
        <v>105.48362508025029</v>
      </c>
      <c r="U411" s="1">
        <v>100.96372424684154</v>
      </c>
      <c r="V411" s="1">
        <v>97.662914082816272</v>
      </c>
      <c r="W411" s="1">
        <v>102.20284750979505</v>
      </c>
      <c r="X411" s="1">
        <v>98.938308797866256</v>
      </c>
      <c r="Y411" s="1">
        <v>92.334761599453643</v>
      </c>
      <c r="Z411" s="1">
        <v>86.852744311290479</v>
      </c>
      <c r="AA411" s="1">
        <v>96.697105376186386</v>
      </c>
      <c r="AB411" s="1">
        <v>84.02202162822951</v>
      </c>
      <c r="AC411" s="1">
        <v>101.78077976073585</v>
      </c>
      <c r="AD411" s="1">
        <v>122.77345062885132</v>
      </c>
      <c r="AE411" s="1">
        <v>95.347026242688671</v>
      </c>
      <c r="AF411" s="1">
        <v>104.07019205768545</v>
      </c>
      <c r="AG411" s="1">
        <v>100</v>
      </c>
      <c r="AH411" s="1">
        <v>95.492997296199022</v>
      </c>
      <c r="AI411" s="1">
        <v>108.53930178400446</v>
      </c>
      <c r="AJ411" s="1">
        <v>101.4355028770963</v>
      </c>
      <c r="AK411" s="1">
        <v>91.241792238998869</v>
      </c>
      <c r="AL411" s="1">
        <v>108.42512687706524</v>
      </c>
      <c r="AM411" s="1">
        <v>116.7028707921346</v>
      </c>
      <c r="AN411" s="1">
        <v>104.6537395229083</v>
      </c>
      <c r="AO411" s="1">
        <v>100.77418803761337</v>
      </c>
      <c r="AP411" s="1">
        <v>102.5509349821122</v>
      </c>
      <c r="AQ411" s="1">
        <v>93.558901743626024</v>
      </c>
      <c r="AR411" s="1">
        <v>102.85663702937894</v>
      </c>
      <c r="AS411" s="1">
        <v>98.030598797123588</v>
      </c>
      <c r="AT411" s="1">
        <v>110.31289583742952</v>
      </c>
      <c r="AU411" s="1">
        <v>92.683083360025861</v>
      </c>
      <c r="AV411" s="1">
        <v>99.900323214082661</v>
      </c>
      <c r="AW411" s="1">
        <v>100</v>
      </c>
      <c r="AX411" s="1">
        <v>100</v>
      </c>
      <c r="AY411" s="1">
        <v>100</v>
      </c>
      <c r="AZ411" s="1">
        <v>100</v>
      </c>
      <c r="BA411" s="1">
        <v>100</v>
      </c>
      <c r="BB411" s="1">
        <v>100</v>
      </c>
      <c r="BC411" s="1">
        <v>100</v>
      </c>
      <c r="BD411" s="1">
        <v>100</v>
      </c>
      <c r="BE411" s="1">
        <v>100</v>
      </c>
      <c r="BF411" s="1">
        <v>100</v>
      </c>
      <c r="BG411" s="1">
        <v>100</v>
      </c>
      <c r="BH411" s="1">
        <v>100</v>
      </c>
    </row>
    <row r="412" spans="1:60" x14ac:dyDescent="0.25">
      <c r="A412">
        <v>399</v>
      </c>
      <c r="B412" s="1">
        <v>102.12421058929149</v>
      </c>
      <c r="C412" s="1">
        <v>94.353173132071191</v>
      </c>
      <c r="D412" s="1">
        <v>97.69521325787963</v>
      </c>
      <c r="E412" s="1">
        <v>119.51170313733628</v>
      </c>
      <c r="F412" s="1">
        <v>95.932799101521084</v>
      </c>
      <c r="G412" s="1">
        <v>101.20264176422626</v>
      </c>
      <c r="H412" s="1">
        <v>102.6264770510757</v>
      </c>
      <c r="I412" s="1">
        <v>91.499563034783122</v>
      </c>
      <c r="J412" s="1">
        <v>109.73261611443155</v>
      </c>
      <c r="K412" s="1">
        <v>106.16590636000029</v>
      </c>
      <c r="L412" s="1">
        <v>95.69663892742183</v>
      </c>
      <c r="M412" s="1">
        <v>96.715943522481638</v>
      </c>
      <c r="N412" s="1">
        <v>100.569362444262</v>
      </c>
      <c r="O412" s="1">
        <v>75.645212939194266</v>
      </c>
      <c r="P412" s="1">
        <v>91.6862704297411</v>
      </c>
      <c r="Q412" s="1">
        <v>100</v>
      </c>
      <c r="R412" s="1">
        <v>98.539127000430625</v>
      </c>
      <c r="S412" s="1">
        <v>103.50716224449451</v>
      </c>
      <c r="T412" s="1">
        <v>105.96801283593567</v>
      </c>
      <c r="U412" s="1">
        <v>100.96372424684154</v>
      </c>
      <c r="V412" s="1">
        <v>97.662914082816272</v>
      </c>
      <c r="W412" s="1">
        <v>102.20284750979505</v>
      </c>
      <c r="X412" s="1">
        <v>98.938308797866256</v>
      </c>
      <c r="Y412" s="1">
        <v>92.334761599453643</v>
      </c>
      <c r="Z412" s="1">
        <v>86.852744311290479</v>
      </c>
      <c r="AA412" s="1">
        <v>96.697105376186386</v>
      </c>
      <c r="AB412" s="1">
        <v>84.02202162822951</v>
      </c>
      <c r="AC412" s="1">
        <v>101.78077976073585</v>
      </c>
      <c r="AD412" s="1">
        <v>122.77345062885132</v>
      </c>
      <c r="AE412" s="1">
        <v>95.347026242688671</v>
      </c>
      <c r="AF412" s="1">
        <v>104.07019205768545</v>
      </c>
      <c r="AG412" s="1">
        <v>100</v>
      </c>
      <c r="AH412" s="1">
        <v>95.492997296199022</v>
      </c>
      <c r="AI412" s="1">
        <v>108.00250194768654</v>
      </c>
      <c r="AJ412" s="1">
        <v>101.4355028770963</v>
      </c>
      <c r="AK412" s="1">
        <v>91.801787556499235</v>
      </c>
      <c r="AL412" s="1">
        <v>108.42512687706524</v>
      </c>
      <c r="AM412" s="1">
        <v>116.7028707921346</v>
      </c>
      <c r="AN412" s="1">
        <v>104.6537395229083</v>
      </c>
      <c r="AO412" s="1">
        <v>100.77418803761337</v>
      </c>
      <c r="AP412" s="1">
        <v>102.5509349821122</v>
      </c>
      <c r="AQ412" s="1">
        <v>93.558901743626024</v>
      </c>
      <c r="AR412" s="1">
        <v>102.85663702937894</v>
      </c>
      <c r="AS412" s="1">
        <v>98.030598797123588</v>
      </c>
      <c r="AT412" s="1">
        <v>110.31289583742952</v>
      </c>
      <c r="AU412" s="1">
        <v>92.683083360025861</v>
      </c>
      <c r="AV412" s="1">
        <v>99.900323214082661</v>
      </c>
      <c r="AW412" s="1">
        <v>100</v>
      </c>
      <c r="AX412" s="1">
        <v>100</v>
      </c>
      <c r="AY412" s="1">
        <v>100</v>
      </c>
      <c r="AZ412" s="1">
        <v>100</v>
      </c>
      <c r="BA412" s="1">
        <v>100</v>
      </c>
      <c r="BB412" s="1">
        <v>100</v>
      </c>
      <c r="BC412" s="1">
        <v>100</v>
      </c>
      <c r="BD412" s="1">
        <v>100</v>
      </c>
      <c r="BE412" s="1">
        <v>100</v>
      </c>
      <c r="BF412" s="1">
        <v>100</v>
      </c>
      <c r="BG412" s="1">
        <v>100</v>
      </c>
      <c r="BH412" s="1">
        <v>100</v>
      </c>
    </row>
    <row r="413" spans="1:60" x14ac:dyDescent="0.25">
      <c r="A413">
        <v>400</v>
      </c>
      <c r="B413" s="1">
        <v>102.53645160473037</v>
      </c>
      <c r="C413" s="1">
        <v>94.353173132071191</v>
      </c>
      <c r="D413" s="1">
        <v>97.69521325787963</v>
      </c>
      <c r="E413" s="1">
        <v>119.51170313733628</v>
      </c>
      <c r="F413" s="1">
        <v>95.932799101521084</v>
      </c>
      <c r="G413" s="1">
        <v>101.20264176422626</v>
      </c>
      <c r="H413" s="1">
        <v>102.6264770510757</v>
      </c>
      <c r="I413" s="1">
        <v>91.499563034783122</v>
      </c>
      <c r="J413" s="1">
        <v>109.73261611443155</v>
      </c>
      <c r="K413" s="1">
        <v>106.16590636000029</v>
      </c>
      <c r="L413" s="1">
        <v>95.69663892742183</v>
      </c>
      <c r="M413" s="1">
        <v>96.715943522481638</v>
      </c>
      <c r="N413" s="1">
        <v>100.569362444262</v>
      </c>
      <c r="O413" s="1">
        <v>75.645212939194266</v>
      </c>
      <c r="P413" s="1">
        <v>91.6862704297411</v>
      </c>
      <c r="Q413" s="1">
        <v>100</v>
      </c>
      <c r="R413" s="1">
        <v>98.539127000430625</v>
      </c>
      <c r="S413" s="1">
        <v>103.50716224449451</v>
      </c>
      <c r="T413" s="1">
        <v>105.53826523197793</v>
      </c>
      <c r="U413" s="1">
        <v>100.96372424684154</v>
      </c>
      <c r="V413" s="1">
        <v>97.662914082816272</v>
      </c>
      <c r="W413" s="1">
        <v>102.20284750979505</v>
      </c>
      <c r="X413" s="1">
        <v>98.938308797866256</v>
      </c>
      <c r="Y413" s="1">
        <v>92.334761599453643</v>
      </c>
      <c r="Z413" s="1">
        <v>86.852744311290479</v>
      </c>
      <c r="AA413" s="1">
        <v>96.697105376186386</v>
      </c>
      <c r="AB413" s="1">
        <v>84.02202162822951</v>
      </c>
      <c r="AC413" s="1">
        <v>101.78077976073585</v>
      </c>
      <c r="AD413" s="1">
        <v>122.77345062885132</v>
      </c>
      <c r="AE413" s="1">
        <v>95.347026242688671</v>
      </c>
      <c r="AF413" s="1">
        <v>104.07019205768545</v>
      </c>
      <c r="AG413" s="1">
        <v>100</v>
      </c>
      <c r="AH413" s="1">
        <v>95.492997296199022</v>
      </c>
      <c r="AI413" s="1">
        <v>108.39230577181105</v>
      </c>
      <c r="AJ413" s="1">
        <v>101.4355028770963</v>
      </c>
      <c r="AK413" s="1">
        <v>91.429490320893578</v>
      </c>
      <c r="AL413" s="1">
        <v>108.42512687706524</v>
      </c>
      <c r="AM413" s="1">
        <v>116.7028707921346</v>
      </c>
      <c r="AN413" s="1">
        <v>104.6537395229083</v>
      </c>
      <c r="AO413" s="1">
        <v>100.77418803761337</v>
      </c>
      <c r="AP413" s="1">
        <v>102.5509349821122</v>
      </c>
      <c r="AQ413" s="1">
        <v>93.558901743626024</v>
      </c>
      <c r="AR413" s="1">
        <v>102.85663702937894</v>
      </c>
      <c r="AS413" s="1">
        <v>98.030598797123588</v>
      </c>
      <c r="AT413" s="1">
        <v>110.31289583742952</v>
      </c>
      <c r="AU413" s="1">
        <v>92.683083360025861</v>
      </c>
      <c r="AV413" s="1">
        <v>99.900323214082661</v>
      </c>
      <c r="AW413" s="1">
        <v>100</v>
      </c>
      <c r="AX413" s="1">
        <v>100</v>
      </c>
      <c r="AY413" s="1">
        <v>100</v>
      </c>
      <c r="AZ413" s="1">
        <v>100</v>
      </c>
      <c r="BA413" s="1">
        <v>100</v>
      </c>
      <c r="BB413" s="1">
        <v>100</v>
      </c>
      <c r="BC413" s="1">
        <v>100</v>
      </c>
      <c r="BD413" s="1">
        <v>100</v>
      </c>
      <c r="BE413" s="1">
        <v>100</v>
      </c>
      <c r="BF413" s="1">
        <v>100</v>
      </c>
      <c r="BG413" s="1">
        <v>100</v>
      </c>
      <c r="BH413" s="1">
        <v>100</v>
      </c>
    </row>
    <row r="414" spans="1:60" x14ac:dyDescent="0.25">
      <c r="A414">
        <f t="shared" ref="A414:A462" si="7">A413+1</f>
        <v>401</v>
      </c>
      <c r="B414" s="1">
        <v>102.53645160473037</v>
      </c>
      <c r="C414" s="1">
        <v>94.353173132071191</v>
      </c>
      <c r="D414" s="1">
        <v>97.69521325787963</v>
      </c>
      <c r="E414" s="1">
        <v>119.51170313733628</v>
      </c>
      <c r="F414" s="1">
        <v>95.932799101521084</v>
      </c>
      <c r="G414" s="1">
        <v>101.20264176422626</v>
      </c>
      <c r="H414" s="1">
        <v>102.6264770510757</v>
      </c>
      <c r="I414" s="1">
        <v>91.499563034783122</v>
      </c>
      <c r="J414" s="1">
        <v>109.73261611443155</v>
      </c>
      <c r="K414" s="1">
        <v>106.16590636000029</v>
      </c>
      <c r="L414" s="1">
        <v>95.69663892742183</v>
      </c>
      <c r="M414" s="1">
        <v>96.715943522481638</v>
      </c>
      <c r="N414" s="1">
        <v>100.569362444262</v>
      </c>
      <c r="O414" s="1">
        <v>75.645212939194266</v>
      </c>
      <c r="P414" s="1">
        <v>91.6862704297411</v>
      </c>
      <c r="Q414" s="1">
        <v>100</v>
      </c>
      <c r="R414" s="1">
        <v>98.539127000430625</v>
      </c>
      <c r="S414" s="1">
        <v>103.50716224449451</v>
      </c>
      <c r="T414" s="1">
        <v>105.08526411500708</v>
      </c>
      <c r="U414" s="1">
        <v>100.96372424684154</v>
      </c>
      <c r="V414" s="1">
        <v>97.662914082816272</v>
      </c>
      <c r="W414" s="1">
        <v>102.20284750979505</v>
      </c>
      <c r="X414" s="1">
        <v>98.938308797866256</v>
      </c>
      <c r="Y414" s="1">
        <v>92.830692662307854</v>
      </c>
      <c r="Z414" s="1">
        <v>86.852744311290479</v>
      </c>
      <c r="AA414" s="1">
        <v>96.697105376186386</v>
      </c>
      <c r="AB414" s="1">
        <v>84.02202162822951</v>
      </c>
      <c r="AC414" s="1">
        <v>101.78077976073585</v>
      </c>
      <c r="AD414" s="1">
        <v>122.77345062885132</v>
      </c>
      <c r="AE414" s="1">
        <v>95.347026242688671</v>
      </c>
      <c r="AF414" s="1">
        <v>104.07019205768545</v>
      </c>
      <c r="AG414" s="1">
        <v>100</v>
      </c>
      <c r="AH414" s="1">
        <v>95.492997296199022</v>
      </c>
      <c r="AI414" s="1">
        <v>108.81476819783241</v>
      </c>
      <c r="AJ414" s="1">
        <v>101.4355028770963</v>
      </c>
      <c r="AK414" s="1">
        <v>91.429490320893578</v>
      </c>
      <c r="AL414" s="1">
        <v>107.95973450516054</v>
      </c>
      <c r="AM414" s="1">
        <v>116.7028707921346</v>
      </c>
      <c r="AN414" s="1">
        <v>104.6537395229083</v>
      </c>
      <c r="AO414" s="1">
        <v>100.77418803761337</v>
      </c>
      <c r="AP414" s="1">
        <v>102.5509349821122</v>
      </c>
      <c r="AQ414" s="1">
        <v>93.558901743626024</v>
      </c>
      <c r="AR414" s="1">
        <v>102.85663702937894</v>
      </c>
      <c r="AS414" s="1">
        <v>98.030598797123588</v>
      </c>
      <c r="AT414" s="1">
        <v>110.31289583742952</v>
      </c>
      <c r="AU414" s="1">
        <v>92.683083360025861</v>
      </c>
      <c r="AV414" s="1">
        <v>99.900323214082661</v>
      </c>
      <c r="AW414" s="1">
        <v>100</v>
      </c>
      <c r="AX414" s="1">
        <v>100</v>
      </c>
      <c r="AY414" s="1">
        <v>100</v>
      </c>
      <c r="AZ414" s="1">
        <v>100</v>
      </c>
      <c r="BA414" s="1">
        <v>100</v>
      </c>
      <c r="BB414" s="1">
        <v>100</v>
      </c>
      <c r="BC414" s="1">
        <v>100</v>
      </c>
      <c r="BD414" s="1">
        <v>100</v>
      </c>
      <c r="BE414" s="1">
        <v>100</v>
      </c>
      <c r="BF414" s="1">
        <v>100</v>
      </c>
      <c r="BG414" s="1">
        <v>100</v>
      </c>
      <c r="BH414" s="1">
        <v>100</v>
      </c>
    </row>
    <row r="415" spans="1:60" x14ac:dyDescent="0.25">
      <c r="A415">
        <f t="shared" si="7"/>
        <v>402</v>
      </c>
      <c r="B415" s="1">
        <v>102.53645160473037</v>
      </c>
      <c r="C415" s="1">
        <v>94.353173132071191</v>
      </c>
      <c r="D415" s="1">
        <v>97.69521325787963</v>
      </c>
      <c r="E415" s="1">
        <v>119.51170313733628</v>
      </c>
      <c r="F415" s="1">
        <v>95.932799101521084</v>
      </c>
      <c r="G415" s="1">
        <v>101.20264176422626</v>
      </c>
      <c r="H415" s="1">
        <v>102.6264770510757</v>
      </c>
      <c r="I415" s="1">
        <v>91.499563034783122</v>
      </c>
      <c r="J415" s="1">
        <v>109.73261611443155</v>
      </c>
      <c r="K415" s="1">
        <v>106.16590636000029</v>
      </c>
      <c r="L415" s="1">
        <v>95.69663892742183</v>
      </c>
      <c r="M415" s="1">
        <v>96.715943522481638</v>
      </c>
      <c r="N415" s="1">
        <v>100.569362444262</v>
      </c>
      <c r="O415" s="1">
        <v>75.645212939194266</v>
      </c>
      <c r="P415" s="1">
        <v>91.6862704297411</v>
      </c>
      <c r="Q415" s="1">
        <v>100</v>
      </c>
      <c r="R415" s="1">
        <v>98.539127000430625</v>
      </c>
      <c r="S415" s="1">
        <v>103.50716224449451</v>
      </c>
      <c r="T415" s="1">
        <v>102.91342432871029</v>
      </c>
      <c r="U415" s="1">
        <v>100.96372424684154</v>
      </c>
      <c r="V415" s="1">
        <v>97.662914082816272</v>
      </c>
      <c r="W415" s="1">
        <v>102.20284750979505</v>
      </c>
      <c r="X415" s="1">
        <v>98.938308797866256</v>
      </c>
      <c r="Y415" s="1">
        <v>95.206748809243749</v>
      </c>
      <c r="Z415" s="1">
        <v>86.852744311290479</v>
      </c>
      <c r="AA415" s="1">
        <v>96.697105376186386</v>
      </c>
      <c r="AB415" s="1">
        <v>84.02202162822951</v>
      </c>
      <c r="AC415" s="1">
        <v>101.78077976073585</v>
      </c>
      <c r="AD415" s="1">
        <v>122.77345062885132</v>
      </c>
      <c r="AE415" s="1">
        <v>95.347026242688671</v>
      </c>
      <c r="AF415" s="1">
        <v>104.07019205768545</v>
      </c>
      <c r="AG415" s="1">
        <v>100</v>
      </c>
      <c r="AH415" s="1">
        <v>95.492997296199022</v>
      </c>
      <c r="AI415" s="1">
        <v>110.84179946920892</v>
      </c>
      <c r="AJ415" s="1">
        <v>101.4355028770963</v>
      </c>
      <c r="AK415" s="1">
        <v>91.429490320893578</v>
      </c>
      <c r="AL415" s="1">
        <v>105.72848687314492</v>
      </c>
      <c r="AM415" s="1">
        <v>116.7028707921346</v>
      </c>
      <c r="AN415" s="1">
        <v>104.6537395229083</v>
      </c>
      <c r="AO415" s="1">
        <v>100.77418803761337</v>
      </c>
      <c r="AP415" s="1">
        <v>102.5509349821122</v>
      </c>
      <c r="AQ415" s="1">
        <v>93.558901743626024</v>
      </c>
      <c r="AR415" s="1">
        <v>102.85663702937894</v>
      </c>
      <c r="AS415" s="1">
        <v>98.030598797123588</v>
      </c>
      <c r="AT415" s="1">
        <v>110.31289583742952</v>
      </c>
      <c r="AU415" s="1">
        <v>92.683083360025861</v>
      </c>
      <c r="AV415" s="1">
        <v>99.900323214082661</v>
      </c>
      <c r="AW415" s="1">
        <v>100</v>
      </c>
      <c r="AX415" s="1">
        <v>100</v>
      </c>
      <c r="AY415" s="1">
        <v>100</v>
      </c>
      <c r="AZ415" s="1">
        <v>100</v>
      </c>
      <c r="BA415" s="1">
        <v>100</v>
      </c>
      <c r="BB415" s="1">
        <v>100</v>
      </c>
      <c r="BC415" s="1">
        <v>100</v>
      </c>
      <c r="BD415" s="1">
        <v>100</v>
      </c>
      <c r="BE415" s="1">
        <v>100</v>
      </c>
      <c r="BF415" s="1">
        <v>100</v>
      </c>
      <c r="BG415" s="1">
        <v>100</v>
      </c>
      <c r="BH415" s="1">
        <v>100</v>
      </c>
    </row>
    <row r="416" spans="1:60" x14ac:dyDescent="0.25">
      <c r="A416">
        <f t="shared" si="7"/>
        <v>403</v>
      </c>
      <c r="B416" s="1">
        <v>102.06964780329362</v>
      </c>
      <c r="C416" s="1">
        <v>94.353173132071191</v>
      </c>
      <c r="D416" s="1">
        <v>97.69521325787963</v>
      </c>
      <c r="E416" s="1">
        <v>119.51170313733628</v>
      </c>
      <c r="F416" s="1">
        <v>95.932799101521084</v>
      </c>
      <c r="G416" s="1">
        <v>101.20264176422626</v>
      </c>
      <c r="H416" s="1">
        <v>102.6264770510757</v>
      </c>
      <c r="I416" s="1">
        <v>91.499563034783122</v>
      </c>
      <c r="J416" s="1">
        <v>109.73261611443155</v>
      </c>
      <c r="K416" s="1">
        <v>106.16590636000029</v>
      </c>
      <c r="L416" s="1">
        <v>95.69663892742183</v>
      </c>
      <c r="M416" s="1">
        <v>96.715943522481638</v>
      </c>
      <c r="N416" s="1">
        <v>100.569362444262</v>
      </c>
      <c r="O416" s="1">
        <v>75.300833234144292</v>
      </c>
      <c r="P416" s="1">
        <v>91.6862704297411</v>
      </c>
      <c r="Q416" s="1">
        <v>100</v>
      </c>
      <c r="R416" s="1">
        <v>98.539127000430625</v>
      </c>
      <c r="S416" s="1">
        <v>103.50716224449451</v>
      </c>
      <c r="T416" s="1">
        <v>102.91342432871029</v>
      </c>
      <c r="U416" s="1">
        <v>100.96372424684154</v>
      </c>
      <c r="V416" s="1">
        <v>97.662914082816272</v>
      </c>
      <c r="W416" s="1">
        <v>102.20284750979505</v>
      </c>
      <c r="X416" s="1">
        <v>98.938308797866256</v>
      </c>
      <c r="Y416" s="1">
        <v>95.206748809243749</v>
      </c>
      <c r="Z416" s="1">
        <v>86.852744311290479</v>
      </c>
      <c r="AA416" s="1">
        <v>96.697105376186386</v>
      </c>
      <c r="AB416" s="1">
        <v>84.02202162822951</v>
      </c>
      <c r="AC416" s="1">
        <v>101.78077976073585</v>
      </c>
      <c r="AD416" s="1">
        <v>122.77345062885132</v>
      </c>
      <c r="AE416" s="1">
        <v>95.347026242688671</v>
      </c>
      <c r="AF416" s="1">
        <v>104.07019205768545</v>
      </c>
      <c r="AG416" s="1">
        <v>100</v>
      </c>
      <c r="AH416" s="1">
        <v>95.492997296199022</v>
      </c>
      <c r="AI416" s="1">
        <v>110.84179946920892</v>
      </c>
      <c r="AJ416" s="1">
        <v>101.4355028770963</v>
      </c>
      <c r="AK416" s="1">
        <v>91.429490320893578</v>
      </c>
      <c r="AL416" s="1">
        <v>106.14268530371129</v>
      </c>
      <c r="AM416" s="1">
        <v>116.7028707921346</v>
      </c>
      <c r="AN416" s="1">
        <v>104.6537395229083</v>
      </c>
      <c r="AO416" s="1">
        <v>100.77418803761337</v>
      </c>
      <c r="AP416" s="1">
        <v>102.5509349821122</v>
      </c>
      <c r="AQ416" s="1">
        <v>93.558901743626024</v>
      </c>
      <c r="AR416" s="1">
        <v>102.85663702937894</v>
      </c>
      <c r="AS416" s="1">
        <v>98.030598797123588</v>
      </c>
      <c r="AT416" s="1">
        <v>110.70988091334986</v>
      </c>
      <c r="AU416" s="1">
        <v>92.683083360025861</v>
      </c>
      <c r="AV416" s="1">
        <v>99.900323214082661</v>
      </c>
      <c r="AW416" s="1">
        <v>100</v>
      </c>
      <c r="AX416" s="1">
        <v>100</v>
      </c>
      <c r="AY416" s="1">
        <v>100</v>
      </c>
      <c r="AZ416" s="1">
        <v>100</v>
      </c>
      <c r="BA416" s="1">
        <v>100</v>
      </c>
      <c r="BB416" s="1">
        <v>100</v>
      </c>
      <c r="BC416" s="1">
        <v>100</v>
      </c>
      <c r="BD416" s="1">
        <v>100</v>
      </c>
      <c r="BE416" s="1">
        <v>100</v>
      </c>
      <c r="BF416" s="1">
        <v>100</v>
      </c>
      <c r="BG416" s="1">
        <v>100</v>
      </c>
      <c r="BH416" s="1">
        <v>100</v>
      </c>
    </row>
    <row r="417" spans="1:60" x14ac:dyDescent="0.25">
      <c r="A417">
        <f t="shared" si="7"/>
        <v>404</v>
      </c>
      <c r="B417" s="1">
        <v>100.78264303424511</v>
      </c>
      <c r="C417" s="1">
        <v>94.353173132071191</v>
      </c>
      <c r="D417" s="1">
        <v>97.69521325787963</v>
      </c>
      <c r="E417" s="1">
        <v>119.51170313733628</v>
      </c>
      <c r="F417" s="1">
        <v>95.932799101521084</v>
      </c>
      <c r="G417" s="1">
        <v>101.20264176422626</v>
      </c>
      <c r="H417" s="1">
        <v>102.6264770510757</v>
      </c>
      <c r="I417" s="1">
        <v>91.499563034783122</v>
      </c>
      <c r="J417" s="1">
        <v>109.73261611443155</v>
      </c>
      <c r="K417" s="1">
        <v>106.16590636000029</v>
      </c>
      <c r="L417" s="1">
        <v>95.69663892742183</v>
      </c>
      <c r="M417" s="1">
        <v>96.715943522481638</v>
      </c>
      <c r="N417" s="1">
        <v>100.569362444262</v>
      </c>
      <c r="O417" s="1">
        <v>74.351358698164333</v>
      </c>
      <c r="P417" s="1">
        <v>91.6862704297411</v>
      </c>
      <c r="Q417" s="1">
        <v>100</v>
      </c>
      <c r="R417" s="1">
        <v>98.539127000430625</v>
      </c>
      <c r="S417" s="1">
        <v>103.50716224449451</v>
      </c>
      <c r="T417" s="1">
        <v>102.91342432871029</v>
      </c>
      <c r="U417" s="1">
        <v>100.96372424684154</v>
      </c>
      <c r="V417" s="1">
        <v>97.662914082816272</v>
      </c>
      <c r="W417" s="1">
        <v>102.20284750979505</v>
      </c>
      <c r="X417" s="1">
        <v>98.938308797866256</v>
      </c>
      <c r="Y417" s="1">
        <v>95.206748809243749</v>
      </c>
      <c r="Z417" s="1">
        <v>86.852744311290479</v>
      </c>
      <c r="AA417" s="1">
        <v>96.697105376186386</v>
      </c>
      <c r="AB417" s="1">
        <v>84.02202162822951</v>
      </c>
      <c r="AC417" s="1">
        <v>101.78077976073585</v>
      </c>
      <c r="AD417" s="1">
        <v>122.77345062885132</v>
      </c>
      <c r="AE417" s="1">
        <v>95.347026242688671</v>
      </c>
      <c r="AF417" s="1">
        <v>104.07019205768545</v>
      </c>
      <c r="AG417" s="1">
        <v>100</v>
      </c>
      <c r="AH417" s="1">
        <v>95.492997296199022</v>
      </c>
      <c r="AI417" s="1">
        <v>110.84179946920892</v>
      </c>
      <c r="AJ417" s="1">
        <v>101.4355028770963</v>
      </c>
      <c r="AK417" s="1">
        <v>91.429490320893578</v>
      </c>
      <c r="AL417" s="1">
        <v>107.28447653009242</v>
      </c>
      <c r="AM417" s="1">
        <v>116.7028707921346</v>
      </c>
      <c r="AN417" s="1">
        <v>104.6537395229083</v>
      </c>
      <c r="AO417" s="1">
        <v>100.77418803761337</v>
      </c>
      <c r="AP417" s="1">
        <v>102.5509349821122</v>
      </c>
      <c r="AQ417" s="1">
        <v>93.558901743626024</v>
      </c>
      <c r="AR417" s="1">
        <v>102.85663702937894</v>
      </c>
      <c r="AS417" s="1">
        <v>98.030598797123588</v>
      </c>
      <c r="AT417" s="1">
        <v>111.8045689919972</v>
      </c>
      <c r="AU417" s="1">
        <v>92.683083360025861</v>
      </c>
      <c r="AV417" s="1">
        <v>99.900323214082661</v>
      </c>
      <c r="AW417" s="1">
        <v>100</v>
      </c>
      <c r="AX417" s="1">
        <v>100</v>
      </c>
      <c r="AY417" s="1">
        <v>100</v>
      </c>
      <c r="AZ417" s="1">
        <v>100</v>
      </c>
      <c r="BA417" s="1">
        <v>100</v>
      </c>
      <c r="BB417" s="1">
        <v>100</v>
      </c>
      <c r="BC417" s="1">
        <v>100</v>
      </c>
      <c r="BD417" s="1">
        <v>100</v>
      </c>
      <c r="BE417" s="1">
        <v>100</v>
      </c>
      <c r="BF417" s="1">
        <v>100</v>
      </c>
      <c r="BG417" s="1">
        <v>100</v>
      </c>
      <c r="BH417" s="1">
        <v>100</v>
      </c>
    </row>
    <row r="418" spans="1:60" x14ac:dyDescent="0.25">
      <c r="A418">
        <f t="shared" si="7"/>
        <v>405</v>
      </c>
      <c r="B418" s="1">
        <v>100.78264303424511</v>
      </c>
      <c r="C418" s="1">
        <v>94.353173132071191</v>
      </c>
      <c r="D418" s="1">
        <v>97.69521325787963</v>
      </c>
      <c r="E418" s="1">
        <v>119.51170313733628</v>
      </c>
      <c r="F418" s="1">
        <v>95.932799101521084</v>
      </c>
      <c r="G418" s="1">
        <v>101.20264176422626</v>
      </c>
      <c r="H418" s="1">
        <v>102.6264770510757</v>
      </c>
      <c r="I418" s="1">
        <v>91.499563034783122</v>
      </c>
      <c r="J418" s="1">
        <v>109.73261611443155</v>
      </c>
      <c r="K418" s="1">
        <v>106.16590636000029</v>
      </c>
      <c r="L418" s="1">
        <v>95.69663892742183</v>
      </c>
      <c r="M418" s="1">
        <v>96.715943522481638</v>
      </c>
      <c r="N418" s="1">
        <v>100.569362444262</v>
      </c>
      <c r="O418" s="1">
        <v>74.351358698164333</v>
      </c>
      <c r="P418" s="1">
        <v>91.6862704297411</v>
      </c>
      <c r="Q418" s="1">
        <v>100</v>
      </c>
      <c r="R418" s="1">
        <v>98.539127000430625</v>
      </c>
      <c r="S418" s="1">
        <v>103.50716224449451</v>
      </c>
      <c r="T418" s="1">
        <v>99.618396463536698</v>
      </c>
      <c r="U418" s="1">
        <v>100.96372424684154</v>
      </c>
      <c r="V418" s="1">
        <v>97.662914082816272</v>
      </c>
      <c r="W418" s="1">
        <v>102.20284750979505</v>
      </c>
      <c r="X418" s="1">
        <v>98.938308797866256</v>
      </c>
      <c r="Y418" s="1">
        <v>95.206748809243749</v>
      </c>
      <c r="Z418" s="1">
        <v>86.852744311290479</v>
      </c>
      <c r="AA418" s="1">
        <v>96.697105376186386</v>
      </c>
      <c r="AB418" s="1">
        <v>81.331848753707845</v>
      </c>
      <c r="AC418" s="1">
        <v>101.78077976073585</v>
      </c>
      <c r="AD418" s="1">
        <v>122.77345062885132</v>
      </c>
      <c r="AE418" s="1">
        <v>98.51592702809991</v>
      </c>
      <c r="AF418" s="1">
        <v>104.07019205768545</v>
      </c>
      <c r="AG418" s="1">
        <v>100</v>
      </c>
      <c r="AH418" s="1">
        <v>95.492997296199022</v>
      </c>
      <c r="AI418" s="1">
        <v>110.84179946920892</v>
      </c>
      <c r="AJ418" s="1">
        <v>101.4355028770963</v>
      </c>
      <c r="AK418" s="1">
        <v>91.429490320893578</v>
      </c>
      <c r="AL418" s="1">
        <v>110.10077648437642</v>
      </c>
      <c r="AM418" s="1">
        <v>116.7028707921346</v>
      </c>
      <c r="AN418" s="1">
        <v>104.6537395229083</v>
      </c>
      <c r="AO418" s="1">
        <v>100.77418803761337</v>
      </c>
      <c r="AP418" s="1">
        <v>102.5509349821122</v>
      </c>
      <c r="AQ418" s="1">
        <v>93.558901743626024</v>
      </c>
      <c r="AR418" s="1">
        <v>102.85663702937894</v>
      </c>
      <c r="AS418" s="1">
        <v>98.030598797123588</v>
      </c>
      <c r="AT418" s="1">
        <v>111.8045689919972</v>
      </c>
      <c r="AU418" s="1">
        <v>92.683083360025861</v>
      </c>
      <c r="AV418" s="1">
        <v>99.900323214082661</v>
      </c>
      <c r="AW418" s="1">
        <v>100</v>
      </c>
      <c r="AX418" s="1">
        <v>100</v>
      </c>
      <c r="AY418" s="1">
        <v>100</v>
      </c>
      <c r="AZ418" s="1">
        <v>100</v>
      </c>
      <c r="BA418" s="1">
        <v>100</v>
      </c>
      <c r="BB418" s="1">
        <v>100</v>
      </c>
      <c r="BC418" s="1">
        <v>100</v>
      </c>
      <c r="BD418" s="1">
        <v>100</v>
      </c>
      <c r="BE418" s="1">
        <v>100</v>
      </c>
      <c r="BF418" s="1">
        <v>100</v>
      </c>
      <c r="BG418" s="1">
        <v>100</v>
      </c>
      <c r="BH418" s="1">
        <v>100</v>
      </c>
    </row>
    <row r="419" spans="1:60" x14ac:dyDescent="0.25">
      <c r="A419">
        <f t="shared" si="7"/>
        <v>406</v>
      </c>
      <c r="B419" s="1">
        <v>100.78264303424511</v>
      </c>
      <c r="C419" s="1">
        <v>94.353173132071191</v>
      </c>
      <c r="D419" s="1">
        <v>97.69521325787963</v>
      </c>
      <c r="E419" s="1">
        <v>119.51170313733628</v>
      </c>
      <c r="F419" s="1">
        <v>95.932799101521084</v>
      </c>
      <c r="G419" s="1">
        <v>101.20264176422626</v>
      </c>
      <c r="H419" s="1">
        <v>102.6264770510757</v>
      </c>
      <c r="I419" s="1">
        <v>91.499563034783122</v>
      </c>
      <c r="J419" s="1">
        <v>109.73261611443155</v>
      </c>
      <c r="K419" s="1">
        <v>106.16590636000029</v>
      </c>
      <c r="L419" s="1">
        <v>95.69663892742183</v>
      </c>
      <c r="M419" s="1">
        <v>96.715943522481638</v>
      </c>
      <c r="N419" s="1">
        <v>100.569362444262</v>
      </c>
      <c r="O419" s="1">
        <v>74.351358698164333</v>
      </c>
      <c r="P419" s="1">
        <v>91.6862704297411</v>
      </c>
      <c r="Q419" s="1">
        <v>100</v>
      </c>
      <c r="R419" s="1">
        <v>98.539127000430625</v>
      </c>
      <c r="S419" s="1">
        <v>103.50716224449451</v>
      </c>
      <c r="T419" s="1">
        <v>99.450163850085758</v>
      </c>
      <c r="U419" s="1">
        <v>100.96372424684154</v>
      </c>
      <c r="V419" s="1">
        <v>97.662914082816272</v>
      </c>
      <c r="W419" s="1">
        <v>102.20284750979505</v>
      </c>
      <c r="X419" s="1">
        <v>98.938308797866256</v>
      </c>
      <c r="Y419" s="1">
        <v>95.206748809243749</v>
      </c>
      <c r="Z419" s="1">
        <v>86.852744311290479</v>
      </c>
      <c r="AA419" s="1">
        <v>96.697105376186386</v>
      </c>
      <c r="AB419" s="1">
        <v>81.194497923355527</v>
      </c>
      <c r="AC419" s="1">
        <v>101.78077976073585</v>
      </c>
      <c r="AD419" s="1">
        <v>122.77345062885132</v>
      </c>
      <c r="AE419" s="1">
        <v>98.677203540848069</v>
      </c>
      <c r="AF419" s="1">
        <v>104.07019205768545</v>
      </c>
      <c r="AG419" s="1">
        <v>100</v>
      </c>
      <c r="AH419" s="1">
        <v>95.492997296199022</v>
      </c>
      <c r="AI419" s="1">
        <v>110.84179946920892</v>
      </c>
      <c r="AJ419" s="1">
        <v>101.4355028770963</v>
      </c>
      <c r="AK419" s="1">
        <v>91.429490320893578</v>
      </c>
      <c r="AL419" s="1">
        <v>110.24508341543152</v>
      </c>
      <c r="AM419" s="1">
        <v>116.7028707921346</v>
      </c>
      <c r="AN419" s="1">
        <v>104.6537395229083</v>
      </c>
      <c r="AO419" s="1">
        <v>100.77418803761337</v>
      </c>
      <c r="AP419" s="1">
        <v>102.5509349821122</v>
      </c>
      <c r="AQ419" s="1">
        <v>93.558901743626024</v>
      </c>
      <c r="AR419" s="1">
        <v>102.85663702937894</v>
      </c>
      <c r="AS419" s="1">
        <v>98.030598797123588</v>
      </c>
      <c r="AT419" s="1">
        <v>111.8045689919972</v>
      </c>
      <c r="AU419" s="1">
        <v>92.683083360025861</v>
      </c>
      <c r="AV419" s="1">
        <v>99.900323214082661</v>
      </c>
      <c r="AW419" s="1">
        <v>100</v>
      </c>
      <c r="AX419" s="1">
        <v>100</v>
      </c>
      <c r="AY419" s="1">
        <v>100</v>
      </c>
      <c r="AZ419" s="1">
        <v>100</v>
      </c>
      <c r="BA419" s="1">
        <v>100</v>
      </c>
      <c r="BB419" s="1">
        <v>100</v>
      </c>
      <c r="BC419" s="1">
        <v>100</v>
      </c>
      <c r="BD419" s="1">
        <v>100</v>
      </c>
      <c r="BE419" s="1">
        <v>100</v>
      </c>
      <c r="BF419" s="1">
        <v>100</v>
      </c>
      <c r="BG419" s="1">
        <v>100</v>
      </c>
      <c r="BH419" s="1">
        <v>100</v>
      </c>
    </row>
    <row r="420" spans="1:60" x14ac:dyDescent="0.25">
      <c r="A420">
        <f t="shared" si="7"/>
        <v>407</v>
      </c>
      <c r="B420" s="1">
        <v>99.398383088192901</v>
      </c>
      <c r="C420" s="1">
        <v>94.353173132071191</v>
      </c>
      <c r="D420" s="1">
        <v>97.69521325787963</v>
      </c>
      <c r="E420" s="1">
        <v>117.87019762848311</v>
      </c>
      <c r="F420" s="1">
        <v>95.932799101521084</v>
      </c>
      <c r="G420" s="1">
        <v>101.20264176422626</v>
      </c>
      <c r="H420" s="1">
        <v>102.6264770510757</v>
      </c>
      <c r="I420" s="1">
        <v>91.499563034783122</v>
      </c>
      <c r="J420" s="1">
        <v>109.73261611443155</v>
      </c>
      <c r="K420" s="1">
        <v>106.16590636000029</v>
      </c>
      <c r="L420" s="1">
        <v>95.69663892742183</v>
      </c>
      <c r="M420" s="1">
        <v>96.715943522481638</v>
      </c>
      <c r="N420" s="1">
        <v>100.569362444262</v>
      </c>
      <c r="O420" s="1">
        <v>74.351358698164333</v>
      </c>
      <c r="P420" s="1">
        <v>91.6862704297411</v>
      </c>
      <c r="Q420" s="1">
        <v>100</v>
      </c>
      <c r="R420" s="1">
        <v>98.539127000430625</v>
      </c>
      <c r="S420" s="1">
        <v>103.50716224449451</v>
      </c>
      <c r="T420" s="1">
        <v>99.450163850085758</v>
      </c>
      <c r="U420" s="1">
        <v>100.96372424684154</v>
      </c>
      <c r="V420" s="1">
        <v>97.662914082816272</v>
      </c>
      <c r="W420" s="1">
        <v>102.20284750979505</v>
      </c>
      <c r="X420" s="1">
        <v>98.938308797866256</v>
      </c>
      <c r="Y420" s="1">
        <v>95.206748809243749</v>
      </c>
      <c r="Z420" s="1">
        <v>86.852744311290479</v>
      </c>
      <c r="AA420" s="1">
        <v>96.697105376186386</v>
      </c>
      <c r="AB420" s="1">
        <v>81.194497923355527</v>
      </c>
      <c r="AC420" s="1">
        <v>103.21260941065916</v>
      </c>
      <c r="AD420" s="1">
        <v>122.77345062885132</v>
      </c>
      <c r="AE420" s="1">
        <v>98.677203540848069</v>
      </c>
      <c r="AF420" s="1">
        <v>104.07019205768545</v>
      </c>
      <c r="AG420" s="1">
        <v>100</v>
      </c>
      <c r="AH420" s="1">
        <v>95.492997296199022</v>
      </c>
      <c r="AI420" s="1">
        <v>110.84179946920892</v>
      </c>
      <c r="AJ420" s="1">
        <v>101.4355028770963</v>
      </c>
      <c r="AK420" s="1">
        <v>93.023426125875659</v>
      </c>
      <c r="AL420" s="1">
        <v>110.24508341543152</v>
      </c>
      <c r="AM420" s="1">
        <v>116.7028707921346</v>
      </c>
      <c r="AN420" s="1">
        <v>104.6537395229083</v>
      </c>
      <c r="AO420" s="1">
        <v>100.77418803761337</v>
      </c>
      <c r="AP420" s="1">
        <v>102.5509349821122</v>
      </c>
      <c r="AQ420" s="1">
        <v>93.558901743626024</v>
      </c>
      <c r="AR420" s="1">
        <v>102.85663702937894</v>
      </c>
      <c r="AS420" s="1">
        <v>98.030598797123588</v>
      </c>
      <c r="AT420" s="1">
        <v>111.8045689919972</v>
      </c>
      <c r="AU420" s="1">
        <v>92.683083360025861</v>
      </c>
      <c r="AV420" s="1">
        <v>99.900323214082661</v>
      </c>
      <c r="AW420" s="1">
        <v>100</v>
      </c>
      <c r="AX420" s="1">
        <v>100</v>
      </c>
      <c r="AY420" s="1">
        <v>100</v>
      </c>
      <c r="AZ420" s="1">
        <v>100</v>
      </c>
      <c r="BA420" s="1">
        <v>100</v>
      </c>
      <c r="BB420" s="1">
        <v>100</v>
      </c>
      <c r="BC420" s="1">
        <v>100</v>
      </c>
      <c r="BD420" s="1">
        <v>100</v>
      </c>
      <c r="BE420" s="1">
        <v>100</v>
      </c>
      <c r="BF420" s="1">
        <v>100</v>
      </c>
      <c r="BG420" s="1">
        <v>100</v>
      </c>
      <c r="BH420" s="1">
        <v>100</v>
      </c>
    </row>
    <row r="421" spans="1:60" x14ac:dyDescent="0.25">
      <c r="A421">
        <f t="shared" si="7"/>
        <v>408</v>
      </c>
      <c r="B421" s="1">
        <v>100.52361617736419</v>
      </c>
      <c r="C421" s="1">
        <v>94.353173132071191</v>
      </c>
      <c r="D421" s="1">
        <v>97.69521325787963</v>
      </c>
      <c r="E421" s="1">
        <v>118.81909185205512</v>
      </c>
      <c r="F421" s="1">
        <v>95.932799101521084</v>
      </c>
      <c r="G421" s="1">
        <v>101.20264176422626</v>
      </c>
      <c r="H421" s="1">
        <v>102.6264770510757</v>
      </c>
      <c r="I421" s="1">
        <v>91.499563034783122</v>
      </c>
      <c r="J421" s="1">
        <v>109.73261611443155</v>
      </c>
      <c r="K421" s="1">
        <v>106.16590636000029</v>
      </c>
      <c r="L421" s="1">
        <v>95.69663892742183</v>
      </c>
      <c r="M421" s="1">
        <v>96.715943522481638</v>
      </c>
      <c r="N421" s="1">
        <v>100.569362444262</v>
      </c>
      <c r="O421" s="1">
        <v>74.351358698164333</v>
      </c>
      <c r="P421" s="1">
        <v>91.6862704297411</v>
      </c>
      <c r="Q421" s="1">
        <v>100</v>
      </c>
      <c r="R421" s="1">
        <v>98.539127000430625</v>
      </c>
      <c r="S421" s="1">
        <v>103.50716224449451</v>
      </c>
      <c r="T421" s="1">
        <v>99.450163850085758</v>
      </c>
      <c r="U421" s="1">
        <v>100.96372424684154</v>
      </c>
      <c r="V421" s="1">
        <v>97.662914082816272</v>
      </c>
      <c r="W421" s="1">
        <v>102.20284750979505</v>
      </c>
      <c r="X421" s="1">
        <v>98.938308797866256</v>
      </c>
      <c r="Y421" s="1">
        <v>95.206748809243749</v>
      </c>
      <c r="Z421" s="1">
        <v>86.852744311290479</v>
      </c>
      <c r="AA421" s="1">
        <v>96.697105376186386</v>
      </c>
      <c r="AB421" s="1">
        <v>81.194497923355527</v>
      </c>
      <c r="AC421" s="1">
        <v>102.12169819441469</v>
      </c>
      <c r="AD421" s="1">
        <v>122.77345062885132</v>
      </c>
      <c r="AE421" s="1">
        <v>98.677203540848069</v>
      </c>
      <c r="AF421" s="1">
        <v>104.07019205768545</v>
      </c>
      <c r="AG421" s="1">
        <v>100</v>
      </c>
      <c r="AH421" s="1">
        <v>95.492997296199022</v>
      </c>
      <c r="AI421" s="1">
        <v>110.84179946920892</v>
      </c>
      <c r="AJ421" s="1">
        <v>101.4355028770963</v>
      </c>
      <c r="AK421" s="1">
        <v>92.040210029376837</v>
      </c>
      <c r="AL421" s="1">
        <v>110.24508341543152</v>
      </c>
      <c r="AM421" s="1">
        <v>116.7028707921346</v>
      </c>
      <c r="AN421" s="1">
        <v>104.6537395229083</v>
      </c>
      <c r="AO421" s="1">
        <v>100.77418803761337</v>
      </c>
      <c r="AP421" s="1">
        <v>102.5509349821122</v>
      </c>
      <c r="AQ421" s="1">
        <v>93.558901743626024</v>
      </c>
      <c r="AR421" s="1">
        <v>102.85663702937894</v>
      </c>
      <c r="AS421" s="1">
        <v>98.030598797123588</v>
      </c>
      <c r="AT421" s="1">
        <v>111.8045689919972</v>
      </c>
      <c r="AU421" s="1">
        <v>92.683083360025861</v>
      </c>
      <c r="AV421" s="1">
        <v>99.900323214082661</v>
      </c>
      <c r="AW421" s="1">
        <v>100</v>
      </c>
      <c r="AX421" s="1">
        <v>100</v>
      </c>
      <c r="AY421" s="1">
        <v>100</v>
      </c>
      <c r="AZ421" s="1">
        <v>100</v>
      </c>
      <c r="BA421" s="1">
        <v>100</v>
      </c>
      <c r="BB421" s="1">
        <v>100</v>
      </c>
      <c r="BC421" s="1">
        <v>100</v>
      </c>
      <c r="BD421" s="1">
        <v>100</v>
      </c>
      <c r="BE421" s="1">
        <v>100</v>
      </c>
      <c r="BF421" s="1">
        <v>100</v>
      </c>
      <c r="BG421" s="1">
        <v>100</v>
      </c>
      <c r="BH421" s="1">
        <v>100</v>
      </c>
    </row>
    <row r="422" spans="1:60" x14ac:dyDescent="0.25">
      <c r="A422">
        <f t="shared" si="7"/>
        <v>409</v>
      </c>
      <c r="B422" s="1">
        <v>102.14770525660063</v>
      </c>
      <c r="C422" s="1">
        <v>94.353173132071191</v>
      </c>
      <c r="D422" s="1">
        <v>97.69521325787963</v>
      </c>
      <c r="E422" s="1">
        <v>118.81909185205512</v>
      </c>
      <c r="F422" s="1">
        <v>95.932799101521084</v>
      </c>
      <c r="G422" s="1">
        <v>101.20264176422626</v>
      </c>
      <c r="H422" s="1">
        <v>102.6264770510757</v>
      </c>
      <c r="I422" s="1">
        <v>91.499563034783122</v>
      </c>
      <c r="J422" s="1">
        <v>109.73261611443155</v>
      </c>
      <c r="K422" s="1">
        <v>106.16590636000029</v>
      </c>
      <c r="L422" s="1">
        <v>95.69663892742183</v>
      </c>
      <c r="M422" s="1">
        <v>96.715943522481638</v>
      </c>
      <c r="N422" s="1">
        <v>100.569362444262</v>
      </c>
      <c r="O422" s="1">
        <v>73.103958555744029</v>
      </c>
      <c r="P422" s="1">
        <v>91.6862704297411</v>
      </c>
      <c r="Q422" s="1">
        <v>100</v>
      </c>
      <c r="R422" s="1">
        <v>98.539127000430625</v>
      </c>
      <c r="S422" s="1">
        <v>103.50716224449451</v>
      </c>
      <c r="T422" s="1">
        <v>99.450163850085758</v>
      </c>
      <c r="U422" s="1">
        <v>100.96372424684154</v>
      </c>
      <c r="V422" s="1">
        <v>97.662914082816272</v>
      </c>
      <c r="W422" s="1">
        <v>102.20284750979505</v>
      </c>
      <c r="X422" s="1">
        <v>98.938308797866256</v>
      </c>
      <c r="Y422" s="1">
        <v>95.206748809243749</v>
      </c>
      <c r="Z422" s="1">
        <v>86.852744311290479</v>
      </c>
      <c r="AA422" s="1">
        <v>96.697105376186386</v>
      </c>
      <c r="AB422" s="1">
        <v>81.194497923355527</v>
      </c>
      <c r="AC422" s="1">
        <v>102.12169819441469</v>
      </c>
      <c r="AD422" s="1">
        <v>122.77345062885132</v>
      </c>
      <c r="AE422" s="1">
        <v>98.677203540848069</v>
      </c>
      <c r="AF422" s="1">
        <v>104.07019205768545</v>
      </c>
      <c r="AG422" s="1">
        <v>100</v>
      </c>
      <c r="AH422" s="1">
        <v>95.492997296199022</v>
      </c>
      <c r="AI422" s="1">
        <v>112.31470326561801</v>
      </c>
      <c r="AJ422" s="1">
        <v>101.4355028770963</v>
      </c>
      <c r="AK422" s="1">
        <v>92.040210029376837</v>
      </c>
      <c r="AL422" s="1">
        <v>108.3954906822063</v>
      </c>
      <c r="AM422" s="1">
        <v>116.7028707921346</v>
      </c>
      <c r="AN422" s="1">
        <v>104.6537395229083</v>
      </c>
      <c r="AO422" s="1">
        <v>100.77418803761337</v>
      </c>
      <c r="AP422" s="1">
        <v>102.5509349821122</v>
      </c>
      <c r="AQ422" s="1">
        <v>93.558901743626024</v>
      </c>
      <c r="AR422" s="1">
        <v>102.85663702937894</v>
      </c>
      <c r="AS422" s="1">
        <v>98.030598797123588</v>
      </c>
      <c r="AT422" s="1">
        <v>111.8045689919972</v>
      </c>
      <c r="AU422" s="1">
        <v>92.683083360025861</v>
      </c>
      <c r="AV422" s="1">
        <v>99.900323214082661</v>
      </c>
      <c r="AW422" s="1">
        <v>100</v>
      </c>
      <c r="AX422" s="1">
        <v>100</v>
      </c>
      <c r="AY422" s="1">
        <v>100</v>
      </c>
      <c r="AZ422" s="1">
        <v>100</v>
      </c>
      <c r="BA422" s="1">
        <v>100</v>
      </c>
      <c r="BB422" s="1">
        <v>100</v>
      </c>
      <c r="BC422" s="1">
        <v>100</v>
      </c>
      <c r="BD422" s="1">
        <v>100</v>
      </c>
      <c r="BE422" s="1">
        <v>100</v>
      </c>
      <c r="BF422" s="1">
        <v>100</v>
      </c>
      <c r="BG422" s="1">
        <v>100</v>
      </c>
      <c r="BH422" s="1">
        <v>100</v>
      </c>
    </row>
    <row r="423" spans="1:60" x14ac:dyDescent="0.25">
      <c r="A423">
        <f t="shared" si="7"/>
        <v>410</v>
      </c>
      <c r="B423" s="1">
        <v>100.88912097936712</v>
      </c>
      <c r="C423" s="1">
        <v>94.353173132071191</v>
      </c>
      <c r="D423" s="1">
        <v>97.69521325787963</v>
      </c>
      <c r="E423" s="1">
        <v>118.81909185205512</v>
      </c>
      <c r="F423" s="1">
        <v>95.932799101521084</v>
      </c>
      <c r="G423" s="1">
        <v>101.20264176422626</v>
      </c>
      <c r="H423" s="1">
        <v>102.6264770510757</v>
      </c>
      <c r="I423" s="1">
        <v>91.499563034783122</v>
      </c>
      <c r="J423" s="1">
        <v>109.73261611443155</v>
      </c>
      <c r="K423" s="1">
        <v>106.16590636000029</v>
      </c>
      <c r="L423" s="1">
        <v>95.69663892742183</v>
      </c>
      <c r="M423" s="1">
        <v>96.715943522481638</v>
      </c>
      <c r="N423" s="1">
        <v>100.569362444262</v>
      </c>
      <c r="O423" s="1">
        <v>74.682081269288389</v>
      </c>
      <c r="P423" s="1">
        <v>91.6862704297411</v>
      </c>
      <c r="Q423" s="1">
        <v>100</v>
      </c>
      <c r="R423" s="1">
        <v>98.539127000430625</v>
      </c>
      <c r="S423" s="1">
        <v>103.50716224449451</v>
      </c>
      <c r="T423" s="1">
        <v>99.450163850085758</v>
      </c>
      <c r="U423" s="1">
        <v>100.96372424684154</v>
      </c>
      <c r="V423" s="1">
        <v>97.662914082816272</v>
      </c>
      <c r="W423" s="1">
        <v>102.20284750979505</v>
      </c>
      <c r="X423" s="1">
        <v>98.938308797866256</v>
      </c>
      <c r="Y423" s="1">
        <v>95.206748809243749</v>
      </c>
      <c r="Z423" s="1">
        <v>86.852744311290479</v>
      </c>
      <c r="AA423" s="1">
        <v>96.697105376186386</v>
      </c>
      <c r="AB423" s="1">
        <v>81.194497923355527</v>
      </c>
      <c r="AC423" s="1">
        <v>102.12169819441469</v>
      </c>
      <c r="AD423" s="1">
        <v>122.77345062885132</v>
      </c>
      <c r="AE423" s="1">
        <v>98.677203540848069</v>
      </c>
      <c r="AF423" s="1">
        <v>104.07019205768545</v>
      </c>
      <c r="AG423" s="1">
        <v>100</v>
      </c>
      <c r="AH423" s="1">
        <v>95.492997296199022</v>
      </c>
      <c r="AI423" s="1">
        <v>110.93084917631512</v>
      </c>
      <c r="AJ423" s="1">
        <v>101.4355028770963</v>
      </c>
      <c r="AK423" s="1">
        <v>92.040210029376837</v>
      </c>
      <c r="AL423" s="1">
        <v>109.45980633519834</v>
      </c>
      <c r="AM423" s="1">
        <v>116.7028707921346</v>
      </c>
      <c r="AN423" s="1">
        <v>104.6537395229083</v>
      </c>
      <c r="AO423" s="1">
        <v>100.77418803761337</v>
      </c>
      <c r="AP423" s="1">
        <v>102.5509349821122</v>
      </c>
      <c r="AQ423" s="1">
        <v>93.558901743626024</v>
      </c>
      <c r="AR423" s="1">
        <v>102.85663702937894</v>
      </c>
      <c r="AS423" s="1">
        <v>98.030598797123588</v>
      </c>
      <c r="AT423" s="1">
        <v>111.8045689919972</v>
      </c>
      <c r="AU423" s="1">
        <v>92.683083360025861</v>
      </c>
      <c r="AV423" s="1">
        <v>99.900323214082661</v>
      </c>
      <c r="AW423" s="1">
        <v>100</v>
      </c>
      <c r="AX423" s="1">
        <v>100</v>
      </c>
      <c r="AY423" s="1">
        <v>100</v>
      </c>
      <c r="AZ423" s="1">
        <v>100</v>
      </c>
      <c r="BA423" s="1">
        <v>100</v>
      </c>
      <c r="BB423" s="1">
        <v>100</v>
      </c>
      <c r="BC423" s="1">
        <v>100</v>
      </c>
      <c r="BD423" s="1">
        <v>100</v>
      </c>
      <c r="BE423" s="1">
        <v>100</v>
      </c>
      <c r="BF423" s="1">
        <v>100</v>
      </c>
      <c r="BG423" s="1">
        <v>100</v>
      </c>
      <c r="BH423" s="1">
        <v>100</v>
      </c>
    </row>
    <row r="424" spans="1:60" x14ac:dyDescent="0.25">
      <c r="A424">
        <f t="shared" si="7"/>
        <v>411</v>
      </c>
      <c r="B424" s="1">
        <v>100.88912097936712</v>
      </c>
      <c r="C424" s="1">
        <v>94.353173132071191</v>
      </c>
      <c r="D424" s="1">
        <v>97.69521325787963</v>
      </c>
      <c r="E424" s="1">
        <v>118.81909185205512</v>
      </c>
      <c r="F424" s="1">
        <v>95.932799101521084</v>
      </c>
      <c r="G424" s="1">
        <v>101.20264176422626</v>
      </c>
      <c r="H424" s="1">
        <v>102.6264770510757</v>
      </c>
      <c r="I424" s="1">
        <v>91.499563034783122</v>
      </c>
      <c r="J424" s="1">
        <v>109.73261611443155</v>
      </c>
      <c r="K424" s="1">
        <v>106.16590636000029</v>
      </c>
      <c r="L424" s="1">
        <v>95.69663892742183</v>
      </c>
      <c r="M424" s="1">
        <v>96.715943522481638</v>
      </c>
      <c r="N424" s="1">
        <v>100.95831243015506</v>
      </c>
      <c r="O424" s="1">
        <v>74.682081269288389</v>
      </c>
      <c r="P424" s="1">
        <v>91.6862704297411</v>
      </c>
      <c r="Q424" s="1">
        <v>100</v>
      </c>
      <c r="R424" s="1">
        <v>98.539127000430625</v>
      </c>
      <c r="S424" s="1">
        <v>103.11150289540886</v>
      </c>
      <c r="T424" s="1">
        <v>99.450163850085758</v>
      </c>
      <c r="U424" s="1">
        <v>100.96372424684154</v>
      </c>
      <c r="V424" s="1">
        <v>97.662914082816272</v>
      </c>
      <c r="W424" s="1">
        <v>102.20284750979505</v>
      </c>
      <c r="X424" s="1">
        <v>98.938308797866256</v>
      </c>
      <c r="Y424" s="1">
        <v>95.206748809243749</v>
      </c>
      <c r="Z424" s="1">
        <v>86.852744311290479</v>
      </c>
      <c r="AA424" s="1">
        <v>96.697105376186386</v>
      </c>
      <c r="AB424" s="1">
        <v>81.194497923355527</v>
      </c>
      <c r="AC424" s="1">
        <v>102.12169819441469</v>
      </c>
      <c r="AD424" s="1">
        <v>122.77345062885132</v>
      </c>
      <c r="AE424" s="1">
        <v>98.677203540848069</v>
      </c>
      <c r="AF424" s="1">
        <v>104.07019205768545</v>
      </c>
      <c r="AG424" s="1">
        <v>100</v>
      </c>
      <c r="AH424" s="1">
        <v>95.492997296199022</v>
      </c>
      <c r="AI424" s="1">
        <v>110.93084917631512</v>
      </c>
      <c r="AJ424" s="1">
        <v>101.4355028770963</v>
      </c>
      <c r="AK424" s="1">
        <v>92.040210029376837</v>
      </c>
      <c r="AL424" s="1">
        <v>109.45980633519834</v>
      </c>
      <c r="AM424" s="1">
        <v>116.7028707921346</v>
      </c>
      <c r="AN424" s="1">
        <v>104.6537395229083</v>
      </c>
      <c r="AO424" s="1">
        <v>100.77418803761337</v>
      </c>
      <c r="AP424" s="1">
        <v>102.93236936016827</v>
      </c>
      <c r="AQ424" s="1">
        <v>93.558901743626024</v>
      </c>
      <c r="AR424" s="1">
        <v>102.85663702937894</v>
      </c>
      <c r="AS424" s="1">
        <v>97.655873782260102</v>
      </c>
      <c r="AT424" s="1">
        <v>111.8045689919972</v>
      </c>
      <c r="AU424" s="1">
        <v>92.683083360025861</v>
      </c>
      <c r="AV424" s="1">
        <v>99.900323214082661</v>
      </c>
      <c r="AW424" s="1">
        <v>100</v>
      </c>
      <c r="AX424" s="1">
        <v>100</v>
      </c>
      <c r="AY424" s="1">
        <v>100</v>
      </c>
      <c r="AZ424" s="1">
        <v>100</v>
      </c>
      <c r="BA424" s="1">
        <v>100</v>
      </c>
      <c r="BB424" s="1">
        <v>100</v>
      </c>
      <c r="BC424" s="1">
        <v>100</v>
      </c>
      <c r="BD424" s="1">
        <v>100</v>
      </c>
      <c r="BE424" s="1">
        <v>100</v>
      </c>
      <c r="BF424" s="1">
        <v>100</v>
      </c>
      <c r="BG424" s="1">
        <v>100</v>
      </c>
      <c r="BH424" s="1">
        <v>100</v>
      </c>
    </row>
    <row r="425" spans="1:60" x14ac:dyDescent="0.25">
      <c r="A425">
        <f t="shared" si="7"/>
        <v>412</v>
      </c>
      <c r="B425" s="1">
        <v>100.88912097936712</v>
      </c>
      <c r="C425" s="1">
        <v>94.353173132071191</v>
      </c>
      <c r="D425" s="1">
        <v>97.69521325787963</v>
      </c>
      <c r="E425" s="1">
        <v>118.81909185205512</v>
      </c>
      <c r="F425" s="1">
        <v>95.932799101521084</v>
      </c>
      <c r="G425" s="1">
        <v>101.20264176422626</v>
      </c>
      <c r="H425" s="1">
        <v>102.6264770510757</v>
      </c>
      <c r="I425" s="1">
        <v>91.499563034783122</v>
      </c>
      <c r="J425" s="1">
        <v>109.73261611443155</v>
      </c>
      <c r="K425" s="1">
        <v>106.16590636000029</v>
      </c>
      <c r="L425" s="1">
        <v>95.69663892742183</v>
      </c>
      <c r="M425" s="1">
        <v>96.715943522481638</v>
      </c>
      <c r="N425" s="1">
        <v>100.04773223105254</v>
      </c>
      <c r="O425" s="1">
        <v>74.682081269288389</v>
      </c>
      <c r="P425" s="1">
        <v>91.6862704297411</v>
      </c>
      <c r="Q425" s="1">
        <v>100</v>
      </c>
      <c r="R425" s="1">
        <v>98.539127000430625</v>
      </c>
      <c r="S425" s="1">
        <v>104.00599955629987</v>
      </c>
      <c r="T425" s="1">
        <v>99.450163850085758</v>
      </c>
      <c r="U425" s="1">
        <v>100.96372424684154</v>
      </c>
      <c r="V425" s="1">
        <v>97.662914082816272</v>
      </c>
      <c r="W425" s="1">
        <v>102.20284750979505</v>
      </c>
      <c r="X425" s="1">
        <v>98.938308797866256</v>
      </c>
      <c r="Y425" s="1">
        <v>95.206748809243749</v>
      </c>
      <c r="Z425" s="1">
        <v>86.852744311290479</v>
      </c>
      <c r="AA425" s="1">
        <v>96.697105376186386</v>
      </c>
      <c r="AB425" s="1">
        <v>81.194497923355527</v>
      </c>
      <c r="AC425" s="1">
        <v>102.12169819441469</v>
      </c>
      <c r="AD425" s="1">
        <v>122.77345062885132</v>
      </c>
      <c r="AE425" s="1">
        <v>98.677203540848069</v>
      </c>
      <c r="AF425" s="1">
        <v>104.07019205768545</v>
      </c>
      <c r="AG425" s="1">
        <v>100</v>
      </c>
      <c r="AH425" s="1">
        <v>95.492997296199022</v>
      </c>
      <c r="AI425" s="1">
        <v>110.93084917631512</v>
      </c>
      <c r="AJ425" s="1">
        <v>101.4355028770963</v>
      </c>
      <c r="AK425" s="1">
        <v>92.040210029376837</v>
      </c>
      <c r="AL425" s="1">
        <v>109.45980633519834</v>
      </c>
      <c r="AM425" s="1">
        <v>116.7028707921346</v>
      </c>
      <c r="AN425" s="1">
        <v>104.6537395229083</v>
      </c>
      <c r="AO425" s="1">
        <v>100.77418803761337</v>
      </c>
      <c r="AP425" s="1">
        <v>102.00398441464017</v>
      </c>
      <c r="AQ425" s="1">
        <v>93.558901743626024</v>
      </c>
      <c r="AR425" s="1">
        <v>102.85663702937894</v>
      </c>
      <c r="AS425" s="1">
        <v>98.6003422659997</v>
      </c>
      <c r="AT425" s="1">
        <v>111.8045689919972</v>
      </c>
      <c r="AU425" s="1">
        <v>92.683083360025861</v>
      </c>
      <c r="AV425" s="1">
        <v>99.900323214082661</v>
      </c>
      <c r="AW425" s="1">
        <v>100</v>
      </c>
      <c r="AX425" s="1">
        <v>100</v>
      </c>
      <c r="AY425" s="1">
        <v>100</v>
      </c>
      <c r="AZ425" s="1">
        <v>100</v>
      </c>
      <c r="BA425" s="1">
        <v>100</v>
      </c>
      <c r="BB425" s="1">
        <v>100</v>
      </c>
      <c r="BC425" s="1">
        <v>100</v>
      </c>
      <c r="BD425" s="1">
        <v>100</v>
      </c>
      <c r="BE425" s="1">
        <v>100</v>
      </c>
      <c r="BF425" s="1">
        <v>100</v>
      </c>
      <c r="BG425" s="1">
        <v>100</v>
      </c>
      <c r="BH425" s="1">
        <v>100</v>
      </c>
    </row>
    <row r="426" spans="1:60" x14ac:dyDescent="0.25">
      <c r="A426">
        <f t="shared" si="7"/>
        <v>413</v>
      </c>
      <c r="B426" s="1">
        <v>100.88912097936712</v>
      </c>
      <c r="C426" s="1">
        <v>94.353173132071191</v>
      </c>
      <c r="D426" s="1">
        <v>97.69521325787963</v>
      </c>
      <c r="E426" s="1">
        <v>121.15398798365574</v>
      </c>
      <c r="F426" s="1">
        <v>95.932799101521084</v>
      </c>
      <c r="G426" s="1">
        <v>101.20264176422626</v>
      </c>
      <c r="H426" s="1">
        <v>102.6264770510757</v>
      </c>
      <c r="I426" s="1">
        <v>91.499563034783122</v>
      </c>
      <c r="J426" s="1">
        <v>109.73261611443155</v>
      </c>
      <c r="K426" s="1">
        <v>106.16590636000029</v>
      </c>
      <c r="L426" s="1">
        <v>95.69663892742183</v>
      </c>
      <c r="M426" s="1">
        <v>96.715943522481638</v>
      </c>
      <c r="N426" s="1">
        <v>100.04773223105254</v>
      </c>
      <c r="O426" s="1">
        <v>74.682081269288389</v>
      </c>
      <c r="P426" s="1">
        <v>91.6862704297411</v>
      </c>
      <c r="Q426" s="1">
        <v>100</v>
      </c>
      <c r="R426" s="1">
        <v>98.539127000430625</v>
      </c>
      <c r="S426" s="1">
        <v>104.00599955629987</v>
      </c>
      <c r="T426" s="1">
        <v>99.450163850085758</v>
      </c>
      <c r="U426" s="1">
        <v>100.96372424684154</v>
      </c>
      <c r="V426" s="1">
        <v>97.662914082816272</v>
      </c>
      <c r="W426" s="1">
        <v>102.20284750979505</v>
      </c>
      <c r="X426" s="1">
        <v>98.938308797866256</v>
      </c>
      <c r="Y426" s="1">
        <v>95.206748809243749</v>
      </c>
      <c r="Z426" s="1">
        <v>86.852744311290479</v>
      </c>
      <c r="AA426" s="1">
        <v>96.697105376186386</v>
      </c>
      <c r="AB426" s="1">
        <v>81.194497923355527</v>
      </c>
      <c r="AC426" s="1">
        <v>102.12169819441469</v>
      </c>
      <c r="AD426" s="1">
        <v>122.77345062885132</v>
      </c>
      <c r="AE426" s="1">
        <v>95.965955848054634</v>
      </c>
      <c r="AF426" s="1">
        <v>104.07019205768545</v>
      </c>
      <c r="AG426" s="1">
        <v>100</v>
      </c>
      <c r="AH426" s="1">
        <v>98.39823899748454</v>
      </c>
      <c r="AI426" s="1">
        <v>110.93084917631512</v>
      </c>
      <c r="AJ426" s="1">
        <v>101.4355028770963</v>
      </c>
      <c r="AK426" s="1">
        <v>89.511319889284138</v>
      </c>
      <c r="AL426" s="1">
        <v>109.45980633519834</v>
      </c>
      <c r="AM426" s="1">
        <v>116.7028707921346</v>
      </c>
      <c r="AN426" s="1">
        <v>104.6537395229083</v>
      </c>
      <c r="AO426" s="1">
        <v>100.77418803761337</v>
      </c>
      <c r="AP426" s="1">
        <v>102.00398441464017</v>
      </c>
      <c r="AQ426" s="1">
        <v>93.558901743626024</v>
      </c>
      <c r="AR426" s="1">
        <v>102.85663702937894</v>
      </c>
      <c r="AS426" s="1">
        <v>98.6003422659997</v>
      </c>
      <c r="AT426" s="1">
        <v>111.8045689919972</v>
      </c>
      <c r="AU426" s="1">
        <v>92.683083360025861</v>
      </c>
      <c r="AV426" s="1">
        <v>99.900323214082661</v>
      </c>
      <c r="AW426" s="1">
        <v>100</v>
      </c>
      <c r="AX426" s="1">
        <v>100</v>
      </c>
      <c r="AY426" s="1">
        <v>100</v>
      </c>
      <c r="AZ426" s="1">
        <v>100</v>
      </c>
      <c r="BA426" s="1">
        <v>100</v>
      </c>
      <c r="BB426" s="1">
        <v>100</v>
      </c>
      <c r="BC426" s="1">
        <v>100</v>
      </c>
      <c r="BD426" s="1">
        <v>100</v>
      </c>
      <c r="BE426" s="1">
        <v>100</v>
      </c>
      <c r="BF426" s="1">
        <v>100</v>
      </c>
      <c r="BG426" s="1">
        <v>100</v>
      </c>
      <c r="BH426" s="1">
        <v>100</v>
      </c>
    </row>
    <row r="427" spans="1:60" x14ac:dyDescent="0.25">
      <c r="A427">
        <f t="shared" si="7"/>
        <v>414</v>
      </c>
      <c r="B427" s="1">
        <v>100.88912097936712</v>
      </c>
      <c r="C427" s="1">
        <v>94.353173132071191</v>
      </c>
      <c r="D427" s="1">
        <v>97.69521325787963</v>
      </c>
      <c r="E427" s="1">
        <v>121.62268742500925</v>
      </c>
      <c r="F427" s="1">
        <v>95.932799101521084</v>
      </c>
      <c r="G427" s="1">
        <v>101.20264176422626</v>
      </c>
      <c r="H427" s="1">
        <v>102.6264770510757</v>
      </c>
      <c r="I427" s="1">
        <v>91.499563034783122</v>
      </c>
      <c r="J427" s="1">
        <v>109.73261611443155</v>
      </c>
      <c r="K427" s="1">
        <v>106.16590636000029</v>
      </c>
      <c r="L427" s="1">
        <v>95.69663892742183</v>
      </c>
      <c r="M427" s="1">
        <v>96.715943522481638</v>
      </c>
      <c r="N427" s="1">
        <v>100.04773223105254</v>
      </c>
      <c r="O427" s="1">
        <v>74.682081269288389</v>
      </c>
      <c r="P427" s="1">
        <v>91.6862704297411</v>
      </c>
      <c r="Q427" s="1">
        <v>100</v>
      </c>
      <c r="R427" s="1">
        <v>98.539127000430625</v>
      </c>
      <c r="S427" s="1">
        <v>104.00599955629987</v>
      </c>
      <c r="T427" s="1">
        <v>99.450163850085758</v>
      </c>
      <c r="U427" s="1">
        <v>100.96372424684154</v>
      </c>
      <c r="V427" s="1">
        <v>97.662914082816272</v>
      </c>
      <c r="W427" s="1">
        <v>102.20284750979505</v>
      </c>
      <c r="X427" s="1">
        <v>98.938308797866256</v>
      </c>
      <c r="Y427" s="1">
        <v>95.206748809243749</v>
      </c>
      <c r="Z427" s="1">
        <v>86.852744311290479</v>
      </c>
      <c r="AA427" s="1">
        <v>96.697105376186386</v>
      </c>
      <c r="AB427" s="1">
        <v>81.194497923355527</v>
      </c>
      <c r="AC427" s="1">
        <v>102.12169819441469</v>
      </c>
      <c r="AD427" s="1">
        <v>122.77345062885132</v>
      </c>
      <c r="AE427" s="1">
        <v>95.424863438877921</v>
      </c>
      <c r="AF427" s="1">
        <v>104.07019205768545</v>
      </c>
      <c r="AG427" s="1">
        <v>100</v>
      </c>
      <c r="AH427" s="1">
        <v>98.975330692053802</v>
      </c>
      <c r="AI427" s="1">
        <v>110.93084917631512</v>
      </c>
      <c r="AJ427" s="1">
        <v>101.4355028770963</v>
      </c>
      <c r="AK427" s="1">
        <v>89.006621162538096</v>
      </c>
      <c r="AL427" s="1">
        <v>109.45980633519834</v>
      </c>
      <c r="AM427" s="1">
        <v>116.7028707921346</v>
      </c>
      <c r="AN427" s="1">
        <v>104.6537395229083</v>
      </c>
      <c r="AO427" s="1">
        <v>100.77418803761337</v>
      </c>
      <c r="AP427" s="1">
        <v>102.00398441464017</v>
      </c>
      <c r="AQ427" s="1">
        <v>93.558901743626024</v>
      </c>
      <c r="AR427" s="1">
        <v>102.85663702937894</v>
      </c>
      <c r="AS427" s="1">
        <v>98.6003422659997</v>
      </c>
      <c r="AT427" s="1">
        <v>111.8045689919972</v>
      </c>
      <c r="AU427" s="1">
        <v>92.683083360025861</v>
      </c>
      <c r="AV427" s="1">
        <v>99.900323214082661</v>
      </c>
      <c r="AW427" s="1">
        <v>100</v>
      </c>
      <c r="AX427" s="1">
        <v>100</v>
      </c>
      <c r="AY427" s="1">
        <v>100</v>
      </c>
      <c r="AZ427" s="1">
        <v>100</v>
      </c>
      <c r="BA427" s="1">
        <v>100</v>
      </c>
      <c r="BB427" s="1">
        <v>100</v>
      </c>
      <c r="BC427" s="1">
        <v>100</v>
      </c>
      <c r="BD427" s="1">
        <v>100</v>
      </c>
      <c r="BE427" s="1">
        <v>100</v>
      </c>
      <c r="BF427" s="1">
        <v>100</v>
      </c>
      <c r="BG427" s="1">
        <v>100</v>
      </c>
      <c r="BH427" s="1">
        <v>100</v>
      </c>
    </row>
    <row r="428" spans="1:60" x14ac:dyDescent="0.25">
      <c r="A428">
        <f t="shared" si="7"/>
        <v>415</v>
      </c>
      <c r="B428" s="1">
        <v>100.52917062427969</v>
      </c>
      <c r="C428" s="1">
        <v>94.353173132071191</v>
      </c>
      <c r="D428" s="1">
        <v>97.69521325787963</v>
      </c>
      <c r="E428" s="1">
        <v>121.62268742500925</v>
      </c>
      <c r="F428" s="1">
        <v>95.932799101521084</v>
      </c>
      <c r="G428" s="1">
        <v>101.20264176422626</v>
      </c>
      <c r="H428" s="1">
        <v>102.6264770510757</v>
      </c>
      <c r="I428" s="1">
        <v>91.499563034783122</v>
      </c>
      <c r="J428" s="1">
        <v>109.73261611443155</v>
      </c>
      <c r="K428" s="1">
        <v>106.16590636000029</v>
      </c>
      <c r="L428" s="1">
        <v>95.69663892742183</v>
      </c>
      <c r="M428" s="1">
        <v>96.715943522481638</v>
      </c>
      <c r="N428" s="1">
        <v>100.04773223105254</v>
      </c>
      <c r="O428" s="1">
        <v>74.682081269288389</v>
      </c>
      <c r="P428" s="1">
        <v>91.6862704297411</v>
      </c>
      <c r="Q428" s="1">
        <v>100</v>
      </c>
      <c r="R428" s="1">
        <v>98.539127000430625</v>
      </c>
      <c r="S428" s="1">
        <v>104.00599955629987</v>
      </c>
      <c r="T428" s="1">
        <v>99.450163850085758</v>
      </c>
      <c r="U428" s="1">
        <v>100.96372424684154</v>
      </c>
      <c r="V428" s="1">
        <v>97.662914082816272</v>
      </c>
      <c r="W428" s="1">
        <v>102.20284750979505</v>
      </c>
      <c r="X428" s="1">
        <v>98.938308797866256</v>
      </c>
      <c r="Y428" s="1">
        <v>95.206748809243749</v>
      </c>
      <c r="Z428" s="1">
        <v>86.852744311290479</v>
      </c>
      <c r="AA428" s="1">
        <v>96.697105376186386</v>
      </c>
      <c r="AB428" s="1">
        <v>81.194497923355527</v>
      </c>
      <c r="AC428" s="1">
        <v>102.12169819441469</v>
      </c>
      <c r="AD428" s="1">
        <v>122.77345062885132</v>
      </c>
      <c r="AE428" s="1">
        <v>95.424863438877921</v>
      </c>
      <c r="AF428" s="1">
        <v>104.45759324668806</v>
      </c>
      <c r="AG428" s="1">
        <v>100</v>
      </c>
      <c r="AH428" s="1">
        <v>98.975330692053802</v>
      </c>
      <c r="AI428" s="1">
        <v>110.53507212757533</v>
      </c>
      <c r="AJ428" s="1">
        <v>101.4355028770963</v>
      </c>
      <c r="AK428" s="1">
        <v>89.006621162538096</v>
      </c>
      <c r="AL428" s="1">
        <v>109.82813255002294</v>
      </c>
      <c r="AM428" s="1">
        <v>116.7028707921346</v>
      </c>
      <c r="AN428" s="1">
        <v>104.6537395229083</v>
      </c>
      <c r="AO428" s="1">
        <v>100.77418803761337</v>
      </c>
      <c r="AP428" s="1">
        <v>102.00398441464017</v>
      </c>
      <c r="AQ428" s="1">
        <v>93.558901743626024</v>
      </c>
      <c r="AR428" s="1">
        <v>102.85663702937894</v>
      </c>
      <c r="AS428" s="1">
        <v>98.6003422659997</v>
      </c>
      <c r="AT428" s="1">
        <v>111.8045689919972</v>
      </c>
      <c r="AU428" s="1">
        <v>92.683083360025861</v>
      </c>
      <c r="AV428" s="1">
        <v>99.900323214082661</v>
      </c>
      <c r="AW428" s="1">
        <v>100</v>
      </c>
      <c r="AX428" s="1">
        <v>100</v>
      </c>
      <c r="AY428" s="1">
        <v>100</v>
      </c>
      <c r="AZ428" s="1">
        <v>100</v>
      </c>
      <c r="BA428" s="1">
        <v>100</v>
      </c>
      <c r="BB428" s="1">
        <v>100</v>
      </c>
      <c r="BC428" s="1">
        <v>100</v>
      </c>
      <c r="BD428" s="1">
        <v>100</v>
      </c>
      <c r="BE428" s="1">
        <v>100</v>
      </c>
      <c r="BF428" s="1">
        <v>100</v>
      </c>
      <c r="BG428" s="1">
        <v>100</v>
      </c>
      <c r="BH428" s="1">
        <v>100</v>
      </c>
    </row>
    <row r="429" spans="1:60" x14ac:dyDescent="0.25">
      <c r="A429">
        <f t="shared" si="7"/>
        <v>416</v>
      </c>
      <c r="B429" s="1">
        <v>101.01632386469294</v>
      </c>
      <c r="C429" s="1">
        <v>94.353173132071191</v>
      </c>
      <c r="D429" s="1">
        <v>97.69521325787963</v>
      </c>
      <c r="E429" s="1">
        <v>121.62268742500925</v>
      </c>
      <c r="F429" s="1">
        <v>95.932799101521084</v>
      </c>
      <c r="G429" s="1">
        <v>101.20264176422626</v>
      </c>
      <c r="H429" s="1">
        <v>102.6264770510757</v>
      </c>
      <c r="I429" s="1">
        <v>91.499563034783122</v>
      </c>
      <c r="J429" s="1">
        <v>109.73261611443155</v>
      </c>
      <c r="K429" s="1">
        <v>106.16590636000029</v>
      </c>
      <c r="L429" s="1">
        <v>95.69663892742183</v>
      </c>
      <c r="M429" s="1">
        <v>96.715943522481638</v>
      </c>
      <c r="N429" s="1">
        <v>100.04773223105254</v>
      </c>
      <c r="O429" s="1">
        <v>74.682081269288389</v>
      </c>
      <c r="P429" s="1">
        <v>91.6862704297411</v>
      </c>
      <c r="Q429" s="1">
        <v>100</v>
      </c>
      <c r="R429" s="1">
        <v>98.539127000430625</v>
      </c>
      <c r="S429" s="1">
        <v>104.00599955629987</v>
      </c>
      <c r="T429" s="1">
        <v>99.450163850085758</v>
      </c>
      <c r="U429" s="1">
        <v>100.96372424684154</v>
      </c>
      <c r="V429" s="1">
        <v>97.662914082816272</v>
      </c>
      <c r="W429" s="1">
        <v>102.20284750979505</v>
      </c>
      <c r="X429" s="1">
        <v>98.938308797866256</v>
      </c>
      <c r="Y429" s="1">
        <v>95.206748809243749</v>
      </c>
      <c r="Z429" s="1">
        <v>86.852744311290479</v>
      </c>
      <c r="AA429" s="1">
        <v>96.697105376186386</v>
      </c>
      <c r="AB429" s="1">
        <v>81.194497923355527</v>
      </c>
      <c r="AC429" s="1">
        <v>102.12169819441469</v>
      </c>
      <c r="AD429" s="1">
        <v>122.77345062885132</v>
      </c>
      <c r="AE429" s="1">
        <v>95.424863438877921</v>
      </c>
      <c r="AF429" s="1">
        <v>104.00414582839545</v>
      </c>
      <c r="AG429" s="1">
        <v>100</v>
      </c>
      <c r="AH429" s="1">
        <v>98.975330692053802</v>
      </c>
      <c r="AI429" s="1">
        <v>110.97812708093124</v>
      </c>
      <c r="AJ429" s="1">
        <v>101.4355028770963</v>
      </c>
      <c r="AK429" s="1">
        <v>89.006621162538096</v>
      </c>
      <c r="AL429" s="1">
        <v>109.35137177454638</v>
      </c>
      <c r="AM429" s="1">
        <v>116.7028707921346</v>
      </c>
      <c r="AN429" s="1">
        <v>104.6537395229083</v>
      </c>
      <c r="AO429" s="1">
        <v>100.77418803761337</v>
      </c>
      <c r="AP429" s="1">
        <v>102.00398441464017</v>
      </c>
      <c r="AQ429" s="1">
        <v>93.558901743626024</v>
      </c>
      <c r="AR429" s="1">
        <v>102.85663702937894</v>
      </c>
      <c r="AS429" s="1">
        <v>98.6003422659997</v>
      </c>
      <c r="AT429" s="1">
        <v>111.8045689919972</v>
      </c>
      <c r="AU429" s="1">
        <v>92.683083360025861</v>
      </c>
      <c r="AV429" s="1">
        <v>99.900323214082661</v>
      </c>
      <c r="AW429" s="1">
        <v>100</v>
      </c>
      <c r="AX429" s="1">
        <v>100</v>
      </c>
      <c r="AY429" s="1">
        <v>100</v>
      </c>
      <c r="AZ429" s="1">
        <v>100</v>
      </c>
      <c r="BA429" s="1">
        <v>100</v>
      </c>
      <c r="BB429" s="1">
        <v>100</v>
      </c>
      <c r="BC429" s="1">
        <v>100</v>
      </c>
      <c r="BD429" s="1">
        <v>100</v>
      </c>
      <c r="BE429" s="1">
        <v>100</v>
      </c>
      <c r="BF429" s="1">
        <v>100</v>
      </c>
      <c r="BG429" s="1">
        <v>100</v>
      </c>
      <c r="BH429" s="1">
        <v>100</v>
      </c>
    </row>
    <row r="430" spans="1:60" x14ac:dyDescent="0.25">
      <c r="A430">
        <f t="shared" si="7"/>
        <v>417</v>
      </c>
      <c r="B430" s="1">
        <v>102.35366838854675</v>
      </c>
      <c r="C430" s="1">
        <v>94.353173132071191</v>
      </c>
      <c r="D430" s="1">
        <v>97.69521325787963</v>
      </c>
      <c r="E430" s="1">
        <v>120.08806225591677</v>
      </c>
      <c r="F430" s="1">
        <v>95.932799101521084</v>
      </c>
      <c r="G430" s="1">
        <v>101.20264176422626</v>
      </c>
      <c r="H430" s="1">
        <v>102.6264770510757</v>
      </c>
      <c r="I430" s="1">
        <v>91.499563034783122</v>
      </c>
      <c r="J430" s="1">
        <v>109.73261611443155</v>
      </c>
      <c r="K430" s="1">
        <v>106.16590636000029</v>
      </c>
      <c r="L430" s="1">
        <v>95.69663892742183</v>
      </c>
      <c r="M430" s="1">
        <v>96.715943522481638</v>
      </c>
      <c r="N430" s="1">
        <v>100.04773223105254</v>
      </c>
      <c r="O430" s="1">
        <v>74.682081269288389</v>
      </c>
      <c r="P430" s="1">
        <v>91.6862704297411</v>
      </c>
      <c r="Q430" s="1">
        <v>100</v>
      </c>
      <c r="R430" s="1">
        <v>98.539127000430625</v>
      </c>
      <c r="S430" s="1">
        <v>104.00599955629987</v>
      </c>
      <c r="T430" s="1">
        <v>99.450163850085758</v>
      </c>
      <c r="U430" s="1">
        <v>100.96372424684154</v>
      </c>
      <c r="V430" s="1">
        <v>97.662914082816272</v>
      </c>
      <c r="W430" s="1">
        <v>102.20284750979505</v>
      </c>
      <c r="X430" s="1">
        <v>98.938308797866256</v>
      </c>
      <c r="Y430" s="1">
        <v>95.206748809243749</v>
      </c>
      <c r="Z430" s="1">
        <v>86.852744311290479</v>
      </c>
      <c r="AA430" s="1">
        <v>96.697105376186386</v>
      </c>
      <c r="AB430" s="1">
        <v>81.194497923355527</v>
      </c>
      <c r="AC430" s="1">
        <v>102.12169819441469</v>
      </c>
      <c r="AD430" s="1">
        <v>122.77345062885132</v>
      </c>
      <c r="AE430" s="1">
        <v>95.424863438877921</v>
      </c>
      <c r="AF430" s="1">
        <v>104.00414582839545</v>
      </c>
      <c r="AG430" s="1">
        <v>100</v>
      </c>
      <c r="AH430" s="1">
        <v>98.975330692053802</v>
      </c>
      <c r="AI430" s="1">
        <v>110.97812708093124</v>
      </c>
      <c r="AJ430" s="1">
        <v>101.4355028770963</v>
      </c>
      <c r="AK430" s="1">
        <v>90.524414173617473</v>
      </c>
      <c r="AL430" s="1">
        <v>109.35137177454638</v>
      </c>
      <c r="AM430" s="1">
        <v>116.7028707921346</v>
      </c>
      <c r="AN430" s="1">
        <v>103.33322715706758</v>
      </c>
      <c r="AO430" s="1">
        <v>100.77418803761337</v>
      </c>
      <c r="AP430" s="1">
        <v>102.00398441464017</v>
      </c>
      <c r="AQ430" s="1">
        <v>93.558901743626024</v>
      </c>
      <c r="AR430" s="1">
        <v>102.85663702937894</v>
      </c>
      <c r="AS430" s="1">
        <v>98.6003422659997</v>
      </c>
      <c r="AT430" s="1">
        <v>111.8045689919972</v>
      </c>
      <c r="AU430" s="1">
        <v>92.683083360025861</v>
      </c>
      <c r="AV430" s="1">
        <v>99.900323214082661</v>
      </c>
      <c r="AW430" s="1">
        <v>100</v>
      </c>
      <c r="AX430" s="1">
        <v>100</v>
      </c>
      <c r="AY430" s="1">
        <v>100</v>
      </c>
      <c r="AZ430" s="1">
        <v>100</v>
      </c>
      <c r="BA430" s="1">
        <v>100</v>
      </c>
      <c r="BB430" s="1">
        <v>100</v>
      </c>
      <c r="BC430" s="1">
        <v>100</v>
      </c>
      <c r="BD430" s="1">
        <v>100</v>
      </c>
      <c r="BE430" s="1">
        <v>100</v>
      </c>
      <c r="BF430" s="1">
        <v>100</v>
      </c>
      <c r="BG430" s="1">
        <v>100</v>
      </c>
      <c r="BH430" s="1">
        <v>100</v>
      </c>
    </row>
    <row r="431" spans="1:60" x14ac:dyDescent="0.25">
      <c r="A431">
        <f t="shared" si="7"/>
        <v>418</v>
      </c>
      <c r="B431" s="1">
        <v>104.2238452059883</v>
      </c>
      <c r="C431" s="1">
        <v>94.353173132071191</v>
      </c>
      <c r="D431" s="1">
        <v>97.69521325787963</v>
      </c>
      <c r="E431" s="1">
        <v>117.94628101987549</v>
      </c>
      <c r="F431" s="1">
        <v>95.932799101521084</v>
      </c>
      <c r="G431" s="1">
        <v>101.20264176422626</v>
      </c>
      <c r="H431" s="1">
        <v>102.6264770510757</v>
      </c>
      <c r="I431" s="1">
        <v>91.499563034783122</v>
      </c>
      <c r="J431" s="1">
        <v>109.73261611443155</v>
      </c>
      <c r="K431" s="1">
        <v>106.16590636000029</v>
      </c>
      <c r="L431" s="1">
        <v>95.69663892742183</v>
      </c>
      <c r="M431" s="1">
        <v>96.715943522481638</v>
      </c>
      <c r="N431" s="1">
        <v>100.04773223105254</v>
      </c>
      <c r="O431" s="1">
        <v>74.682081269288389</v>
      </c>
      <c r="P431" s="1">
        <v>91.6862704297411</v>
      </c>
      <c r="Q431" s="1">
        <v>100</v>
      </c>
      <c r="R431" s="1">
        <v>98.539127000430625</v>
      </c>
      <c r="S431" s="1">
        <v>104.00599955629987</v>
      </c>
      <c r="T431" s="1">
        <v>99.450163850085758</v>
      </c>
      <c r="U431" s="1">
        <v>100.96372424684154</v>
      </c>
      <c r="V431" s="1">
        <v>97.662914082816272</v>
      </c>
      <c r="W431" s="1">
        <v>102.20284750979505</v>
      </c>
      <c r="X431" s="1">
        <v>98.938308797866256</v>
      </c>
      <c r="Y431" s="1">
        <v>95.206748809243749</v>
      </c>
      <c r="Z431" s="1">
        <v>86.852744311290479</v>
      </c>
      <c r="AA431" s="1">
        <v>96.697105376186386</v>
      </c>
      <c r="AB431" s="1">
        <v>81.194497923355527</v>
      </c>
      <c r="AC431" s="1">
        <v>102.12169819441469</v>
      </c>
      <c r="AD431" s="1">
        <v>122.77345062885132</v>
      </c>
      <c r="AE431" s="1">
        <v>95.424863438877921</v>
      </c>
      <c r="AF431" s="1">
        <v>104.00414582839545</v>
      </c>
      <c r="AG431" s="1">
        <v>100</v>
      </c>
      <c r="AH431" s="1">
        <v>98.975330692053802</v>
      </c>
      <c r="AI431" s="1">
        <v>110.97812708093124</v>
      </c>
      <c r="AJ431" s="1">
        <v>101.4355028770963</v>
      </c>
      <c r="AK431" s="1">
        <v>92.638975858968294</v>
      </c>
      <c r="AL431" s="1">
        <v>109.35137177454638</v>
      </c>
      <c r="AM431" s="1">
        <v>116.7028707921346</v>
      </c>
      <c r="AN431" s="1">
        <v>101.4902698903165</v>
      </c>
      <c r="AO431" s="1">
        <v>100.77418803761337</v>
      </c>
      <c r="AP431" s="1">
        <v>102.00398441464017</v>
      </c>
      <c r="AQ431" s="1">
        <v>93.558901743626024</v>
      </c>
      <c r="AR431" s="1">
        <v>102.85663702937894</v>
      </c>
      <c r="AS431" s="1">
        <v>98.6003422659997</v>
      </c>
      <c r="AT431" s="1">
        <v>111.8045689919972</v>
      </c>
      <c r="AU431" s="1">
        <v>92.683083360025861</v>
      </c>
      <c r="AV431" s="1">
        <v>99.900323214082661</v>
      </c>
      <c r="AW431" s="1">
        <v>100</v>
      </c>
      <c r="AX431" s="1">
        <v>100</v>
      </c>
      <c r="AY431" s="1">
        <v>100</v>
      </c>
      <c r="AZ431" s="1">
        <v>100</v>
      </c>
      <c r="BA431" s="1">
        <v>100</v>
      </c>
      <c r="BB431" s="1">
        <v>100</v>
      </c>
      <c r="BC431" s="1">
        <v>100</v>
      </c>
      <c r="BD431" s="1">
        <v>100</v>
      </c>
      <c r="BE431" s="1">
        <v>100</v>
      </c>
      <c r="BF431" s="1">
        <v>100</v>
      </c>
      <c r="BG431" s="1">
        <v>100</v>
      </c>
      <c r="BH431" s="1">
        <v>100</v>
      </c>
    </row>
    <row r="432" spans="1:60" x14ac:dyDescent="0.25">
      <c r="A432">
        <f t="shared" si="7"/>
        <v>419</v>
      </c>
      <c r="B432" s="1">
        <v>105.35245504435403</v>
      </c>
      <c r="C432" s="1">
        <v>94.353173132071191</v>
      </c>
      <c r="D432" s="1">
        <v>97.69521325787963</v>
      </c>
      <c r="E432" s="1">
        <v>116.73150392754211</v>
      </c>
      <c r="F432" s="1">
        <v>95.932799101521084</v>
      </c>
      <c r="G432" s="1">
        <v>101.20264176422626</v>
      </c>
      <c r="H432" s="1">
        <v>102.6264770510757</v>
      </c>
      <c r="I432" s="1">
        <v>91.499563034783122</v>
      </c>
      <c r="J432" s="1">
        <v>109.73261611443155</v>
      </c>
      <c r="K432" s="1">
        <v>106.16590636000029</v>
      </c>
      <c r="L432" s="1">
        <v>96.925815400181719</v>
      </c>
      <c r="M432" s="1">
        <v>96.715943522481638</v>
      </c>
      <c r="N432" s="1">
        <v>100.04773223105254</v>
      </c>
      <c r="O432" s="1">
        <v>74.682081269288389</v>
      </c>
      <c r="P432" s="1">
        <v>91.6862704297411</v>
      </c>
      <c r="Q432" s="1">
        <v>100</v>
      </c>
      <c r="R432" s="1">
        <v>98.539127000430625</v>
      </c>
      <c r="S432" s="1">
        <v>104.00599955629987</v>
      </c>
      <c r="T432" s="1">
        <v>99.450163850085758</v>
      </c>
      <c r="U432" s="1">
        <v>100.96372424684154</v>
      </c>
      <c r="V432" s="1">
        <v>97.662914082816272</v>
      </c>
      <c r="W432" s="1">
        <v>102.20284750979505</v>
      </c>
      <c r="X432" s="1">
        <v>98.938308797866256</v>
      </c>
      <c r="Y432" s="1">
        <v>95.206748809243749</v>
      </c>
      <c r="Z432" s="1">
        <v>86.852744311290479</v>
      </c>
      <c r="AA432" s="1">
        <v>96.697105376186386</v>
      </c>
      <c r="AB432" s="1">
        <v>81.194497923355527</v>
      </c>
      <c r="AC432" s="1">
        <v>102.12169819441469</v>
      </c>
      <c r="AD432" s="1">
        <v>122.77345062885132</v>
      </c>
      <c r="AE432" s="1">
        <v>95.424863438877921</v>
      </c>
      <c r="AF432" s="1">
        <v>104.00414582839545</v>
      </c>
      <c r="AG432" s="1">
        <v>100</v>
      </c>
      <c r="AH432" s="1">
        <v>98.975330692053802</v>
      </c>
      <c r="AI432" s="1">
        <v>109.835117862139</v>
      </c>
      <c r="AJ432" s="1">
        <v>101.4355028770963</v>
      </c>
      <c r="AK432" s="1">
        <v>92.638975858968294</v>
      </c>
      <c r="AL432" s="1">
        <v>109.35137177454638</v>
      </c>
      <c r="AM432" s="1">
        <v>116.7028707921346</v>
      </c>
      <c r="AN432" s="1">
        <v>101.4902698903165</v>
      </c>
      <c r="AO432" s="1">
        <v>100.77418803761337</v>
      </c>
      <c r="AP432" s="1">
        <v>102.00398441464017</v>
      </c>
      <c r="AQ432" s="1">
        <v>93.558901743626024</v>
      </c>
      <c r="AR432" s="1">
        <v>102.85663702937894</v>
      </c>
      <c r="AS432" s="1">
        <v>98.6003422659997</v>
      </c>
      <c r="AT432" s="1">
        <v>111.8045689919972</v>
      </c>
      <c r="AU432" s="1">
        <v>92.683083360025861</v>
      </c>
      <c r="AV432" s="1">
        <v>99.900323214082661</v>
      </c>
      <c r="AW432" s="1">
        <v>100</v>
      </c>
      <c r="AX432" s="1">
        <v>100</v>
      </c>
      <c r="AY432" s="1">
        <v>100</v>
      </c>
      <c r="AZ432" s="1">
        <v>100</v>
      </c>
      <c r="BA432" s="1">
        <v>100</v>
      </c>
      <c r="BB432" s="1">
        <v>100</v>
      </c>
      <c r="BC432" s="1">
        <v>100</v>
      </c>
      <c r="BD432" s="1">
        <v>100</v>
      </c>
      <c r="BE432" s="1">
        <v>100</v>
      </c>
      <c r="BF432" s="1">
        <v>100</v>
      </c>
      <c r="BG432" s="1">
        <v>100</v>
      </c>
      <c r="BH432" s="1">
        <v>100</v>
      </c>
    </row>
    <row r="433" spans="1:60" x14ac:dyDescent="0.25">
      <c r="A433">
        <f t="shared" si="7"/>
        <v>420</v>
      </c>
      <c r="B433" s="1">
        <v>105.85900587990835</v>
      </c>
      <c r="C433" s="1">
        <v>94.353173132071191</v>
      </c>
      <c r="D433" s="1">
        <v>97.69521325787963</v>
      </c>
      <c r="E433" s="1">
        <v>116.18684458676223</v>
      </c>
      <c r="F433" s="1">
        <v>95.932799101521084</v>
      </c>
      <c r="G433" s="1">
        <v>101.20264176422626</v>
      </c>
      <c r="H433" s="1">
        <v>102.6264770510757</v>
      </c>
      <c r="I433" s="1">
        <v>91.499563034783122</v>
      </c>
      <c r="J433" s="1">
        <v>109.73261611443155</v>
      </c>
      <c r="K433" s="1">
        <v>106.16590636000029</v>
      </c>
      <c r="L433" s="1">
        <v>97.47640529112131</v>
      </c>
      <c r="M433" s="1">
        <v>96.715943522481638</v>
      </c>
      <c r="N433" s="1">
        <v>100.04773223105254</v>
      </c>
      <c r="O433" s="1">
        <v>74.682081269288389</v>
      </c>
      <c r="P433" s="1">
        <v>91.6862704297411</v>
      </c>
      <c r="Q433" s="1">
        <v>100</v>
      </c>
      <c r="R433" s="1">
        <v>98.539127000430625</v>
      </c>
      <c r="S433" s="1">
        <v>104.00599955629987</v>
      </c>
      <c r="T433" s="1">
        <v>99.450163850085758</v>
      </c>
      <c r="U433" s="1">
        <v>100.96372424684154</v>
      </c>
      <c r="V433" s="1">
        <v>97.662914082816272</v>
      </c>
      <c r="W433" s="1">
        <v>102.20284750979505</v>
      </c>
      <c r="X433" s="1">
        <v>98.938308797866256</v>
      </c>
      <c r="Y433" s="1">
        <v>95.206748809243749</v>
      </c>
      <c r="Z433" s="1">
        <v>86.852744311290479</v>
      </c>
      <c r="AA433" s="1">
        <v>96.697105376186386</v>
      </c>
      <c r="AB433" s="1">
        <v>81.194497923355527</v>
      </c>
      <c r="AC433" s="1">
        <v>102.12169819441469</v>
      </c>
      <c r="AD433" s="1">
        <v>122.77345062885132</v>
      </c>
      <c r="AE433" s="1">
        <v>95.424863438877921</v>
      </c>
      <c r="AF433" s="1">
        <v>104.00414582839545</v>
      </c>
      <c r="AG433" s="1">
        <v>100</v>
      </c>
      <c r="AH433" s="1">
        <v>98.975330692053802</v>
      </c>
      <c r="AI433" s="1">
        <v>109.32263647642495</v>
      </c>
      <c r="AJ433" s="1">
        <v>101.4355028770963</v>
      </c>
      <c r="AK433" s="1">
        <v>92.638975858968294</v>
      </c>
      <c r="AL433" s="1">
        <v>109.35137177454638</v>
      </c>
      <c r="AM433" s="1">
        <v>116.7028707921346</v>
      </c>
      <c r="AN433" s="1">
        <v>101.4902698903165</v>
      </c>
      <c r="AO433" s="1">
        <v>100.77418803761337</v>
      </c>
      <c r="AP433" s="1">
        <v>102.00398441464017</v>
      </c>
      <c r="AQ433" s="1">
        <v>93.558901743626024</v>
      </c>
      <c r="AR433" s="1">
        <v>102.85663702937894</v>
      </c>
      <c r="AS433" s="1">
        <v>98.6003422659997</v>
      </c>
      <c r="AT433" s="1">
        <v>111.8045689919972</v>
      </c>
      <c r="AU433" s="1">
        <v>92.683083360025861</v>
      </c>
      <c r="AV433" s="1">
        <v>99.900323214082661</v>
      </c>
      <c r="AW433" s="1">
        <v>100</v>
      </c>
      <c r="AX433" s="1">
        <v>100</v>
      </c>
      <c r="AY433" s="1">
        <v>100</v>
      </c>
      <c r="AZ433" s="1">
        <v>100</v>
      </c>
      <c r="BA433" s="1">
        <v>100</v>
      </c>
      <c r="BB433" s="1">
        <v>100</v>
      </c>
      <c r="BC433" s="1">
        <v>100</v>
      </c>
      <c r="BD433" s="1">
        <v>100</v>
      </c>
      <c r="BE433" s="1">
        <v>100</v>
      </c>
      <c r="BF433" s="1">
        <v>100</v>
      </c>
      <c r="BG433" s="1">
        <v>100</v>
      </c>
      <c r="BH433" s="1">
        <v>100</v>
      </c>
    </row>
    <row r="434" spans="1:60" x14ac:dyDescent="0.25">
      <c r="A434">
        <f t="shared" si="7"/>
        <v>421</v>
      </c>
      <c r="B434" s="1">
        <v>105.85900587990835</v>
      </c>
      <c r="C434" s="1">
        <v>94.353173132071191</v>
      </c>
      <c r="D434" s="1">
        <v>97.69521325787963</v>
      </c>
      <c r="E434" s="1">
        <v>116.01039221949415</v>
      </c>
      <c r="F434" s="1">
        <v>95.932799101521084</v>
      </c>
      <c r="G434" s="1">
        <v>101.20264176422626</v>
      </c>
      <c r="H434" s="1">
        <v>102.6264770510757</v>
      </c>
      <c r="I434" s="1">
        <v>91.499563034783122</v>
      </c>
      <c r="J434" s="1">
        <v>109.73261611443155</v>
      </c>
      <c r="K434" s="1">
        <v>106.16590636000029</v>
      </c>
      <c r="L434" s="1">
        <v>97.47640529112131</v>
      </c>
      <c r="M434" s="1">
        <v>96.715943522481638</v>
      </c>
      <c r="N434" s="1">
        <v>100.04773223105254</v>
      </c>
      <c r="O434" s="1">
        <v>74.682081269288389</v>
      </c>
      <c r="P434" s="1">
        <v>91.6862704297411</v>
      </c>
      <c r="Q434" s="1">
        <v>100</v>
      </c>
      <c r="R434" s="1">
        <v>98.539127000430625</v>
      </c>
      <c r="S434" s="1">
        <v>104.00599955629987</v>
      </c>
      <c r="T434" s="1">
        <v>99.450163850085758</v>
      </c>
      <c r="U434" s="1">
        <v>100.96372424684154</v>
      </c>
      <c r="V434" s="1">
        <v>97.662914082816272</v>
      </c>
      <c r="W434" s="1">
        <v>102.20284750979505</v>
      </c>
      <c r="X434" s="1">
        <v>98.938308797866256</v>
      </c>
      <c r="Y434" s="1">
        <v>95.062158806244369</v>
      </c>
      <c r="Z434" s="1">
        <v>86.852744311290479</v>
      </c>
      <c r="AA434" s="1">
        <v>96.697105376186386</v>
      </c>
      <c r="AB434" s="1">
        <v>81.194497923355527</v>
      </c>
      <c r="AC434" s="1">
        <v>102.12169819441469</v>
      </c>
      <c r="AD434" s="1">
        <v>122.77345062885132</v>
      </c>
      <c r="AE434" s="1">
        <v>95.424863438877921</v>
      </c>
      <c r="AF434" s="1">
        <v>104.00414582839545</v>
      </c>
      <c r="AG434" s="1">
        <v>100</v>
      </c>
      <c r="AH434" s="1">
        <v>98.975330692053802</v>
      </c>
      <c r="AI434" s="1">
        <v>109.32263647642495</v>
      </c>
      <c r="AJ434" s="1">
        <v>101.4355028770963</v>
      </c>
      <c r="AK434" s="1">
        <v>92.638975858968294</v>
      </c>
      <c r="AL434" s="1">
        <v>109.50590802529547</v>
      </c>
      <c r="AM434" s="1">
        <v>116.7028707921346</v>
      </c>
      <c r="AN434" s="1">
        <v>101.65677600983487</v>
      </c>
      <c r="AO434" s="1">
        <v>100.77418803761337</v>
      </c>
      <c r="AP434" s="1">
        <v>102.00398441464017</v>
      </c>
      <c r="AQ434" s="1">
        <v>93.558901743626024</v>
      </c>
      <c r="AR434" s="1">
        <v>102.85663702937894</v>
      </c>
      <c r="AS434" s="1">
        <v>98.6003422659997</v>
      </c>
      <c r="AT434" s="1">
        <v>111.8045689919972</v>
      </c>
      <c r="AU434" s="1">
        <v>92.683083360025861</v>
      </c>
      <c r="AV434" s="1">
        <v>99.900323214082661</v>
      </c>
      <c r="AW434" s="1">
        <v>100</v>
      </c>
      <c r="AX434" s="1">
        <v>100</v>
      </c>
      <c r="AY434" s="1">
        <v>100</v>
      </c>
      <c r="AZ434" s="1">
        <v>100</v>
      </c>
      <c r="BA434" s="1">
        <v>100</v>
      </c>
      <c r="BB434" s="1">
        <v>100</v>
      </c>
      <c r="BC434" s="1">
        <v>100</v>
      </c>
      <c r="BD434" s="1">
        <v>100</v>
      </c>
      <c r="BE434" s="1">
        <v>100</v>
      </c>
      <c r="BF434" s="1">
        <v>100</v>
      </c>
      <c r="BG434" s="1">
        <v>100</v>
      </c>
      <c r="BH434" s="1">
        <v>100</v>
      </c>
    </row>
    <row r="435" spans="1:60" x14ac:dyDescent="0.25">
      <c r="A435">
        <f t="shared" si="7"/>
        <v>422</v>
      </c>
      <c r="B435" s="1">
        <v>105.85900587990835</v>
      </c>
      <c r="C435" s="1">
        <v>94.353173132071191</v>
      </c>
      <c r="D435" s="1">
        <v>97.69521325787963</v>
      </c>
      <c r="E435" s="1">
        <v>115.20265313742448</v>
      </c>
      <c r="F435" s="1">
        <v>95.932799101521084</v>
      </c>
      <c r="G435" s="1">
        <v>101.20264176422626</v>
      </c>
      <c r="H435" s="1">
        <v>102.6264770510757</v>
      </c>
      <c r="I435" s="1">
        <v>91.499563034783122</v>
      </c>
      <c r="J435" s="1">
        <v>109.73261611443155</v>
      </c>
      <c r="K435" s="1">
        <v>106.16590636000029</v>
      </c>
      <c r="L435" s="1">
        <v>97.47640529112131</v>
      </c>
      <c r="M435" s="1">
        <v>96.715943522481638</v>
      </c>
      <c r="N435" s="1">
        <v>100.04773223105254</v>
      </c>
      <c r="O435" s="1">
        <v>74.682081269288389</v>
      </c>
      <c r="P435" s="1">
        <v>91.6862704297411</v>
      </c>
      <c r="Q435" s="1">
        <v>100</v>
      </c>
      <c r="R435" s="1">
        <v>98.539127000430625</v>
      </c>
      <c r="S435" s="1">
        <v>104.00599955629987</v>
      </c>
      <c r="T435" s="1">
        <v>99.450163850085758</v>
      </c>
      <c r="U435" s="1">
        <v>100.96372424684154</v>
      </c>
      <c r="V435" s="1">
        <v>97.662914082816272</v>
      </c>
      <c r="W435" s="1">
        <v>102.20284750979505</v>
      </c>
      <c r="X435" s="1">
        <v>98.938308797866256</v>
      </c>
      <c r="Y435" s="1">
        <v>94.400274819606011</v>
      </c>
      <c r="Z435" s="1">
        <v>86.852744311290479</v>
      </c>
      <c r="AA435" s="1">
        <v>96.697105376186386</v>
      </c>
      <c r="AB435" s="1">
        <v>81.194497923355527</v>
      </c>
      <c r="AC435" s="1">
        <v>102.12169819441469</v>
      </c>
      <c r="AD435" s="1">
        <v>122.77345062885132</v>
      </c>
      <c r="AE435" s="1">
        <v>95.424863438877921</v>
      </c>
      <c r="AF435" s="1">
        <v>104.00414582839545</v>
      </c>
      <c r="AG435" s="1">
        <v>100</v>
      </c>
      <c r="AH435" s="1">
        <v>98.975330692053802</v>
      </c>
      <c r="AI435" s="1">
        <v>109.32263647642495</v>
      </c>
      <c r="AJ435" s="1">
        <v>101.4355028770963</v>
      </c>
      <c r="AK435" s="1">
        <v>92.638975858968294</v>
      </c>
      <c r="AL435" s="1">
        <v>110.21340586657922</v>
      </c>
      <c r="AM435" s="1">
        <v>116.7028707921346</v>
      </c>
      <c r="AN435" s="1">
        <v>102.41890123725915</v>
      </c>
      <c r="AO435" s="1">
        <v>100.77418803761337</v>
      </c>
      <c r="AP435" s="1">
        <v>102.00398441464017</v>
      </c>
      <c r="AQ435" s="1">
        <v>93.558901743626024</v>
      </c>
      <c r="AR435" s="1">
        <v>102.85663702937894</v>
      </c>
      <c r="AS435" s="1">
        <v>98.6003422659997</v>
      </c>
      <c r="AT435" s="1">
        <v>111.8045689919972</v>
      </c>
      <c r="AU435" s="1">
        <v>92.683083360025861</v>
      </c>
      <c r="AV435" s="1">
        <v>99.900323214082661</v>
      </c>
      <c r="AW435" s="1">
        <v>100</v>
      </c>
      <c r="AX435" s="1">
        <v>100</v>
      </c>
      <c r="AY435" s="1">
        <v>100</v>
      </c>
      <c r="AZ435" s="1">
        <v>100</v>
      </c>
      <c r="BA435" s="1">
        <v>100</v>
      </c>
      <c r="BB435" s="1">
        <v>100</v>
      </c>
      <c r="BC435" s="1">
        <v>100</v>
      </c>
      <c r="BD435" s="1">
        <v>100</v>
      </c>
      <c r="BE435" s="1">
        <v>100</v>
      </c>
      <c r="BF435" s="1">
        <v>100</v>
      </c>
      <c r="BG435" s="1">
        <v>100</v>
      </c>
      <c r="BH435" s="1">
        <v>100</v>
      </c>
    </row>
    <row r="436" spans="1:60" x14ac:dyDescent="0.25">
      <c r="A436">
        <f t="shared" si="7"/>
        <v>423</v>
      </c>
      <c r="B436" s="1">
        <v>105.91313268756312</v>
      </c>
      <c r="C436" s="1">
        <v>94.353173132071191</v>
      </c>
      <c r="D436" s="1">
        <v>97.69521325787963</v>
      </c>
      <c r="E436" s="1">
        <v>115.20265313742448</v>
      </c>
      <c r="F436" s="1">
        <v>95.932799101521084</v>
      </c>
      <c r="G436" s="1">
        <v>101.20264176422626</v>
      </c>
      <c r="H436" s="1">
        <v>102.6264770510757</v>
      </c>
      <c r="I436" s="1">
        <v>91.499563034783122</v>
      </c>
      <c r="J436" s="1">
        <v>109.73261611443155</v>
      </c>
      <c r="K436" s="1">
        <v>106.16590636000029</v>
      </c>
      <c r="L436" s="1">
        <v>97.47640529112131</v>
      </c>
      <c r="M436" s="1">
        <v>96.715943522481638</v>
      </c>
      <c r="N436" s="1">
        <v>100.04773223105254</v>
      </c>
      <c r="O436" s="1">
        <v>74.639048664393172</v>
      </c>
      <c r="P436" s="1">
        <v>91.6862704297411</v>
      </c>
      <c r="Q436" s="1">
        <v>100</v>
      </c>
      <c r="R436" s="1">
        <v>98.539127000430625</v>
      </c>
      <c r="S436" s="1">
        <v>104.00599955629987</v>
      </c>
      <c r="T436" s="1">
        <v>99.450163850085758</v>
      </c>
      <c r="U436" s="1">
        <v>100.96372424684154</v>
      </c>
      <c r="V436" s="1">
        <v>97.662914082816272</v>
      </c>
      <c r="W436" s="1">
        <v>102.20284750979505</v>
      </c>
      <c r="X436" s="1">
        <v>98.938308797866256</v>
      </c>
      <c r="Y436" s="1">
        <v>94.400274819606011</v>
      </c>
      <c r="Z436" s="1">
        <v>86.852744311290479</v>
      </c>
      <c r="AA436" s="1">
        <v>96.697105376186386</v>
      </c>
      <c r="AB436" s="1">
        <v>81.194497923355527</v>
      </c>
      <c r="AC436" s="1">
        <v>102.12169819441469</v>
      </c>
      <c r="AD436" s="1">
        <v>122.77345062885132</v>
      </c>
      <c r="AE436" s="1">
        <v>95.424863438877921</v>
      </c>
      <c r="AF436" s="1">
        <v>104.00414582839545</v>
      </c>
      <c r="AG436" s="1">
        <v>100</v>
      </c>
      <c r="AH436" s="1">
        <v>98.975330692053802</v>
      </c>
      <c r="AI436" s="1">
        <v>109.37504840349206</v>
      </c>
      <c r="AJ436" s="1">
        <v>101.4355028770963</v>
      </c>
      <c r="AK436" s="1">
        <v>92.638975858968294</v>
      </c>
      <c r="AL436" s="1">
        <v>110.14989973675257</v>
      </c>
      <c r="AM436" s="1">
        <v>116.7028707921346</v>
      </c>
      <c r="AN436" s="1">
        <v>102.41890123725915</v>
      </c>
      <c r="AO436" s="1">
        <v>100.77418803761337</v>
      </c>
      <c r="AP436" s="1">
        <v>102.00398441464017</v>
      </c>
      <c r="AQ436" s="1">
        <v>93.558901743626024</v>
      </c>
      <c r="AR436" s="1">
        <v>102.85663702937894</v>
      </c>
      <c r="AS436" s="1">
        <v>98.6003422659997</v>
      </c>
      <c r="AT436" s="1">
        <v>111.8045689919972</v>
      </c>
      <c r="AU436" s="1">
        <v>92.683083360025861</v>
      </c>
      <c r="AV436" s="1">
        <v>99.900323214082661</v>
      </c>
      <c r="AW436" s="1">
        <v>100</v>
      </c>
      <c r="AX436" s="1">
        <v>100</v>
      </c>
      <c r="AY436" s="1">
        <v>100</v>
      </c>
      <c r="AZ436" s="1">
        <v>100</v>
      </c>
      <c r="BA436" s="1">
        <v>100</v>
      </c>
      <c r="BB436" s="1">
        <v>100</v>
      </c>
      <c r="BC436" s="1">
        <v>100</v>
      </c>
      <c r="BD436" s="1">
        <v>100</v>
      </c>
      <c r="BE436" s="1">
        <v>100</v>
      </c>
      <c r="BF436" s="1">
        <v>100</v>
      </c>
      <c r="BG436" s="1">
        <v>100</v>
      </c>
      <c r="BH436" s="1">
        <v>100</v>
      </c>
    </row>
    <row r="437" spans="1:60" x14ac:dyDescent="0.25">
      <c r="A437">
        <f t="shared" si="7"/>
        <v>424</v>
      </c>
      <c r="B437" s="1">
        <v>105.95934616552816</v>
      </c>
      <c r="C437" s="1">
        <v>94.353173132071191</v>
      </c>
      <c r="D437" s="1">
        <v>97.69521325787963</v>
      </c>
      <c r="E437" s="1">
        <v>115.20265313742448</v>
      </c>
      <c r="F437" s="1">
        <v>95.932799101521084</v>
      </c>
      <c r="G437" s="1">
        <v>101.20264176422626</v>
      </c>
      <c r="H437" s="1">
        <v>102.6264770510757</v>
      </c>
      <c r="I437" s="1">
        <v>91.499563034783122</v>
      </c>
      <c r="J437" s="1">
        <v>109.73261611443155</v>
      </c>
      <c r="K437" s="1">
        <v>106.16590636000029</v>
      </c>
      <c r="L437" s="1">
        <v>97.47640529112131</v>
      </c>
      <c r="M437" s="1">
        <v>96.715943522481638</v>
      </c>
      <c r="N437" s="1">
        <v>100.04773223105254</v>
      </c>
      <c r="O437" s="1">
        <v>74.60230684264738</v>
      </c>
      <c r="P437" s="1">
        <v>91.6862704297411</v>
      </c>
      <c r="Q437" s="1">
        <v>100</v>
      </c>
      <c r="R437" s="1">
        <v>98.539127000430625</v>
      </c>
      <c r="S437" s="1">
        <v>104.00599955629987</v>
      </c>
      <c r="T437" s="1">
        <v>99.450163850085758</v>
      </c>
      <c r="U437" s="1">
        <v>100.96372424684154</v>
      </c>
      <c r="V437" s="1">
        <v>97.662914082816272</v>
      </c>
      <c r="W437" s="1">
        <v>102.20284750979505</v>
      </c>
      <c r="X437" s="1">
        <v>98.938308797866256</v>
      </c>
      <c r="Y437" s="1">
        <v>94.400274819606011</v>
      </c>
      <c r="Z437" s="1">
        <v>86.852744311290479</v>
      </c>
      <c r="AA437" s="1">
        <v>96.697105376186386</v>
      </c>
      <c r="AB437" s="1">
        <v>81.194497923355527</v>
      </c>
      <c r="AC437" s="1">
        <v>102.12169819441469</v>
      </c>
      <c r="AD437" s="1">
        <v>122.77345062885132</v>
      </c>
      <c r="AE437" s="1">
        <v>95.424863438877921</v>
      </c>
      <c r="AF437" s="1">
        <v>104.00414582839545</v>
      </c>
      <c r="AG437" s="1">
        <v>100</v>
      </c>
      <c r="AH437" s="1">
        <v>98.975330692053802</v>
      </c>
      <c r="AI437" s="1">
        <v>109.41979914230416</v>
      </c>
      <c r="AJ437" s="1">
        <v>101.4355028770963</v>
      </c>
      <c r="AK437" s="1">
        <v>92.638975858968294</v>
      </c>
      <c r="AL437" s="1">
        <v>110.09567734172123</v>
      </c>
      <c r="AM437" s="1">
        <v>116.7028707921346</v>
      </c>
      <c r="AN437" s="1">
        <v>102.41890123725915</v>
      </c>
      <c r="AO437" s="1">
        <v>100.77418803761337</v>
      </c>
      <c r="AP437" s="1">
        <v>102.00398441464017</v>
      </c>
      <c r="AQ437" s="1">
        <v>93.558901743626024</v>
      </c>
      <c r="AR437" s="1">
        <v>102.85663702937894</v>
      </c>
      <c r="AS437" s="1">
        <v>98.6003422659997</v>
      </c>
      <c r="AT437" s="1">
        <v>111.8045689919972</v>
      </c>
      <c r="AU437" s="1">
        <v>92.683083360025861</v>
      </c>
      <c r="AV437" s="1">
        <v>99.900323214082661</v>
      </c>
      <c r="AW437" s="1">
        <v>100</v>
      </c>
      <c r="AX437" s="1">
        <v>100</v>
      </c>
      <c r="AY437" s="1">
        <v>100</v>
      </c>
      <c r="AZ437" s="1">
        <v>100</v>
      </c>
      <c r="BA437" s="1">
        <v>100</v>
      </c>
      <c r="BB437" s="1">
        <v>100</v>
      </c>
      <c r="BC437" s="1">
        <v>100</v>
      </c>
      <c r="BD437" s="1">
        <v>100</v>
      </c>
      <c r="BE437" s="1">
        <v>100</v>
      </c>
      <c r="BF437" s="1">
        <v>100</v>
      </c>
      <c r="BG437" s="1">
        <v>100</v>
      </c>
      <c r="BH437" s="1">
        <v>100</v>
      </c>
    </row>
    <row r="438" spans="1:60" x14ac:dyDescent="0.25">
      <c r="A438">
        <f t="shared" si="7"/>
        <v>425</v>
      </c>
      <c r="B438" s="1">
        <v>105.06922214097784</v>
      </c>
      <c r="C438" s="1">
        <v>94.353173132071191</v>
      </c>
      <c r="D438" s="1">
        <v>97.69521325787963</v>
      </c>
      <c r="E438" s="1">
        <v>115.20265313742448</v>
      </c>
      <c r="F438" s="1">
        <v>95.932799101521084</v>
      </c>
      <c r="G438" s="1">
        <v>101.20264176422626</v>
      </c>
      <c r="H438" s="1">
        <v>102.6264770510757</v>
      </c>
      <c r="I438" s="1">
        <v>91.499563034783122</v>
      </c>
      <c r="J438" s="1">
        <v>109.73261611443155</v>
      </c>
      <c r="K438" s="1">
        <v>106.16590636000029</v>
      </c>
      <c r="L438" s="1">
        <v>97.47640529112131</v>
      </c>
      <c r="M438" s="1">
        <v>96.715943522481638</v>
      </c>
      <c r="N438" s="1">
        <v>100.04773223105254</v>
      </c>
      <c r="O438" s="1">
        <v>74.60230684264738</v>
      </c>
      <c r="P438" s="1">
        <v>91.6862704297411</v>
      </c>
      <c r="Q438" s="1">
        <v>100</v>
      </c>
      <c r="R438" s="1">
        <v>98.539127000430625</v>
      </c>
      <c r="S438" s="1">
        <v>104.00599955629987</v>
      </c>
      <c r="T438" s="1">
        <v>99.450163850085758</v>
      </c>
      <c r="U438" s="1">
        <v>100.96372424684154</v>
      </c>
      <c r="V438" s="1">
        <v>97.662914082816272</v>
      </c>
      <c r="W438" s="1">
        <v>102.20284750979505</v>
      </c>
      <c r="X438" s="1">
        <v>98.938308797866256</v>
      </c>
      <c r="Y438" s="1">
        <v>94.400274819606011</v>
      </c>
      <c r="Z438" s="1">
        <v>86.852744311290479</v>
      </c>
      <c r="AA438" s="1">
        <v>96.697105376186386</v>
      </c>
      <c r="AB438" s="1">
        <v>81.194497923355527</v>
      </c>
      <c r="AC438" s="1">
        <v>102.12169819441469</v>
      </c>
      <c r="AD438" s="1">
        <v>122.77345062885132</v>
      </c>
      <c r="AE438" s="1">
        <v>95.424863438877921</v>
      </c>
      <c r="AF438" s="1">
        <v>104.00414582839545</v>
      </c>
      <c r="AG438" s="1">
        <v>100</v>
      </c>
      <c r="AH438" s="1">
        <v>98.975330692053802</v>
      </c>
      <c r="AI438" s="1">
        <v>108.50060517308239</v>
      </c>
      <c r="AJ438" s="1">
        <v>101.4355028770963</v>
      </c>
      <c r="AK438" s="1">
        <v>92.638975858968294</v>
      </c>
      <c r="AL438" s="1">
        <v>110.96765686496165</v>
      </c>
      <c r="AM438" s="1">
        <v>116.7028707921346</v>
      </c>
      <c r="AN438" s="1">
        <v>103.35623970779081</v>
      </c>
      <c r="AO438" s="1">
        <v>100.77418803761337</v>
      </c>
      <c r="AP438" s="1">
        <v>102.00398441464017</v>
      </c>
      <c r="AQ438" s="1">
        <v>93.558901743626024</v>
      </c>
      <c r="AR438" s="1">
        <v>102.85663702937894</v>
      </c>
      <c r="AS438" s="1">
        <v>98.6003422659997</v>
      </c>
      <c r="AT438" s="1">
        <v>111.8045689919972</v>
      </c>
      <c r="AU438" s="1">
        <v>92.683083360025861</v>
      </c>
      <c r="AV438" s="1">
        <v>99.900323214082661</v>
      </c>
      <c r="AW438" s="1">
        <v>100</v>
      </c>
      <c r="AX438" s="1">
        <v>100</v>
      </c>
      <c r="AY438" s="1">
        <v>100</v>
      </c>
      <c r="AZ438" s="1">
        <v>100</v>
      </c>
      <c r="BA438" s="1">
        <v>100</v>
      </c>
      <c r="BB438" s="1">
        <v>100</v>
      </c>
      <c r="BC438" s="1">
        <v>100</v>
      </c>
      <c r="BD438" s="1">
        <v>100</v>
      </c>
      <c r="BE438" s="1">
        <v>100</v>
      </c>
      <c r="BF438" s="1">
        <v>100</v>
      </c>
      <c r="BG438" s="1">
        <v>100</v>
      </c>
      <c r="BH438" s="1">
        <v>100</v>
      </c>
    </row>
    <row r="439" spans="1:60" x14ac:dyDescent="0.25">
      <c r="A439">
        <f t="shared" si="7"/>
        <v>426</v>
      </c>
      <c r="B439" s="1">
        <v>104.98524674243886</v>
      </c>
      <c r="C439" s="1">
        <v>94.353173132071191</v>
      </c>
      <c r="D439" s="1">
        <v>97.69521325787963</v>
      </c>
      <c r="E439" s="1">
        <v>115.20265313742448</v>
      </c>
      <c r="F439" s="1">
        <v>95.932799101521084</v>
      </c>
      <c r="G439" s="1">
        <v>101.20264176422626</v>
      </c>
      <c r="H439" s="1">
        <v>102.6264770510757</v>
      </c>
      <c r="I439" s="1">
        <v>91.499563034783122</v>
      </c>
      <c r="J439" s="1">
        <v>109.73261611443155</v>
      </c>
      <c r="K439" s="1">
        <v>106.16590636000029</v>
      </c>
      <c r="L439" s="1">
        <v>97.47640529112131</v>
      </c>
      <c r="M439" s="1">
        <v>96.715943522481638</v>
      </c>
      <c r="N439" s="1">
        <v>100.04773223105254</v>
      </c>
      <c r="O439" s="1">
        <v>74.60230684264738</v>
      </c>
      <c r="P439" s="1">
        <v>91.6862704297411</v>
      </c>
      <c r="Q439" s="1">
        <v>100</v>
      </c>
      <c r="R439" s="1">
        <v>98.539127000430625</v>
      </c>
      <c r="S439" s="1">
        <v>104.00599955629987</v>
      </c>
      <c r="T439" s="1">
        <v>99.450163850085758</v>
      </c>
      <c r="U439" s="1">
        <v>100.96372424684154</v>
      </c>
      <c r="V439" s="1">
        <v>97.662914082816272</v>
      </c>
      <c r="W439" s="1">
        <v>102.20284750979505</v>
      </c>
      <c r="X439" s="1">
        <v>98.938308797866256</v>
      </c>
      <c r="Y439" s="1">
        <v>94.400274819606011</v>
      </c>
      <c r="Z439" s="1">
        <v>86.852744311290479</v>
      </c>
      <c r="AA439" s="1">
        <v>96.697105376186386</v>
      </c>
      <c r="AB439" s="1">
        <v>81.194497923355527</v>
      </c>
      <c r="AC439" s="1">
        <v>102.12169819441469</v>
      </c>
      <c r="AD439" s="1">
        <v>122.77345062885132</v>
      </c>
      <c r="AE439" s="1">
        <v>95.424863438877921</v>
      </c>
      <c r="AF439" s="1">
        <v>104.00414582839545</v>
      </c>
      <c r="AG439" s="1">
        <v>100</v>
      </c>
      <c r="AH439" s="1">
        <v>98.975330692053802</v>
      </c>
      <c r="AI439" s="1">
        <v>108.41388728010223</v>
      </c>
      <c r="AJ439" s="1">
        <v>101.4355028770963</v>
      </c>
      <c r="AK439" s="1">
        <v>92.638975858968294</v>
      </c>
      <c r="AL439" s="1">
        <v>111.04997254248003</v>
      </c>
      <c r="AM439" s="1">
        <v>116.7028707921346</v>
      </c>
      <c r="AN439" s="1">
        <v>103.44461732179157</v>
      </c>
      <c r="AO439" s="1">
        <v>100.77418803761337</v>
      </c>
      <c r="AP439" s="1">
        <v>102.00398441464017</v>
      </c>
      <c r="AQ439" s="1">
        <v>93.558901743626024</v>
      </c>
      <c r="AR439" s="1">
        <v>102.85663702937894</v>
      </c>
      <c r="AS439" s="1">
        <v>98.6003422659997</v>
      </c>
      <c r="AT439" s="1">
        <v>111.8045689919972</v>
      </c>
      <c r="AU439" s="1">
        <v>92.683083360025861</v>
      </c>
      <c r="AV439" s="1">
        <v>99.900323214082661</v>
      </c>
      <c r="AW439" s="1">
        <v>100</v>
      </c>
      <c r="AX439" s="1">
        <v>100</v>
      </c>
      <c r="AY439" s="1">
        <v>100</v>
      </c>
      <c r="AZ439" s="1">
        <v>100</v>
      </c>
      <c r="BA439" s="1">
        <v>100</v>
      </c>
      <c r="BB439" s="1">
        <v>100</v>
      </c>
      <c r="BC439" s="1">
        <v>100</v>
      </c>
      <c r="BD439" s="1">
        <v>100</v>
      </c>
      <c r="BE439" s="1">
        <v>100</v>
      </c>
      <c r="BF439" s="1">
        <v>100</v>
      </c>
      <c r="BG439" s="1">
        <v>100</v>
      </c>
      <c r="BH439" s="1">
        <v>100</v>
      </c>
    </row>
    <row r="440" spans="1:60" x14ac:dyDescent="0.25">
      <c r="A440">
        <f t="shared" si="7"/>
        <v>427</v>
      </c>
      <c r="B440" s="1">
        <v>104.15772750052204</v>
      </c>
      <c r="C440" s="1">
        <v>94.353173132071191</v>
      </c>
      <c r="D440" s="1">
        <v>97.69521325787963</v>
      </c>
      <c r="E440" s="1">
        <v>115.97403295897406</v>
      </c>
      <c r="F440" s="1">
        <v>95.932799101521084</v>
      </c>
      <c r="G440" s="1">
        <v>101.20264176422626</v>
      </c>
      <c r="H440" s="1">
        <v>102.6264770510757</v>
      </c>
      <c r="I440" s="1">
        <v>91.499563034783122</v>
      </c>
      <c r="J440" s="1">
        <v>109.73261611443155</v>
      </c>
      <c r="K440" s="1">
        <v>106.16590636000029</v>
      </c>
      <c r="L440" s="1">
        <v>97.47640529112131</v>
      </c>
      <c r="M440" s="1">
        <v>96.715943522481638</v>
      </c>
      <c r="N440" s="1">
        <v>100.04773223105254</v>
      </c>
      <c r="O440" s="1">
        <v>74.60230684264738</v>
      </c>
      <c r="P440" s="1">
        <v>91.6862704297411</v>
      </c>
      <c r="Q440" s="1">
        <v>100</v>
      </c>
      <c r="R440" s="1">
        <v>98.539127000430625</v>
      </c>
      <c r="S440" s="1">
        <v>104.00599955629987</v>
      </c>
      <c r="T440" s="1">
        <v>99.450163850085758</v>
      </c>
      <c r="U440" s="1">
        <v>100.96372424684154</v>
      </c>
      <c r="V440" s="1">
        <v>97.662914082816272</v>
      </c>
      <c r="W440" s="1">
        <v>102.20284750979505</v>
      </c>
      <c r="X440" s="1">
        <v>98.938308797866256</v>
      </c>
      <c r="Y440" s="1">
        <v>93.656188900113833</v>
      </c>
      <c r="Z440" s="1">
        <v>86.852744311290479</v>
      </c>
      <c r="AA440" s="1">
        <v>96.697105376186386</v>
      </c>
      <c r="AB440" s="1">
        <v>81.194497923355527</v>
      </c>
      <c r="AC440" s="1">
        <v>102.12169819441469</v>
      </c>
      <c r="AD440" s="1">
        <v>122.77345062885132</v>
      </c>
      <c r="AE440" s="1">
        <v>95.424863438877921</v>
      </c>
      <c r="AF440" s="1">
        <v>104.00414582839545</v>
      </c>
      <c r="AG440" s="1">
        <v>100</v>
      </c>
      <c r="AH440" s="1">
        <v>98.975330692053802</v>
      </c>
      <c r="AI440" s="1">
        <v>108.41388728010223</v>
      </c>
      <c r="AJ440" s="1">
        <v>101.4355028770963</v>
      </c>
      <c r="AK440" s="1">
        <v>92.638975858968294</v>
      </c>
      <c r="AL440" s="1">
        <v>111.85019788233944</v>
      </c>
      <c r="AM440" s="1">
        <v>116.7028707921346</v>
      </c>
      <c r="AN440" s="1">
        <v>103.44461732179157</v>
      </c>
      <c r="AO440" s="1">
        <v>100.77418803761337</v>
      </c>
      <c r="AP440" s="1">
        <v>102.00398441464017</v>
      </c>
      <c r="AQ440" s="1">
        <v>93.558901743626024</v>
      </c>
      <c r="AR440" s="1">
        <v>102.85663702937894</v>
      </c>
      <c r="AS440" s="1">
        <v>98.6003422659997</v>
      </c>
      <c r="AT440" s="1">
        <v>111.8045689919972</v>
      </c>
      <c r="AU440" s="1">
        <v>92.683083360025861</v>
      </c>
      <c r="AV440" s="1">
        <v>99.900323214082661</v>
      </c>
      <c r="AW440" s="1">
        <v>100</v>
      </c>
      <c r="AX440" s="1">
        <v>100</v>
      </c>
      <c r="AY440" s="1">
        <v>100</v>
      </c>
      <c r="AZ440" s="1">
        <v>100</v>
      </c>
      <c r="BA440" s="1">
        <v>100</v>
      </c>
      <c r="BB440" s="1">
        <v>100</v>
      </c>
      <c r="BC440" s="1">
        <v>100</v>
      </c>
      <c r="BD440" s="1">
        <v>100</v>
      </c>
      <c r="BE440" s="1">
        <v>100</v>
      </c>
      <c r="BF440" s="1">
        <v>100</v>
      </c>
      <c r="BG440" s="1">
        <v>100</v>
      </c>
      <c r="BH440" s="1">
        <v>100</v>
      </c>
    </row>
    <row r="441" spans="1:60" x14ac:dyDescent="0.25">
      <c r="A441">
        <f t="shared" si="7"/>
        <v>428</v>
      </c>
      <c r="B441" s="1">
        <v>105.83999340956407</v>
      </c>
      <c r="C441" s="1">
        <v>94.353173132071191</v>
      </c>
      <c r="D441" s="1">
        <v>97.69521325787963</v>
      </c>
      <c r="E441" s="1">
        <v>114.16529417401533</v>
      </c>
      <c r="F441" s="1">
        <v>95.932799101521084</v>
      </c>
      <c r="G441" s="1">
        <v>101.20264176422626</v>
      </c>
      <c r="H441" s="1">
        <v>102.6264770510757</v>
      </c>
      <c r="I441" s="1">
        <v>91.499563034783122</v>
      </c>
      <c r="J441" s="1">
        <v>109.73261611443155</v>
      </c>
      <c r="K441" s="1">
        <v>106.16590636000029</v>
      </c>
      <c r="L441" s="1">
        <v>97.47640529112131</v>
      </c>
      <c r="M441" s="1">
        <v>96.715943522481638</v>
      </c>
      <c r="N441" s="1">
        <v>100.04773223105254</v>
      </c>
      <c r="O441" s="1">
        <v>74.60230684264738</v>
      </c>
      <c r="P441" s="1">
        <v>91.6862704297411</v>
      </c>
      <c r="Q441" s="1">
        <v>100</v>
      </c>
      <c r="R441" s="1">
        <v>98.539127000430625</v>
      </c>
      <c r="S441" s="1">
        <v>104.00599955629987</v>
      </c>
      <c r="T441" s="1">
        <v>99.450163850085758</v>
      </c>
      <c r="U441" s="1">
        <v>100.96372424684154</v>
      </c>
      <c r="V441" s="1">
        <v>97.662914082816272</v>
      </c>
      <c r="W441" s="1">
        <v>102.20284750979505</v>
      </c>
      <c r="X441" s="1">
        <v>98.938308797866256</v>
      </c>
      <c r="Y441" s="1">
        <v>95.527084952955519</v>
      </c>
      <c r="Z441" s="1">
        <v>86.852744311290479</v>
      </c>
      <c r="AA441" s="1">
        <v>96.697105376186386</v>
      </c>
      <c r="AB441" s="1">
        <v>81.194497923355527</v>
      </c>
      <c r="AC441" s="1">
        <v>102.12169819441469</v>
      </c>
      <c r="AD441" s="1">
        <v>122.77345062885132</v>
      </c>
      <c r="AE441" s="1">
        <v>95.424863438877921</v>
      </c>
      <c r="AF441" s="1">
        <v>104.00414582839545</v>
      </c>
      <c r="AG441" s="1">
        <v>100</v>
      </c>
      <c r="AH441" s="1">
        <v>98.975330692053802</v>
      </c>
      <c r="AI441" s="1">
        <v>108.41388728010223</v>
      </c>
      <c r="AJ441" s="1">
        <v>101.4355028770963</v>
      </c>
      <c r="AK441" s="1">
        <v>92.638975858968294</v>
      </c>
      <c r="AL441" s="1">
        <v>110.10577470541446</v>
      </c>
      <c r="AM441" s="1">
        <v>116.7028707921346</v>
      </c>
      <c r="AN441" s="1">
        <v>103.44461732179157</v>
      </c>
      <c r="AO441" s="1">
        <v>100.77418803761337</v>
      </c>
      <c r="AP441" s="1">
        <v>102.00398441464017</v>
      </c>
      <c r="AQ441" s="1">
        <v>93.558901743626024</v>
      </c>
      <c r="AR441" s="1">
        <v>102.85663702937894</v>
      </c>
      <c r="AS441" s="1">
        <v>98.6003422659997</v>
      </c>
      <c r="AT441" s="1">
        <v>111.8045689919972</v>
      </c>
      <c r="AU441" s="1">
        <v>92.683083360025861</v>
      </c>
      <c r="AV441" s="1">
        <v>99.900323214082661</v>
      </c>
      <c r="AW441" s="1">
        <v>100</v>
      </c>
      <c r="AX441" s="1">
        <v>100</v>
      </c>
      <c r="AY441" s="1">
        <v>100</v>
      </c>
      <c r="AZ441" s="1">
        <v>100</v>
      </c>
      <c r="BA441" s="1">
        <v>100</v>
      </c>
      <c r="BB441" s="1">
        <v>100</v>
      </c>
      <c r="BC441" s="1">
        <v>100</v>
      </c>
      <c r="BD441" s="1">
        <v>100</v>
      </c>
      <c r="BE441" s="1">
        <v>100</v>
      </c>
      <c r="BF441" s="1">
        <v>100</v>
      </c>
      <c r="BG441" s="1">
        <v>100</v>
      </c>
      <c r="BH441" s="1">
        <v>100</v>
      </c>
    </row>
    <row r="442" spans="1:60" x14ac:dyDescent="0.25">
      <c r="A442">
        <f t="shared" si="7"/>
        <v>429</v>
      </c>
      <c r="B442" s="1">
        <v>105.83999340956407</v>
      </c>
      <c r="C442" s="1">
        <v>94.353173132071191</v>
      </c>
      <c r="D442" s="1">
        <v>97.69521325787963</v>
      </c>
      <c r="E442" s="1">
        <v>112.00124131369992</v>
      </c>
      <c r="F442" s="1">
        <v>95.932799101521084</v>
      </c>
      <c r="G442" s="1">
        <v>101.20264176422626</v>
      </c>
      <c r="H442" s="1">
        <v>102.6264770510757</v>
      </c>
      <c r="I442" s="1">
        <v>93.93537636040783</v>
      </c>
      <c r="J442" s="1">
        <v>109.73261611443155</v>
      </c>
      <c r="K442" s="1">
        <v>106.16590636000029</v>
      </c>
      <c r="L442" s="1">
        <v>97.47640529112131</v>
      </c>
      <c r="M442" s="1">
        <v>96.715943522481638</v>
      </c>
      <c r="N442" s="1">
        <v>100.04773223105254</v>
      </c>
      <c r="O442" s="1">
        <v>74.60230684264738</v>
      </c>
      <c r="P442" s="1">
        <v>91.6862704297411</v>
      </c>
      <c r="Q442" s="1">
        <v>100</v>
      </c>
      <c r="R442" s="1">
        <v>98.539127000430625</v>
      </c>
      <c r="S442" s="1">
        <v>104.00599955629987</v>
      </c>
      <c r="T442" s="1">
        <v>99.450163850085758</v>
      </c>
      <c r="U442" s="1">
        <v>100.96372424684154</v>
      </c>
      <c r="V442" s="1">
        <v>97.662914082816272</v>
      </c>
      <c r="W442" s="1">
        <v>102.20284750979505</v>
      </c>
      <c r="X442" s="1">
        <v>98.938308797866256</v>
      </c>
      <c r="Y442" s="1">
        <v>95.527084952955519</v>
      </c>
      <c r="Z442" s="1">
        <v>86.852744311290479</v>
      </c>
      <c r="AA442" s="1">
        <v>96.697105376186386</v>
      </c>
      <c r="AB442" s="1">
        <v>81.194497923355527</v>
      </c>
      <c r="AC442" s="1">
        <v>102.12169819441469</v>
      </c>
      <c r="AD442" s="1">
        <v>124.58879306475568</v>
      </c>
      <c r="AE442" s="1">
        <v>95.424863438877921</v>
      </c>
      <c r="AF442" s="1">
        <v>104.00414582839545</v>
      </c>
      <c r="AG442" s="1">
        <v>100</v>
      </c>
      <c r="AH442" s="1">
        <v>98.975330692053802</v>
      </c>
      <c r="AI442" s="1">
        <v>108.41388728010223</v>
      </c>
      <c r="AJ442" s="1">
        <v>101.4355028770963</v>
      </c>
      <c r="AK442" s="1">
        <v>92.638975858968294</v>
      </c>
      <c r="AL442" s="1">
        <v>108.01867180420082</v>
      </c>
      <c r="AM442" s="1">
        <v>116.7028707921346</v>
      </c>
      <c r="AN442" s="1">
        <v>103.44461732179157</v>
      </c>
      <c r="AO442" s="1">
        <v>100.77418803761337</v>
      </c>
      <c r="AP442" s="1">
        <v>102.00398441464017</v>
      </c>
      <c r="AQ442" s="1">
        <v>93.558901743626024</v>
      </c>
      <c r="AR442" s="1">
        <v>102.85663702937894</v>
      </c>
      <c r="AS442" s="1">
        <v>98.6003422659997</v>
      </c>
      <c r="AT442" s="1">
        <v>111.8045689919972</v>
      </c>
      <c r="AU442" s="1">
        <v>92.683083360025861</v>
      </c>
      <c r="AV442" s="1">
        <v>99.900323214082661</v>
      </c>
      <c r="AW442" s="1">
        <v>100</v>
      </c>
      <c r="AX442" s="1">
        <v>100</v>
      </c>
      <c r="AY442" s="1">
        <v>100</v>
      </c>
      <c r="AZ442" s="1">
        <v>100</v>
      </c>
      <c r="BA442" s="1">
        <v>100</v>
      </c>
      <c r="BB442" s="1">
        <v>100</v>
      </c>
      <c r="BC442" s="1">
        <v>100</v>
      </c>
      <c r="BD442" s="1">
        <v>100</v>
      </c>
      <c r="BE442" s="1">
        <v>100</v>
      </c>
      <c r="BF442" s="1">
        <v>100</v>
      </c>
      <c r="BG442" s="1">
        <v>100</v>
      </c>
      <c r="BH442" s="1">
        <v>100</v>
      </c>
    </row>
    <row r="443" spans="1:60" x14ac:dyDescent="0.25">
      <c r="A443">
        <f t="shared" si="7"/>
        <v>430</v>
      </c>
      <c r="B443" s="1">
        <v>105.83999340956407</v>
      </c>
      <c r="C443" s="1">
        <v>94.353173132071191</v>
      </c>
      <c r="D443" s="1">
        <v>97.69521325787963</v>
      </c>
      <c r="E443" s="1">
        <v>112.04315082649802</v>
      </c>
      <c r="F443" s="1">
        <v>95.932799101521084</v>
      </c>
      <c r="G443" s="1">
        <v>101.20264176422626</v>
      </c>
      <c r="H443" s="1">
        <v>102.6264770510757</v>
      </c>
      <c r="I443" s="1">
        <v>93.898681480592288</v>
      </c>
      <c r="J443" s="1">
        <v>109.73261611443155</v>
      </c>
      <c r="K443" s="1">
        <v>106.16590636000029</v>
      </c>
      <c r="L443" s="1">
        <v>97.47640529112131</v>
      </c>
      <c r="M443" s="1">
        <v>96.715943522481638</v>
      </c>
      <c r="N443" s="1">
        <v>100.04773223105254</v>
      </c>
      <c r="O443" s="1">
        <v>74.60230684264738</v>
      </c>
      <c r="P443" s="1">
        <v>91.6862704297411</v>
      </c>
      <c r="Q443" s="1">
        <v>100</v>
      </c>
      <c r="R443" s="1">
        <v>98.539127000430625</v>
      </c>
      <c r="S443" s="1">
        <v>104.00599955629987</v>
      </c>
      <c r="T443" s="1">
        <v>99.450163850085758</v>
      </c>
      <c r="U443" s="1">
        <v>100.96372424684154</v>
      </c>
      <c r="V443" s="1">
        <v>97.662914082816272</v>
      </c>
      <c r="W443" s="1">
        <v>102.20284750979505</v>
      </c>
      <c r="X443" s="1">
        <v>98.938308797866256</v>
      </c>
      <c r="Y443" s="1">
        <v>95.527084952955519</v>
      </c>
      <c r="Z443" s="1">
        <v>86.852744311290479</v>
      </c>
      <c r="AA443" s="1">
        <v>96.697105376186386</v>
      </c>
      <c r="AB443" s="1">
        <v>81.194497923355527</v>
      </c>
      <c r="AC443" s="1">
        <v>102.12169819441469</v>
      </c>
      <c r="AD443" s="1">
        <v>124.54012374585781</v>
      </c>
      <c r="AE443" s="1">
        <v>95.424863438877921</v>
      </c>
      <c r="AF443" s="1">
        <v>104.00414582839545</v>
      </c>
      <c r="AG443" s="1">
        <v>100</v>
      </c>
      <c r="AH443" s="1">
        <v>98.975330692053802</v>
      </c>
      <c r="AI443" s="1">
        <v>108.41388728010223</v>
      </c>
      <c r="AJ443" s="1">
        <v>101.4355028770963</v>
      </c>
      <c r="AK443" s="1">
        <v>92.638975858968294</v>
      </c>
      <c r="AL443" s="1">
        <v>108.06212649011613</v>
      </c>
      <c r="AM443" s="1">
        <v>116.7028707921346</v>
      </c>
      <c r="AN443" s="1">
        <v>103.44461732179157</v>
      </c>
      <c r="AO443" s="1">
        <v>100.77418803761337</v>
      </c>
      <c r="AP443" s="1">
        <v>102.00398441464017</v>
      </c>
      <c r="AQ443" s="1">
        <v>93.558901743626024</v>
      </c>
      <c r="AR443" s="1">
        <v>102.85663702937894</v>
      </c>
      <c r="AS443" s="1">
        <v>98.6003422659997</v>
      </c>
      <c r="AT443" s="1">
        <v>111.8045689919972</v>
      </c>
      <c r="AU443" s="1">
        <v>92.683083360025861</v>
      </c>
      <c r="AV443" s="1">
        <v>99.900323214082661</v>
      </c>
      <c r="AW443" s="1">
        <v>100</v>
      </c>
      <c r="AX443" s="1">
        <v>100</v>
      </c>
      <c r="AY443" s="1">
        <v>100</v>
      </c>
      <c r="AZ443" s="1">
        <v>100</v>
      </c>
      <c r="BA443" s="1">
        <v>100</v>
      </c>
      <c r="BB443" s="1">
        <v>100</v>
      </c>
      <c r="BC443" s="1">
        <v>100</v>
      </c>
      <c r="BD443" s="1">
        <v>100</v>
      </c>
      <c r="BE443" s="1">
        <v>100</v>
      </c>
      <c r="BF443" s="1">
        <v>100</v>
      </c>
      <c r="BG443" s="1">
        <v>100</v>
      </c>
      <c r="BH443" s="1">
        <v>100</v>
      </c>
    </row>
    <row r="444" spans="1:60" x14ac:dyDescent="0.25">
      <c r="A444">
        <f t="shared" si="7"/>
        <v>431</v>
      </c>
      <c r="B444" s="1">
        <v>105.83999340956407</v>
      </c>
      <c r="C444" s="1">
        <v>94.353173132071191</v>
      </c>
      <c r="D444" s="1">
        <v>97.69521325787963</v>
      </c>
      <c r="E444" s="1">
        <v>112.04315082649802</v>
      </c>
      <c r="F444" s="1">
        <v>95.932799101521084</v>
      </c>
      <c r="G444" s="1">
        <v>101.20264176422626</v>
      </c>
      <c r="H444" s="1">
        <v>102.6264770510757</v>
      </c>
      <c r="I444" s="1">
        <v>93.898681480592288</v>
      </c>
      <c r="J444" s="1">
        <v>109.73261611443155</v>
      </c>
      <c r="K444" s="1">
        <v>106.16590636000029</v>
      </c>
      <c r="L444" s="1">
        <v>97.47640529112131</v>
      </c>
      <c r="M444" s="1">
        <v>96.715943522481638</v>
      </c>
      <c r="N444" s="1">
        <v>100.04773223105254</v>
      </c>
      <c r="O444" s="1">
        <v>74.60230684264738</v>
      </c>
      <c r="P444" s="1">
        <v>91.6862704297411</v>
      </c>
      <c r="Q444" s="1">
        <v>100</v>
      </c>
      <c r="R444" s="1">
        <v>98.539127000430625</v>
      </c>
      <c r="S444" s="1">
        <v>104.00599955629987</v>
      </c>
      <c r="T444" s="1">
        <v>99.450163850085758</v>
      </c>
      <c r="U444" s="1">
        <v>100.96372424684154</v>
      </c>
      <c r="V444" s="1">
        <v>97.662914082816272</v>
      </c>
      <c r="W444" s="1">
        <v>102.20284750979505</v>
      </c>
      <c r="X444" s="1">
        <v>98.938308797866256</v>
      </c>
      <c r="Y444" s="1">
        <v>95.527084952955519</v>
      </c>
      <c r="Z444" s="1">
        <v>86.852744311290479</v>
      </c>
      <c r="AA444" s="1">
        <v>96.697105376186386</v>
      </c>
      <c r="AB444" s="1">
        <v>82.44176059159804</v>
      </c>
      <c r="AC444" s="1">
        <v>102.12169819441469</v>
      </c>
      <c r="AD444" s="1">
        <v>124.54012374585781</v>
      </c>
      <c r="AE444" s="1">
        <v>95.424863438877921</v>
      </c>
      <c r="AF444" s="1">
        <v>104.00414582839545</v>
      </c>
      <c r="AG444" s="1">
        <v>100</v>
      </c>
      <c r="AH444" s="1">
        <v>98.975330692053802</v>
      </c>
      <c r="AI444" s="1">
        <v>109.34800069183562</v>
      </c>
      <c r="AJ444" s="1">
        <v>101.4355028770963</v>
      </c>
      <c r="AK444" s="1">
        <v>92.638975858968294</v>
      </c>
      <c r="AL444" s="1">
        <v>108.06212649011613</v>
      </c>
      <c r="AM444" s="1">
        <v>116.7028707921346</v>
      </c>
      <c r="AN444" s="1">
        <v>102.33966710219308</v>
      </c>
      <c r="AO444" s="1">
        <v>99.697762177235973</v>
      </c>
      <c r="AP444" s="1">
        <v>102.00398441464017</v>
      </c>
      <c r="AQ444" s="1">
        <v>93.558901743626024</v>
      </c>
      <c r="AR444" s="1">
        <v>102.85663702937894</v>
      </c>
      <c r="AS444" s="1">
        <v>98.6003422659997</v>
      </c>
      <c r="AT444" s="1">
        <v>111.8045689919972</v>
      </c>
      <c r="AU444" s="1">
        <v>92.683083360025861</v>
      </c>
      <c r="AV444" s="1">
        <v>99.900323214082661</v>
      </c>
      <c r="AW444" s="1">
        <v>100</v>
      </c>
      <c r="AX444" s="1">
        <v>100</v>
      </c>
      <c r="AY444" s="1">
        <v>100</v>
      </c>
      <c r="AZ444" s="1">
        <v>100</v>
      </c>
      <c r="BA444" s="1">
        <v>100</v>
      </c>
      <c r="BB444" s="1">
        <v>100</v>
      </c>
      <c r="BC444" s="1">
        <v>100</v>
      </c>
      <c r="BD444" s="1">
        <v>100</v>
      </c>
      <c r="BE444" s="1">
        <v>100</v>
      </c>
      <c r="BF444" s="1">
        <v>100</v>
      </c>
      <c r="BG444" s="1">
        <v>100</v>
      </c>
      <c r="BH444" s="1">
        <v>100</v>
      </c>
    </row>
    <row r="445" spans="1:60" x14ac:dyDescent="0.25">
      <c r="A445">
        <f t="shared" si="7"/>
        <v>432</v>
      </c>
      <c r="B445" s="1">
        <v>105.83999340956407</v>
      </c>
      <c r="C445" s="1">
        <v>94.353173132071191</v>
      </c>
      <c r="D445" s="1">
        <v>97.69521325787963</v>
      </c>
      <c r="E445" s="1">
        <v>112.04315082649802</v>
      </c>
      <c r="F445" s="1">
        <v>95.932799101521084</v>
      </c>
      <c r="G445" s="1">
        <v>101.20264176422626</v>
      </c>
      <c r="H445" s="1">
        <v>102.6264770510757</v>
      </c>
      <c r="I445" s="1">
        <v>93.898681480592288</v>
      </c>
      <c r="J445" s="1">
        <v>109.73261611443155</v>
      </c>
      <c r="K445" s="1">
        <v>106.16590636000029</v>
      </c>
      <c r="L445" s="1">
        <v>97.47640529112131</v>
      </c>
      <c r="M445" s="1">
        <v>96.715943522481638</v>
      </c>
      <c r="N445" s="1">
        <v>100.04773223105254</v>
      </c>
      <c r="O445" s="1">
        <v>74.60230684264738</v>
      </c>
      <c r="P445" s="1">
        <v>91.6862704297411</v>
      </c>
      <c r="Q445" s="1">
        <v>100</v>
      </c>
      <c r="R445" s="1">
        <v>98.539127000430625</v>
      </c>
      <c r="S445" s="1">
        <v>104.00599955629987</v>
      </c>
      <c r="T445" s="1">
        <v>99.450163850085758</v>
      </c>
      <c r="U445" s="1">
        <v>100.96372424684154</v>
      </c>
      <c r="V445" s="1">
        <v>97.662914082816272</v>
      </c>
      <c r="W445" s="1">
        <v>102.20284750979505</v>
      </c>
      <c r="X445" s="1">
        <v>98.938308797866256</v>
      </c>
      <c r="Y445" s="1">
        <v>95.527084952955519</v>
      </c>
      <c r="Z445" s="1">
        <v>86.852744311290479</v>
      </c>
      <c r="AA445" s="1">
        <v>96.697105376186386</v>
      </c>
      <c r="AB445" s="1">
        <v>82.303513670175988</v>
      </c>
      <c r="AC445" s="1">
        <v>102.12169819441469</v>
      </c>
      <c r="AD445" s="1">
        <v>124.54012374585781</v>
      </c>
      <c r="AE445" s="1">
        <v>95.424863438877921</v>
      </c>
      <c r="AF445" s="1">
        <v>104.00414582839545</v>
      </c>
      <c r="AG445" s="1">
        <v>100</v>
      </c>
      <c r="AH445" s="1">
        <v>98.975330692053802</v>
      </c>
      <c r="AI445" s="1">
        <v>109.16463458768133</v>
      </c>
      <c r="AJ445" s="1">
        <v>101.4355028770963</v>
      </c>
      <c r="AK445" s="1">
        <v>92.638975858968294</v>
      </c>
      <c r="AL445" s="1">
        <v>108.06212649011613</v>
      </c>
      <c r="AM445" s="1">
        <v>116.7028707921346</v>
      </c>
      <c r="AN445" s="1">
        <v>102.49837085847906</v>
      </c>
      <c r="AO445" s="1">
        <v>99.860671446526325</v>
      </c>
      <c r="AP445" s="1">
        <v>102.00398441464017</v>
      </c>
      <c r="AQ445" s="1">
        <v>93.558901743626024</v>
      </c>
      <c r="AR445" s="1">
        <v>102.85663702937894</v>
      </c>
      <c r="AS445" s="1">
        <v>98.6003422659997</v>
      </c>
      <c r="AT445" s="1">
        <v>111.8045689919972</v>
      </c>
      <c r="AU445" s="1">
        <v>92.683083360025861</v>
      </c>
      <c r="AV445" s="1">
        <v>99.900323214082661</v>
      </c>
      <c r="AW445" s="1">
        <v>100</v>
      </c>
      <c r="AX445" s="1">
        <v>100</v>
      </c>
      <c r="AY445" s="1">
        <v>100</v>
      </c>
      <c r="AZ445" s="1">
        <v>100</v>
      </c>
      <c r="BA445" s="1">
        <v>100</v>
      </c>
      <c r="BB445" s="1">
        <v>100</v>
      </c>
      <c r="BC445" s="1">
        <v>100</v>
      </c>
      <c r="BD445" s="1">
        <v>100</v>
      </c>
      <c r="BE445" s="1">
        <v>100</v>
      </c>
      <c r="BF445" s="1">
        <v>100</v>
      </c>
      <c r="BG445" s="1">
        <v>100</v>
      </c>
      <c r="BH445" s="1">
        <v>100</v>
      </c>
    </row>
    <row r="446" spans="1:60" x14ac:dyDescent="0.25">
      <c r="A446">
        <f t="shared" si="7"/>
        <v>433</v>
      </c>
      <c r="B446" s="1">
        <v>107.31512141325321</v>
      </c>
      <c r="C446" s="1">
        <v>94.353173132071191</v>
      </c>
      <c r="D446" s="1">
        <v>97.69521325787963</v>
      </c>
      <c r="E446" s="1">
        <v>113.43660983793274</v>
      </c>
      <c r="F446" s="1">
        <v>95.932799101521084</v>
      </c>
      <c r="G446" s="1">
        <v>101.20264176422626</v>
      </c>
      <c r="H446" s="1">
        <v>102.6264770510757</v>
      </c>
      <c r="I446" s="1">
        <v>93.898681480592288</v>
      </c>
      <c r="J446" s="1">
        <v>109.73261611443155</v>
      </c>
      <c r="K446" s="1">
        <v>106.16590636000029</v>
      </c>
      <c r="L446" s="1">
        <v>97.47640529112131</v>
      </c>
      <c r="M446" s="1">
        <v>96.715943522481638</v>
      </c>
      <c r="N446" s="1">
        <v>100.04773223105254</v>
      </c>
      <c r="O446" s="1">
        <v>74.60230684264738</v>
      </c>
      <c r="P446" s="1">
        <v>91.6862704297411</v>
      </c>
      <c r="Q446" s="1">
        <v>100</v>
      </c>
      <c r="R446" s="1">
        <v>98.539127000430625</v>
      </c>
      <c r="S446" s="1">
        <v>104.00599955629987</v>
      </c>
      <c r="T446" s="1">
        <v>99.450163850085758</v>
      </c>
      <c r="U446" s="1">
        <v>100.96372424684154</v>
      </c>
      <c r="V446" s="1">
        <v>97.662914082816272</v>
      </c>
      <c r="W446" s="1">
        <v>102.20284750979505</v>
      </c>
      <c r="X446" s="1">
        <v>98.938308797866256</v>
      </c>
      <c r="Y446" s="1">
        <v>94.070776868988247</v>
      </c>
      <c r="Z446" s="1">
        <v>86.852744311290479</v>
      </c>
      <c r="AA446" s="1">
        <v>96.697105376186386</v>
      </c>
      <c r="AB446" s="1">
        <v>82.303513670175988</v>
      </c>
      <c r="AC446" s="1">
        <v>102.12169819441469</v>
      </c>
      <c r="AD446" s="1">
        <v>124.54012374585781</v>
      </c>
      <c r="AE446" s="1">
        <v>95.424863438877921</v>
      </c>
      <c r="AF446" s="1">
        <v>104.00414582839545</v>
      </c>
      <c r="AG446" s="1">
        <v>100</v>
      </c>
      <c r="AH446" s="1">
        <v>98.975330692053802</v>
      </c>
      <c r="AI446" s="1">
        <v>109.16463458768133</v>
      </c>
      <c r="AJ446" s="1">
        <v>101.4355028770963</v>
      </c>
      <c r="AK446" s="1">
        <v>91.226696927811716</v>
      </c>
      <c r="AL446" s="1">
        <v>108.06212649011613</v>
      </c>
      <c r="AM446" s="1">
        <v>116.7028707921346</v>
      </c>
      <c r="AN446" s="1">
        <v>102.49837085847906</v>
      </c>
      <c r="AO446" s="1">
        <v>99.860671446526325</v>
      </c>
      <c r="AP446" s="1">
        <v>102.00398441464017</v>
      </c>
      <c r="AQ446" s="1">
        <v>93.558901743626024</v>
      </c>
      <c r="AR446" s="1">
        <v>102.85663702937894</v>
      </c>
      <c r="AS446" s="1">
        <v>98.6003422659997</v>
      </c>
      <c r="AT446" s="1">
        <v>111.8045689919972</v>
      </c>
      <c r="AU446" s="1">
        <v>92.683083360025861</v>
      </c>
      <c r="AV446" s="1">
        <v>99.900323214082661</v>
      </c>
      <c r="AW446" s="1">
        <v>100</v>
      </c>
      <c r="AX446" s="1">
        <v>100</v>
      </c>
      <c r="AY446" s="1">
        <v>100</v>
      </c>
      <c r="AZ446" s="1">
        <v>100</v>
      </c>
      <c r="BA446" s="1">
        <v>100</v>
      </c>
      <c r="BB446" s="1">
        <v>100</v>
      </c>
      <c r="BC446" s="1">
        <v>100</v>
      </c>
      <c r="BD446" s="1">
        <v>100</v>
      </c>
      <c r="BE446" s="1">
        <v>100</v>
      </c>
      <c r="BF446" s="1">
        <v>100</v>
      </c>
      <c r="BG446" s="1">
        <v>100</v>
      </c>
      <c r="BH446" s="1">
        <v>100</v>
      </c>
    </row>
    <row r="447" spans="1:60" x14ac:dyDescent="0.25">
      <c r="A447">
        <f t="shared" si="7"/>
        <v>434</v>
      </c>
      <c r="B447" s="1">
        <v>107.80692562907903</v>
      </c>
      <c r="C447" s="1">
        <v>94.353173132071191</v>
      </c>
      <c r="D447" s="1">
        <v>97.69521325787963</v>
      </c>
      <c r="E447" s="1">
        <v>113.90187435181676</v>
      </c>
      <c r="F447" s="1">
        <v>95.932799101521084</v>
      </c>
      <c r="G447" s="1">
        <v>101.20264176422626</v>
      </c>
      <c r="H447" s="1">
        <v>102.6264770510757</v>
      </c>
      <c r="I447" s="1">
        <v>93.898681480592288</v>
      </c>
      <c r="J447" s="1">
        <v>109.73261611443155</v>
      </c>
      <c r="K447" s="1">
        <v>106.16590636000029</v>
      </c>
      <c r="L447" s="1">
        <v>97.47640529112131</v>
      </c>
      <c r="M447" s="1">
        <v>96.715943522481638</v>
      </c>
      <c r="N447" s="1">
        <v>100.04773223105254</v>
      </c>
      <c r="O447" s="1">
        <v>74.60230684264738</v>
      </c>
      <c r="P447" s="1">
        <v>91.6862704297411</v>
      </c>
      <c r="Q447" s="1">
        <v>100</v>
      </c>
      <c r="R447" s="1">
        <v>98.539127000430625</v>
      </c>
      <c r="S447" s="1">
        <v>104.00599955629987</v>
      </c>
      <c r="T447" s="1">
        <v>99.450163850085758</v>
      </c>
      <c r="U447" s="1">
        <v>100.96372424684154</v>
      </c>
      <c r="V447" s="1">
        <v>97.662914082816272</v>
      </c>
      <c r="W447" s="1">
        <v>102.20284750979505</v>
      </c>
      <c r="X447" s="1">
        <v>98.938308797866256</v>
      </c>
      <c r="Y447" s="1">
        <v>93.584897611834691</v>
      </c>
      <c r="Z447" s="1">
        <v>86.852744311290479</v>
      </c>
      <c r="AA447" s="1">
        <v>96.697105376186386</v>
      </c>
      <c r="AB447" s="1">
        <v>82.303513670175988</v>
      </c>
      <c r="AC447" s="1">
        <v>102.12169819441469</v>
      </c>
      <c r="AD447" s="1">
        <v>124.54012374585781</v>
      </c>
      <c r="AE447" s="1">
        <v>95.424863438877921</v>
      </c>
      <c r="AF447" s="1">
        <v>104.00414582839545</v>
      </c>
      <c r="AG447" s="1">
        <v>100</v>
      </c>
      <c r="AH447" s="1">
        <v>98.975330692053802</v>
      </c>
      <c r="AI447" s="1">
        <v>109.16463458768133</v>
      </c>
      <c r="AJ447" s="1">
        <v>101.4355028770963</v>
      </c>
      <c r="AK447" s="1">
        <v>90.75550745525544</v>
      </c>
      <c r="AL447" s="1">
        <v>108.06212649011613</v>
      </c>
      <c r="AM447" s="1">
        <v>116.7028707921346</v>
      </c>
      <c r="AN447" s="1">
        <v>102.49837085847906</v>
      </c>
      <c r="AO447" s="1">
        <v>99.860671446526325</v>
      </c>
      <c r="AP447" s="1">
        <v>102.00398441464017</v>
      </c>
      <c r="AQ447" s="1">
        <v>93.558901743626024</v>
      </c>
      <c r="AR447" s="1">
        <v>102.85663702937894</v>
      </c>
      <c r="AS447" s="1">
        <v>98.6003422659997</v>
      </c>
      <c r="AT447" s="1">
        <v>111.8045689919972</v>
      </c>
      <c r="AU447" s="1">
        <v>92.683083360025861</v>
      </c>
      <c r="AV447" s="1">
        <v>99.900323214082661</v>
      </c>
      <c r="AW447" s="1">
        <v>100</v>
      </c>
      <c r="AX447" s="1">
        <v>100</v>
      </c>
      <c r="AY447" s="1">
        <v>100</v>
      </c>
      <c r="AZ447" s="1">
        <v>100</v>
      </c>
      <c r="BA447" s="1">
        <v>100</v>
      </c>
      <c r="BB447" s="1">
        <v>100</v>
      </c>
      <c r="BC447" s="1">
        <v>100</v>
      </c>
      <c r="BD447" s="1">
        <v>100</v>
      </c>
      <c r="BE447" s="1">
        <v>100</v>
      </c>
      <c r="BF447" s="1">
        <v>100</v>
      </c>
      <c r="BG447" s="1">
        <v>100</v>
      </c>
      <c r="BH447" s="1">
        <v>100</v>
      </c>
    </row>
    <row r="448" spans="1:60" x14ac:dyDescent="0.25">
      <c r="A448">
        <f t="shared" si="7"/>
        <v>435</v>
      </c>
      <c r="B448" s="1">
        <v>107.80692562907903</v>
      </c>
      <c r="C448" s="1">
        <v>94.353173132071191</v>
      </c>
      <c r="D448" s="1">
        <v>97.69521325787963</v>
      </c>
      <c r="E448" s="1">
        <v>115.065308288629</v>
      </c>
      <c r="F448" s="1">
        <v>95.932799101521084</v>
      </c>
      <c r="G448" s="1">
        <v>101.20264176422626</v>
      </c>
      <c r="H448" s="1">
        <v>102.6264770510757</v>
      </c>
      <c r="I448" s="1">
        <v>93.898681480592288</v>
      </c>
      <c r="J448" s="1">
        <v>109.73261611443155</v>
      </c>
      <c r="K448" s="1">
        <v>106.16590636000029</v>
      </c>
      <c r="L448" s="1">
        <v>97.47640529112131</v>
      </c>
      <c r="M448" s="1">
        <v>96.715943522481638</v>
      </c>
      <c r="N448" s="1">
        <v>100.04773223105254</v>
      </c>
      <c r="O448" s="1">
        <v>74.60230684264738</v>
      </c>
      <c r="P448" s="1">
        <v>91.6862704297411</v>
      </c>
      <c r="Q448" s="1">
        <v>100</v>
      </c>
      <c r="R448" s="1">
        <v>98.539127000430625</v>
      </c>
      <c r="S448" s="1">
        <v>104.00599955629987</v>
      </c>
      <c r="T448" s="1">
        <v>99.450163850085758</v>
      </c>
      <c r="U448" s="1">
        <v>100.96372424684154</v>
      </c>
      <c r="V448" s="1">
        <v>97.662914082816272</v>
      </c>
      <c r="W448" s="1">
        <v>102.20284750979505</v>
      </c>
      <c r="X448" s="1">
        <v>98.938308797866256</v>
      </c>
      <c r="Y448" s="1">
        <v>93.584897611834691</v>
      </c>
      <c r="Z448" s="1">
        <v>86.852744311290479</v>
      </c>
      <c r="AA448" s="1">
        <v>96.697105376186386</v>
      </c>
      <c r="AB448" s="1">
        <v>82.303513670175988</v>
      </c>
      <c r="AC448" s="1">
        <v>102.12169819441469</v>
      </c>
      <c r="AD448" s="1">
        <v>124.54012374585781</v>
      </c>
      <c r="AE448" s="1">
        <v>96.813571803887086</v>
      </c>
      <c r="AF448" s="1">
        <v>104.00414582839545</v>
      </c>
      <c r="AG448" s="1">
        <v>100</v>
      </c>
      <c r="AH448" s="1">
        <v>98.975330692053802</v>
      </c>
      <c r="AI448" s="1">
        <v>109.16463458768133</v>
      </c>
      <c r="AJ448" s="1">
        <v>101.4355028770963</v>
      </c>
      <c r="AK448" s="1">
        <v>89.556975391004684</v>
      </c>
      <c r="AL448" s="1">
        <v>108.06212649011613</v>
      </c>
      <c r="AM448" s="1">
        <v>116.7028707921346</v>
      </c>
      <c r="AN448" s="1">
        <v>101.14476062090841</v>
      </c>
      <c r="AO448" s="1">
        <v>99.860671446526325</v>
      </c>
      <c r="AP448" s="1">
        <v>102.00398441464017</v>
      </c>
      <c r="AQ448" s="1">
        <v>93.558901743626024</v>
      </c>
      <c r="AR448" s="1">
        <v>102.85663702937894</v>
      </c>
      <c r="AS448" s="1">
        <v>98.6003422659997</v>
      </c>
      <c r="AT448" s="1">
        <v>111.8045689919972</v>
      </c>
      <c r="AU448" s="1">
        <v>92.683083360025861</v>
      </c>
      <c r="AV448" s="1">
        <v>99.900323214082661</v>
      </c>
      <c r="AW448" s="1">
        <v>100</v>
      </c>
      <c r="AX448" s="1">
        <v>100</v>
      </c>
      <c r="AY448" s="1">
        <v>100</v>
      </c>
      <c r="AZ448" s="1">
        <v>100</v>
      </c>
      <c r="BA448" s="1">
        <v>100</v>
      </c>
      <c r="BB448" s="1">
        <v>100</v>
      </c>
      <c r="BC448" s="1">
        <v>100</v>
      </c>
      <c r="BD448" s="1">
        <v>100</v>
      </c>
      <c r="BE448" s="1">
        <v>100</v>
      </c>
      <c r="BF448" s="1">
        <v>100</v>
      </c>
      <c r="BG448" s="1">
        <v>100</v>
      </c>
      <c r="BH448" s="1">
        <v>100</v>
      </c>
    </row>
    <row r="449" spans="1:60" x14ac:dyDescent="0.25">
      <c r="A449">
        <f t="shared" si="7"/>
        <v>436</v>
      </c>
      <c r="B449" s="1">
        <v>107.80692562907903</v>
      </c>
      <c r="C449" s="1">
        <v>94.353173132071191</v>
      </c>
      <c r="D449" s="1">
        <v>97.69521325787963</v>
      </c>
      <c r="E449" s="1">
        <v>114.35435532541109</v>
      </c>
      <c r="F449" s="1">
        <v>95.932799101521084</v>
      </c>
      <c r="G449" s="1">
        <v>101.20264176422626</v>
      </c>
      <c r="H449" s="1">
        <v>102.6264770510757</v>
      </c>
      <c r="I449" s="1">
        <v>93.898681480592288</v>
      </c>
      <c r="J449" s="1">
        <v>109.73261611443155</v>
      </c>
      <c r="K449" s="1">
        <v>106.16590636000029</v>
      </c>
      <c r="L449" s="1">
        <v>97.47640529112131</v>
      </c>
      <c r="M449" s="1">
        <v>96.715943522481638</v>
      </c>
      <c r="N449" s="1">
        <v>100.04773223105254</v>
      </c>
      <c r="O449" s="1">
        <v>74.60230684264738</v>
      </c>
      <c r="P449" s="1">
        <v>91.6862704297411</v>
      </c>
      <c r="Q449" s="1">
        <v>100</v>
      </c>
      <c r="R449" s="1">
        <v>98.539127000430625</v>
      </c>
      <c r="S449" s="1">
        <v>104.00599955629987</v>
      </c>
      <c r="T449" s="1">
        <v>99.450163850085758</v>
      </c>
      <c r="U449" s="1">
        <v>100.96372424684154</v>
      </c>
      <c r="V449" s="1">
        <v>97.662914082816272</v>
      </c>
      <c r="W449" s="1">
        <v>102.20284750979505</v>
      </c>
      <c r="X449" s="1">
        <v>98.938308797866256</v>
      </c>
      <c r="Y449" s="1">
        <v>93.584897611834691</v>
      </c>
      <c r="Z449" s="1">
        <v>86.852744311290479</v>
      </c>
      <c r="AA449" s="1">
        <v>96.697105376186386</v>
      </c>
      <c r="AB449" s="1">
        <v>82.303513670175988</v>
      </c>
      <c r="AC449" s="1">
        <v>102.12169819441469</v>
      </c>
      <c r="AD449" s="1">
        <v>124.54012374585781</v>
      </c>
      <c r="AE449" s="1">
        <v>96.215390677208731</v>
      </c>
      <c r="AF449" s="1">
        <v>104.00414582839545</v>
      </c>
      <c r="AG449" s="1">
        <v>100</v>
      </c>
      <c r="AH449" s="1">
        <v>98.975330692053802</v>
      </c>
      <c r="AI449" s="1">
        <v>109.16463458768133</v>
      </c>
      <c r="AJ449" s="1">
        <v>101.4355028770963</v>
      </c>
      <c r="AK449" s="1">
        <v>90.251316496189787</v>
      </c>
      <c r="AL449" s="1">
        <v>108.06212649011613</v>
      </c>
      <c r="AM449" s="1">
        <v>116.7028707921346</v>
      </c>
      <c r="AN449" s="1">
        <v>101.75955360561959</v>
      </c>
      <c r="AO449" s="1">
        <v>99.860671446526325</v>
      </c>
      <c r="AP449" s="1">
        <v>102.00398441464017</v>
      </c>
      <c r="AQ449" s="1">
        <v>93.558901743626024</v>
      </c>
      <c r="AR449" s="1">
        <v>102.85663702937894</v>
      </c>
      <c r="AS449" s="1">
        <v>98.6003422659997</v>
      </c>
      <c r="AT449" s="1">
        <v>111.8045689919972</v>
      </c>
      <c r="AU449" s="1">
        <v>92.683083360025861</v>
      </c>
      <c r="AV449" s="1">
        <v>99.900323214082661</v>
      </c>
      <c r="AW449" s="1">
        <v>100</v>
      </c>
      <c r="AX449" s="1">
        <v>100</v>
      </c>
      <c r="AY449" s="1">
        <v>100</v>
      </c>
      <c r="AZ449" s="1">
        <v>100</v>
      </c>
      <c r="BA449" s="1">
        <v>100</v>
      </c>
      <c r="BB449" s="1">
        <v>100</v>
      </c>
      <c r="BC449" s="1">
        <v>100</v>
      </c>
      <c r="BD449" s="1">
        <v>100</v>
      </c>
      <c r="BE449" s="1">
        <v>100</v>
      </c>
      <c r="BF449" s="1">
        <v>100</v>
      </c>
      <c r="BG449" s="1">
        <v>100</v>
      </c>
      <c r="BH449" s="1">
        <v>100</v>
      </c>
    </row>
    <row r="450" spans="1:60" x14ac:dyDescent="0.25">
      <c r="A450">
        <f t="shared" si="7"/>
        <v>437</v>
      </c>
      <c r="B450" s="1">
        <v>106.62605445144305</v>
      </c>
      <c r="C450" s="1">
        <v>94.353173132071191</v>
      </c>
      <c r="D450" s="1">
        <v>97.69521325787963</v>
      </c>
      <c r="E450" s="1">
        <v>114.35435532541109</v>
      </c>
      <c r="F450" s="1">
        <v>95.932799101521084</v>
      </c>
      <c r="G450" s="1">
        <v>101.20264176422626</v>
      </c>
      <c r="H450" s="1">
        <v>102.6264770510757</v>
      </c>
      <c r="I450" s="1">
        <v>93.898681480592288</v>
      </c>
      <c r="J450" s="1">
        <v>109.73261611443155</v>
      </c>
      <c r="K450" s="1">
        <v>106.16590636000029</v>
      </c>
      <c r="L450" s="1">
        <v>97.47640529112131</v>
      </c>
      <c r="M450" s="1">
        <v>96.715943522481638</v>
      </c>
      <c r="N450" s="1">
        <v>100.04773223105254</v>
      </c>
      <c r="O450" s="1">
        <v>73.785144926364381</v>
      </c>
      <c r="P450" s="1">
        <v>91.6862704297411</v>
      </c>
      <c r="Q450" s="1">
        <v>100</v>
      </c>
      <c r="R450" s="1">
        <v>98.539127000430625</v>
      </c>
      <c r="S450" s="1">
        <v>104.00599955629987</v>
      </c>
      <c r="T450" s="1">
        <v>99.450163850085758</v>
      </c>
      <c r="U450" s="1">
        <v>100.96372424684154</v>
      </c>
      <c r="V450" s="1">
        <v>97.662914082816272</v>
      </c>
      <c r="W450" s="1">
        <v>102.20284750979505</v>
      </c>
      <c r="X450" s="1">
        <v>98.938308797866256</v>
      </c>
      <c r="Y450" s="1">
        <v>93.584897611834691</v>
      </c>
      <c r="Z450" s="1">
        <v>86.852744311290479</v>
      </c>
      <c r="AA450" s="1">
        <v>96.697105376186386</v>
      </c>
      <c r="AB450" s="1">
        <v>82.303513670175988</v>
      </c>
      <c r="AC450" s="1">
        <v>102.12169819441469</v>
      </c>
      <c r="AD450" s="1">
        <v>124.54012374585781</v>
      </c>
      <c r="AE450" s="1">
        <v>97.272343531935547</v>
      </c>
      <c r="AF450" s="1">
        <v>104.00414582839545</v>
      </c>
      <c r="AG450" s="1">
        <v>100</v>
      </c>
      <c r="AH450" s="1">
        <v>98.975330692053802</v>
      </c>
      <c r="AI450" s="1">
        <v>109.16463458768133</v>
      </c>
      <c r="AJ450" s="1">
        <v>101.4355028770963</v>
      </c>
      <c r="AK450" s="1">
        <v>90.251316496189787</v>
      </c>
      <c r="AL450" s="1">
        <v>109.00320672930829</v>
      </c>
      <c r="AM450" s="1">
        <v>116.7028707921346</v>
      </c>
      <c r="AN450" s="1">
        <v>101.75955360561959</v>
      </c>
      <c r="AO450" s="1">
        <v>99.860671446526325</v>
      </c>
      <c r="AP450" s="1">
        <v>102.00398441464017</v>
      </c>
      <c r="AQ450" s="1">
        <v>93.558901743626024</v>
      </c>
      <c r="AR450" s="1">
        <v>102.85663702937894</v>
      </c>
      <c r="AS450" s="1">
        <v>98.6003422659997</v>
      </c>
      <c r="AT450" s="1">
        <v>111.8045689919972</v>
      </c>
      <c r="AU450" s="1">
        <v>92.683083360025861</v>
      </c>
      <c r="AV450" s="1">
        <v>99.900323214082661</v>
      </c>
      <c r="AW450" s="1">
        <v>100</v>
      </c>
      <c r="AX450" s="1">
        <v>100</v>
      </c>
      <c r="AY450" s="1">
        <v>100</v>
      </c>
      <c r="AZ450" s="1">
        <v>100</v>
      </c>
      <c r="BA450" s="1">
        <v>100</v>
      </c>
      <c r="BB450" s="1">
        <v>100</v>
      </c>
      <c r="BC450" s="1">
        <v>100</v>
      </c>
      <c r="BD450" s="1">
        <v>100</v>
      </c>
      <c r="BE450" s="1">
        <v>100</v>
      </c>
      <c r="BF450" s="1">
        <v>100</v>
      </c>
      <c r="BG450" s="1">
        <v>100</v>
      </c>
      <c r="BH450" s="1">
        <v>100</v>
      </c>
    </row>
    <row r="451" spans="1:60" x14ac:dyDescent="0.25">
      <c r="A451">
        <f t="shared" si="7"/>
        <v>438</v>
      </c>
      <c r="B451" s="1">
        <v>108.32307807424611</v>
      </c>
      <c r="C451" s="1">
        <v>94.353173132071191</v>
      </c>
      <c r="D451" s="1">
        <v>97.69521325787963</v>
      </c>
      <c r="E451" s="1">
        <v>114.35435532541109</v>
      </c>
      <c r="F451" s="1">
        <v>95.932799101521084</v>
      </c>
      <c r="G451" s="1">
        <v>101.20264176422626</v>
      </c>
      <c r="H451" s="1">
        <v>102.6264770510757</v>
      </c>
      <c r="I451" s="1">
        <v>93.898681480592288</v>
      </c>
      <c r="J451" s="1">
        <v>109.73261611443155</v>
      </c>
      <c r="K451" s="1">
        <v>106.16590636000029</v>
      </c>
      <c r="L451" s="1">
        <v>97.47640529112131</v>
      </c>
      <c r="M451" s="1">
        <v>96.715943522481638</v>
      </c>
      <c r="N451" s="1">
        <v>100.04773223105254</v>
      </c>
      <c r="O451" s="1">
        <v>76.237494019003066</v>
      </c>
      <c r="P451" s="1">
        <v>91.6862704297411</v>
      </c>
      <c r="Q451" s="1">
        <v>100</v>
      </c>
      <c r="R451" s="1">
        <v>98.539127000430625</v>
      </c>
      <c r="S451" s="1">
        <v>104.00599955629987</v>
      </c>
      <c r="T451" s="1">
        <v>99.450163850085758</v>
      </c>
      <c r="U451" s="1">
        <v>100.96372424684154</v>
      </c>
      <c r="V451" s="1">
        <v>97.662914082816272</v>
      </c>
      <c r="W451" s="1">
        <v>102.20284750979505</v>
      </c>
      <c r="X451" s="1">
        <v>98.938308797866256</v>
      </c>
      <c r="Y451" s="1">
        <v>93.584897611834691</v>
      </c>
      <c r="Z451" s="1">
        <v>86.852744311290479</v>
      </c>
      <c r="AA451" s="1">
        <v>96.697105376186386</v>
      </c>
      <c r="AB451" s="1">
        <v>82.303513670175988</v>
      </c>
      <c r="AC451" s="1">
        <v>102.12169819441469</v>
      </c>
      <c r="AD451" s="1">
        <v>124.54012374585781</v>
      </c>
      <c r="AE451" s="1">
        <v>95.315644312336744</v>
      </c>
      <c r="AF451" s="1">
        <v>104.00414582839545</v>
      </c>
      <c r="AG451" s="1">
        <v>100</v>
      </c>
      <c r="AH451" s="1">
        <v>98.975330692053802</v>
      </c>
      <c r="AI451" s="1">
        <v>109.16463458768133</v>
      </c>
      <c r="AJ451" s="1">
        <v>101.4355028770963</v>
      </c>
      <c r="AK451" s="1">
        <v>90.251316496189787</v>
      </c>
      <c r="AL451" s="1">
        <v>106.81053323346535</v>
      </c>
      <c r="AM451" s="1">
        <v>116.7028707921346</v>
      </c>
      <c r="AN451" s="1">
        <v>101.75955360561959</v>
      </c>
      <c r="AO451" s="1">
        <v>99.860671446526325</v>
      </c>
      <c r="AP451" s="1">
        <v>102.00398441464017</v>
      </c>
      <c r="AQ451" s="1">
        <v>93.558901743626024</v>
      </c>
      <c r="AR451" s="1">
        <v>102.85663702937894</v>
      </c>
      <c r="AS451" s="1">
        <v>98.6003422659997</v>
      </c>
      <c r="AT451" s="1">
        <v>111.8045689919972</v>
      </c>
      <c r="AU451" s="1">
        <v>92.683083360025861</v>
      </c>
      <c r="AV451" s="1">
        <v>99.900323214082661</v>
      </c>
      <c r="AW451" s="1">
        <v>100</v>
      </c>
      <c r="AX451" s="1">
        <v>100</v>
      </c>
      <c r="AY451" s="1">
        <v>100</v>
      </c>
      <c r="AZ451" s="1">
        <v>100</v>
      </c>
      <c r="BA451" s="1">
        <v>100</v>
      </c>
      <c r="BB451" s="1">
        <v>100</v>
      </c>
      <c r="BC451" s="1">
        <v>100</v>
      </c>
      <c r="BD451" s="1">
        <v>100</v>
      </c>
      <c r="BE451" s="1">
        <v>100</v>
      </c>
      <c r="BF451" s="1">
        <v>100</v>
      </c>
      <c r="BG451" s="1">
        <v>100</v>
      </c>
      <c r="BH451" s="1">
        <v>100</v>
      </c>
    </row>
    <row r="452" spans="1:60" x14ac:dyDescent="0.25">
      <c r="A452">
        <f t="shared" si="7"/>
        <v>439</v>
      </c>
      <c r="B452" s="1">
        <v>108.32307807424611</v>
      </c>
      <c r="C452" s="1">
        <v>94.353173132071191</v>
      </c>
      <c r="D452" s="1">
        <v>97.69521325787963</v>
      </c>
      <c r="E452" s="1">
        <v>114.35435532541109</v>
      </c>
      <c r="F452" s="1">
        <v>95.932799101521084</v>
      </c>
      <c r="G452" s="1">
        <v>101.20264176422626</v>
      </c>
      <c r="H452" s="1">
        <v>102.6264770510757</v>
      </c>
      <c r="I452" s="1">
        <v>93.898681480592288</v>
      </c>
      <c r="J452" s="1">
        <v>109.73261611443155</v>
      </c>
      <c r="K452" s="1">
        <v>106.16590636000029</v>
      </c>
      <c r="L452" s="1">
        <v>97.676086383950462</v>
      </c>
      <c r="M452" s="1">
        <v>96.715943522481638</v>
      </c>
      <c r="N452" s="1">
        <v>100.04773223105254</v>
      </c>
      <c r="O452" s="1">
        <v>76.237494019003066</v>
      </c>
      <c r="P452" s="1">
        <v>91.6862704297411</v>
      </c>
      <c r="Q452" s="1">
        <v>100</v>
      </c>
      <c r="R452" s="1">
        <v>98.539127000430625</v>
      </c>
      <c r="S452" s="1">
        <v>104.00599955629987</v>
      </c>
      <c r="T452" s="1">
        <v>99.450163850085758</v>
      </c>
      <c r="U452" s="1">
        <v>100.96372424684154</v>
      </c>
      <c r="V452" s="1">
        <v>97.662914082816272</v>
      </c>
      <c r="W452" s="1">
        <v>102.20284750979505</v>
      </c>
      <c r="X452" s="1">
        <v>98.938308797866256</v>
      </c>
      <c r="Y452" s="1">
        <v>93.402320038510794</v>
      </c>
      <c r="Z452" s="1">
        <v>86.852744311290479</v>
      </c>
      <c r="AA452" s="1">
        <v>96.697105376186386</v>
      </c>
      <c r="AB452" s="1">
        <v>82.303513670175988</v>
      </c>
      <c r="AC452" s="1">
        <v>102.12169819441469</v>
      </c>
      <c r="AD452" s="1">
        <v>124.54012374585781</v>
      </c>
      <c r="AE452" s="1">
        <v>95.315644312336744</v>
      </c>
      <c r="AF452" s="1">
        <v>104.00414582839545</v>
      </c>
      <c r="AG452" s="1">
        <v>100</v>
      </c>
      <c r="AH452" s="1">
        <v>98.975330692053802</v>
      </c>
      <c r="AI452" s="1">
        <v>109.16463458768133</v>
      </c>
      <c r="AJ452" s="1">
        <v>101.4355028770963</v>
      </c>
      <c r="AK452" s="1">
        <v>90.251316496189787</v>
      </c>
      <c r="AL452" s="1">
        <v>106.60215337238901</v>
      </c>
      <c r="AM452" s="1">
        <v>116.7028707921346</v>
      </c>
      <c r="AN452" s="1">
        <v>101.95082994719066</v>
      </c>
      <c r="AO452" s="1">
        <v>99.860671446526325</v>
      </c>
      <c r="AP452" s="1">
        <v>102.00398441464017</v>
      </c>
      <c r="AQ452" s="1">
        <v>93.558901743626024</v>
      </c>
      <c r="AR452" s="1">
        <v>102.85663702937894</v>
      </c>
      <c r="AS452" s="1">
        <v>98.6003422659997</v>
      </c>
      <c r="AT452" s="1">
        <v>111.8045689919972</v>
      </c>
      <c r="AU452" s="1">
        <v>92.683083360025861</v>
      </c>
      <c r="AV452" s="1">
        <v>99.900323214082661</v>
      </c>
      <c r="AW452" s="1">
        <v>100</v>
      </c>
      <c r="AX452" s="1">
        <v>100</v>
      </c>
      <c r="AY452" s="1">
        <v>100</v>
      </c>
      <c r="AZ452" s="1">
        <v>100</v>
      </c>
      <c r="BA452" s="1">
        <v>100</v>
      </c>
      <c r="BB452" s="1">
        <v>100</v>
      </c>
      <c r="BC452" s="1">
        <v>100</v>
      </c>
      <c r="BD452" s="1">
        <v>100</v>
      </c>
      <c r="BE452" s="1">
        <v>100</v>
      </c>
      <c r="BF452" s="1">
        <v>100</v>
      </c>
      <c r="BG452" s="1">
        <v>100</v>
      </c>
      <c r="BH452" s="1">
        <v>100</v>
      </c>
    </row>
    <row r="453" spans="1:60" x14ac:dyDescent="0.25">
      <c r="A453">
        <f t="shared" si="7"/>
        <v>440</v>
      </c>
      <c r="B453" s="1">
        <v>108.32307807424611</v>
      </c>
      <c r="C453" s="1">
        <v>94.353173132071191</v>
      </c>
      <c r="D453" s="1">
        <v>97.69521325787963</v>
      </c>
      <c r="E453" s="1">
        <v>114.35435532541109</v>
      </c>
      <c r="F453" s="1">
        <v>95.932799101521084</v>
      </c>
      <c r="G453" s="1">
        <v>101.20264176422626</v>
      </c>
      <c r="H453" s="1">
        <v>102.6264770510757</v>
      </c>
      <c r="I453" s="1">
        <v>93.898681480592288</v>
      </c>
      <c r="J453" s="1">
        <v>109.73261611443155</v>
      </c>
      <c r="K453" s="1">
        <v>106.16590636000029</v>
      </c>
      <c r="L453" s="1">
        <v>97.8297921695535</v>
      </c>
      <c r="M453" s="1">
        <v>96.715943522481638</v>
      </c>
      <c r="N453" s="1">
        <v>100.04773223105254</v>
      </c>
      <c r="O453" s="1">
        <v>76.237494019003066</v>
      </c>
      <c r="P453" s="1">
        <v>91.6862704297411</v>
      </c>
      <c r="Q453" s="1">
        <v>100</v>
      </c>
      <c r="R453" s="1">
        <v>98.539127000430625</v>
      </c>
      <c r="S453" s="1">
        <v>104.00599955629987</v>
      </c>
      <c r="T453" s="1">
        <v>99.450163850085758</v>
      </c>
      <c r="U453" s="1">
        <v>100.96372424684154</v>
      </c>
      <c r="V453" s="1">
        <v>97.662914082816272</v>
      </c>
      <c r="W453" s="1">
        <v>102.20284750979505</v>
      </c>
      <c r="X453" s="1">
        <v>98.938308797866256</v>
      </c>
      <c r="Y453" s="1">
        <v>93.261768209313857</v>
      </c>
      <c r="Z453" s="1">
        <v>86.852744311290479</v>
      </c>
      <c r="AA453" s="1">
        <v>96.697105376186386</v>
      </c>
      <c r="AB453" s="1">
        <v>82.303513670175988</v>
      </c>
      <c r="AC453" s="1">
        <v>102.12169819441469</v>
      </c>
      <c r="AD453" s="1">
        <v>124.54012374585781</v>
      </c>
      <c r="AE453" s="1">
        <v>95.315644312336744</v>
      </c>
      <c r="AF453" s="1">
        <v>104.00414582839545</v>
      </c>
      <c r="AG453" s="1">
        <v>100</v>
      </c>
      <c r="AH453" s="1">
        <v>98.975330692053802</v>
      </c>
      <c r="AI453" s="1">
        <v>109.16463458768133</v>
      </c>
      <c r="AJ453" s="1">
        <v>101.4355028770963</v>
      </c>
      <c r="AK453" s="1">
        <v>90.251316496189787</v>
      </c>
      <c r="AL453" s="1">
        <v>106.44173843144702</v>
      </c>
      <c r="AM453" s="1">
        <v>116.7028707921346</v>
      </c>
      <c r="AN453" s="1">
        <v>102.09809093172655</v>
      </c>
      <c r="AO453" s="1">
        <v>99.860671446526325</v>
      </c>
      <c r="AP453" s="1">
        <v>102.00398441464017</v>
      </c>
      <c r="AQ453" s="1">
        <v>93.558901743626024</v>
      </c>
      <c r="AR453" s="1">
        <v>102.85663702937894</v>
      </c>
      <c r="AS453" s="1">
        <v>98.6003422659997</v>
      </c>
      <c r="AT453" s="1">
        <v>111.8045689919972</v>
      </c>
      <c r="AU453" s="1">
        <v>92.683083360025861</v>
      </c>
      <c r="AV453" s="1">
        <v>99.900323214082661</v>
      </c>
      <c r="AW453" s="1">
        <v>100</v>
      </c>
      <c r="AX453" s="1">
        <v>100</v>
      </c>
      <c r="AY453" s="1">
        <v>100</v>
      </c>
      <c r="AZ453" s="1">
        <v>100</v>
      </c>
      <c r="BA453" s="1">
        <v>100</v>
      </c>
      <c r="BB453" s="1">
        <v>100</v>
      </c>
      <c r="BC453" s="1">
        <v>100</v>
      </c>
      <c r="BD453" s="1">
        <v>100</v>
      </c>
      <c r="BE453" s="1">
        <v>100</v>
      </c>
      <c r="BF453" s="1">
        <v>100</v>
      </c>
      <c r="BG453" s="1">
        <v>100</v>
      </c>
      <c r="BH453" s="1">
        <v>100</v>
      </c>
    </row>
    <row r="454" spans="1:60" x14ac:dyDescent="0.25">
      <c r="A454">
        <f t="shared" si="7"/>
        <v>441</v>
      </c>
      <c r="B454" s="1">
        <v>108.32307807424611</v>
      </c>
      <c r="C454" s="1">
        <v>94.353173132071191</v>
      </c>
      <c r="D454" s="1">
        <v>97.69521325787963</v>
      </c>
      <c r="E454" s="1">
        <v>114.35435532541109</v>
      </c>
      <c r="F454" s="1">
        <v>95.932799101521084</v>
      </c>
      <c r="G454" s="1">
        <v>101.20264176422626</v>
      </c>
      <c r="H454" s="1">
        <v>102.6264770510757</v>
      </c>
      <c r="I454" s="1">
        <v>93.898681480592288</v>
      </c>
      <c r="J454" s="1">
        <v>109.73261611443155</v>
      </c>
      <c r="K454" s="1">
        <v>106.16590636000029</v>
      </c>
      <c r="L454" s="1">
        <v>97.8297921695535</v>
      </c>
      <c r="M454" s="1">
        <v>96.715943522481638</v>
      </c>
      <c r="N454" s="1">
        <v>100.04773223105254</v>
      </c>
      <c r="O454" s="1">
        <v>76.237494019003066</v>
      </c>
      <c r="P454" s="1">
        <v>91.6862704297411</v>
      </c>
      <c r="Q454" s="1">
        <v>100</v>
      </c>
      <c r="R454" s="1">
        <v>98.539127000430625</v>
      </c>
      <c r="S454" s="1">
        <v>104.00599955629987</v>
      </c>
      <c r="T454" s="1">
        <v>99.450163850085758</v>
      </c>
      <c r="U454" s="1">
        <v>100.96372424684154</v>
      </c>
      <c r="V454" s="1">
        <v>97.662914082816272</v>
      </c>
      <c r="W454" s="1">
        <v>102.20284750979505</v>
      </c>
      <c r="X454" s="1">
        <v>98.938308797866256</v>
      </c>
      <c r="Y454" s="1">
        <v>93.261768209313857</v>
      </c>
      <c r="Z454" s="1">
        <v>86.852744311290479</v>
      </c>
      <c r="AA454" s="1">
        <v>96.697105376186386</v>
      </c>
      <c r="AB454" s="1">
        <v>82.303513670175988</v>
      </c>
      <c r="AC454" s="1">
        <v>102.12169819441469</v>
      </c>
      <c r="AD454" s="1">
        <v>124.54012374585781</v>
      </c>
      <c r="AE454" s="1">
        <v>95.315644312336744</v>
      </c>
      <c r="AF454" s="1">
        <v>104.00414582839545</v>
      </c>
      <c r="AG454" s="1">
        <v>100</v>
      </c>
      <c r="AH454" s="1">
        <v>98.975330692053802</v>
      </c>
      <c r="AI454" s="1">
        <v>109.16463458768133</v>
      </c>
      <c r="AJ454" s="1">
        <v>101.4355028770963</v>
      </c>
      <c r="AK454" s="1">
        <v>90.347937261792566</v>
      </c>
      <c r="AL454" s="1">
        <v>106.52366260353425</v>
      </c>
      <c r="AM454" s="1">
        <v>116.7028707921346</v>
      </c>
      <c r="AN454" s="1">
        <v>102.09809093172655</v>
      </c>
      <c r="AO454" s="1">
        <v>99.776436466214193</v>
      </c>
      <c r="AP454" s="1">
        <v>102.00398441464017</v>
      </c>
      <c r="AQ454" s="1">
        <v>93.558901743626024</v>
      </c>
      <c r="AR454" s="1">
        <v>102.85663702937894</v>
      </c>
      <c r="AS454" s="1">
        <v>98.6003422659997</v>
      </c>
      <c r="AT454" s="1">
        <v>111.71025903461933</v>
      </c>
      <c r="AU454" s="1">
        <v>92.683083360025861</v>
      </c>
      <c r="AV454" s="1">
        <v>99.900323214082661</v>
      </c>
      <c r="AW454" s="1">
        <v>100</v>
      </c>
      <c r="AX454" s="1">
        <v>100</v>
      </c>
      <c r="AY454" s="1">
        <v>100</v>
      </c>
      <c r="AZ454" s="1">
        <v>100</v>
      </c>
      <c r="BA454" s="1">
        <v>100</v>
      </c>
      <c r="BB454" s="1">
        <v>100</v>
      </c>
      <c r="BC454" s="1">
        <v>100</v>
      </c>
      <c r="BD454" s="1">
        <v>100</v>
      </c>
      <c r="BE454" s="1">
        <v>100</v>
      </c>
      <c r="BF454" s="1">
        <v>100</v>
      </c>
      <c r="BG454" s="1">
        <v>100</v>
      </c>
      <c r="BH454" s="1">
        <v>100</v>
      </c>
    </row>
    <row r="455" spans="1:60" x14ac:dyDescent="0.25">
      <c r="A455">
        <f t="shared" si="7"/>
        <v>442</v>
      </c>
      <c r="B455" s="1">
        <v>108.32307807424611</v>
      </c>
      <c r="C455" s="1">
        <v>94.353173132071191</v>
      </c>
      <c r="D455" s="1">
        <v>97.69521325787963</v>
      </c>
      <c r="E455" s="1">
        <v>114.35435532541109</v>
      </c>
      <c r="F455" s="1">
        <v>95.932799101521084</v>
      </c>
      <c r="G455" s="1">
        <v>101.20264176422626</v>
      </c>
      <c r="H455" s="1">
        <v>102.6264770510757</v>
      </c>
      <c r="I455" s="1">
        <v>93.898681480592288</v>
      </c>
      <c r="J455" s="1">
        <v>109.73261611443155</v>
      </c>
      <c r="K455" s="1">
        <v>106.16590636000029</v>
      </c>
      <c r="L455" s="1">
        <v>97.8297921695535</v>
      </c>
      <c r="M455" s="1">
        <v>96.715943522481638</v>
      </c>
      <c r="N455" s="1">
        <v>100.04773223105254</v>
      </c>
      <c r="O455" s="1">
        <v>76.237494019003066</v>
      </c>
      <c r="P455" s="1">
        <v>91.6862704297411</v>
      </c>
      <c r="Q455" s="1">
        <v>100</v>
      </c>
      <c r="R455" s="1">
        <v>98.539127000430625</v>
      </c>
      <c r="S455" s="1">
        <v>104.00599955629987</v>
      </c>
      <c r="T455" s="1">
        <v>99.450163850085758</v>
      </c>
      <c r="U455" s="1">
        <v>100.96372424684154</v>
      </c>
      <c r="V455" s="1">
        <v>97.662914082816272</v>
      </c>
      <c r="W455" s="1">
        <v>102.20284750979505</v>
      </c>
      <c r="X455" s="1">
        <v>98.938308797866256</v>
      </c>
      <c r="Y455" s="1">
        <v>93.261768209313857</v>
      </c>
      <c r="Z455" s="1">
        <v>86.852744311290479</v>
      </c>
      <c r="AA455" s="1">
        <v>96.697105376186386</v>
      </c>
      <c r="AB455" s="1">
        <v>82.303513670175988</v>
      </c>
      <c r="AC455" s="1">
        <v>102.12169819441469</v>
      </c>
      <c r="AD455" s="1">
        <v>124.54012374585781</v>
      </c>
      <c r="AE455" s="1">
        <v>95.315644312336744</v>
      </c>
      <c r="AF455" s="1">
        <v>104.00414582839545</v>
      </c>
      <c r="AG455" s="1">
        <v>100</v>
      </c>
      <c r="AH455" s="1">
        <v>98.975330692053802</v>
      </c>
      <c r="AI455" s="1">
        <v>109.16463458768133</v>
      </c>
      <c r="AJ455" s="1">
        <v>101.4355028770963</v>
      </c>
      <c r="AK455" s="1">
        <v>91.086166565362092</v>
      </c>
      <c r="AL455" s="1">
        <v>107.14979104461081</v>
      </c>
      <c r="AM455" s="1">
        <v>116.7028707921346</v>
      </c>
      <c r="AN455" s="1">
        <v>102.09809093172655</v>
      </c>
      <c r="AO455" s="1">
        <v>99.132751748821036</v>
      </c>
      <c r="AP455" s="1">
        <v>102.00398441464017</v>
      </c>
      <c r="AQ455" s="1">
        <v>93.558901743626024</v>
      </c>
      <c r="AR455" s="1">
        <v>102.85663702937894</v>
      </c>
      <c r="AS455" s="1">
        <v>98.6003422659997</v>
      </c>
      <c r="AT455" s="1">
        <v>110.98958600736641</v>
      </c>
      <c r="AU455" s="1">
        <v>92.683083360025861</v>
      </c>
      <c r="AV455" s="1">
        <v>99.900323214082661</v>
      </c>
      <c r="AW455" s="1">
        <v>100</v>
      </c>
      <c r="AX455" s="1">
        <v>100</v>
      </c>
      <c r="AY455" s="1">
        <v>100</v>
      </c>
      <c r="AZ455" s="1">
        <v>100</v>
      </c>
      <c r="BA455" s="1">
        <v>100</v>
      </c>
      <c r="BB455" s="1">
        <v>100</v>
      </c>
      <c r="BC455" s="1">
        <v>100</v>
      </c>
      <c r="BD455" s="1">
        <v>100</v>
      </c>
      <c r="BE455" s="1">
        <v>100</v>
      </c>
      <c r="BF455" s="1">
        <v>100</v>
      </c>
      <c r="BG455" s="1">
        <v>100</v>
      </c>
      <c r="BH455" s="1">
        <v>100</v>
      </c>
    </row>
    <row r="456" spans="1:60" x14ac:dyDescent="0.25">
      <c r="A456">
        <f t="shared" si="7"/>
        <v>443</v>
      </c>
      <c r="B456" s="1">
        <v>108.32307807424611</v>
      </c>
      <c r="C456" s="1">
        <v>94.353173132071191</v>
      </c>
      <c r="D456" s="1">
        <v>97.69521325787963</v>
      </c>
      <c r="E456" s="1">
        <v>114.35435532541109</v>
      </c>
      <c r="F456" s="1">
        <v>95.932799101521084</v>
      </c>
      <c r="G456" s="1">
        <v>101.20264176422626</v>
      </c>
      <c r="H456" s="1">
        <v>102.6264770510757</v>
      </c>
      <c r="I456" s="1">
        <v>93.898681480592288</v>
      </c>
      <c r="J456" s="1">
        <v>109.73261611443155</v>
      </c>
      <c r="K456" s="1">
        <v>106.16590636000029</v>
      </c>
      <c r="L456" s="1">
        <v>97.8297921695535</v>
      </c>
      <c r="M456" s="1">
        <v>96.715943522481638</v>
      </c>
      <c r="N456" s="1">
        <v>100.04773223105254</v>
      </c>
      <c r="O456" s="1">
        <v>77.44263270950934</v>
      </c>
      <c r="P456" s="1">
        <v>91.6862704297411</v>
      </c>
      <c r="Q456" s="1">
        <v>100</v>
      </c>
      <c r="R456" s="1">
        <v>98.539127000430625</v>
      </c>
      <c r="S456" s="1">
        <v>104.00599955629987</v>
      </c>
      <c r="T456" s="1">
        <v>99.450163850085758</v>
      </c>
      <c r="U456" s="1">
        <v>100.96372424684154</v>
      </c>
      <c r="V456" s="1">
        <v>97.662914082816272</v>
      </c>
      <c r="W456" s="1">
        <v>102.20284750979505</v>
      </c>
      <c r="X456" s="1">
        <v>98.938308797866256</v>
      </c>
      <c r="Y456" s="1">
        <v>93.261768209313857</v>
      </c>
      <c r="Z456" s="1">
        <v>86.852744311290479</v>
      </c>
      <c r="AA456" s="1">
        <v>96.697105376186386</v>
      </c>
      <c r="AB456" s="1">
        <v>81.328106400591096</v>
      </c>
      <c r="AC456" s="1">
        <v>102.12169819441469</v>
      </c>
      <c r="AD456" s="1">
        <v>124.54012374585781</v>
      </c>
      <c r="AE456" s="1">
        <v>94.186025803703004</v>
      </c>
      <c r="AF456" s="1">
        <v>104.00414582839545</v>
      </c>
      <c r="AG456" s="1">
        <v>100</v>
      </c>
      <c r="AH456" s="1">
        <v>98.975330692053802</v>
      </c>
      <c r="AI456" s="1">
        <v>109.16463458768133</v>
      </c>
      <c r="AJ456" s="1">
        <v>101.4355028770963</v>
      </c>
      <c r="AK456" s="1">
        <v>91.086166565362092</v>
      </c>
      <c r="AL456" s="1">
        <v>107.14979104461081</v>
      </c>
      <c r="AM456" s="1">
        <v>116.7028707921346</v>
      </c>
      <c r="AN456" s="1">
        <v>102.99797801943889</v>
      </c>
      <c r="AO456" s="1">
        <v>99.132751748821036</v>
      </c>
      <c r="AP456" s="1">
        <v>102.00398441464017</v>
      </c>
      <c r="AQ456" s="1">
        <v>93.558901743626024</v>
      </c>
      <c r="AR456" s="1">
        <v>102.85663702937894</v>
      </c>
      <c r="AS456" s="1">
        <v>98.6003422659997</v>
      </c>
      <c r="AT456" s="1">
        <v>110.98958600736641</v>
      </c>
      <c r="AU456" s="1">
        <v>92.683083360025861</v>
      </c>
      <c r="AV456" s="1">
        <v>99.900323214082661</v>
      </c>
      <c r="AW456" s="1">
        <v>100</v>
      </c>
      <c r="AX456" s="1">
        <v>100</v>
      </c>
      <c r="AY456" s="1">
        <v>100</v>
      </c>
      <c r="AZ456" s="1">
        <v>100</v>
      </c>
      <c r="BA456" s="1">
        <v>100</v>
      </c>
      <c r="BB456" s="1">
        <v>100</v>
      </c>
      <c r="BC456" s="1">
        <v>100</v>
      </c>
      <c r="BD456" s="1">
        <v>100</v>
      </c>
      <c r="BE456" s="1">
        <v>100</v>
      </c>
      <c r="BF456" s="1">
        <v>100</v>
      </c>
      <c r="BG456" s="1">
        <v>100</v>
      </c>
      <c r="BH456" s="1">
        <v>100</v>
      </c>
    </row>
    <row r="457" spans="1:60" x14ac:dyDescent="0.25">
      <c r="A457">
        <f t="shared" si="7"/>
        <v>444</v>
      </c>
      <c r="B457" s="1">
        <v>108.32307807424611</v>
      </c>
      <c r="C457" s="1">
        <v>94.353173132071191</v>
      </c>
      <c r="D457" s="1">
        <v>97.69521325787963</v>
      </c>
      <c r="E457" s="1">
        <v>114.35435532541109</v>
      </c>
      <c r="F457" s="1">
        <v>95.932799101521084</v>
      </c>
      <c r="G457" s="1">
        <v>101.20264176422626</v>
      </c>
      <c r="H457" s="1">
        <v>102.6264770510757</v>
      </c>
      <c r="I457" s="1">
        <v>93.898681480592288</v>
      </c>
      <c r="J457" s="1">
        <v>109.73261611443155</v>
      </c>
      <c r="K457" s="1">
        <v>106.16590636000029</v>
      </c>
      <c r="L457" s="1">
        <v>97.8297921695535</v>
      </c>
      <c r="M457" s="1">
        <v>96.715943522481638</v>
      </c>
      <c r="N457" s="1">
        <v>100.04773223105254</v>
      </c>
      <c r="O457" s="1">
        <v>77.310760308599171</v>
      </c>
      <c r="P457" s="1">
        <v>91.6862704297411</v>
      </c>
      <c r="Q457" s="1">
        <v>100</v>
      </c>
      <c r="R457" s="1">
        <v>98.539127000430625</v>
      </c>
      <c r="S457" s="1">
        <v>104.00599955629987</v>
      </c>
      <c r="T457" s="1">
        <v>99.450163850085758</v>
      </c>
      <c r="U457" s="1">
        <v>100.96372424684154</v>
      </c>
      <c r="V457" s="1">
        <v>97.662914082816272</v>
      </c>
      <c r="W457" s="1">
        <v>102.20284750979505</v>
      </c>
      <c r="X457" s="1">
        <v>98.938308797866256</v>
      </c>
      <c r="Y457" s="1">
        <v>93.261768209313857</v>
      </c>
      <c r="Z457" s="1">
        <v>86.852744311290479</v>
      </c>
      <c r="AA457" s="1">
        <v>96.697105376186386</v>
      </c>
      <c r="AB457" s="1">
        <v>81.492991903760696</v>
      </c>
      <c r="AC457" s="1">
        <v>102.12169819441469</v>
      </c>
      <c r="AD457" s="1">
        <v>124.54012374585781</v>
      </c>
      <c r="AE457" s="1">
        <v>94.328401762676364</v>
      </c>
      <c r="AF457" s="1">
        <v>104.00414582839545</v>
      </c>
      <c r="AG457" s="1">
        <v>100</v>
      </c>
      <c r="AH457" s="1">
        <v>98.975330692053802</v>
      </c>
      <c r="AI457" s="1">
        <v>109.16463458768133</v>
      </c>
      <c r="AJ457" s="1">
        <v>101.4355028770963</v>
      </c>
      <c r="AK457" s="1">
        <v>91.086166565362092</v>
      </c>
      <c r="AL457" s="1">
        <v>107.14979104461081</v>
      </c>
      <c r="AM457" s="1">
        <v>116.7028707921346</v>
      </c>
      <c r="AN457" s="1">
        <v>102.8225889582061</v>
      </c>
      <c r="AO457" s="1">
        <v>99.132751748821036</v>
      </c>
      <c r="AP457" s="1">
        <v>102.00398441464017</v>
      </c>
      <c r="AQ457" s="1">
        <v>93.558901743626024</v>
      </c>
      <c r="AR457" s="1">
        <v>102.85663702937894</v>
      </c>
      <c r="AS457" s="1">
        <v>98.6003422659997</v>
      </c>
      <c r="AT457" s="1">
        <v>110.98958600736641</v>
      </c>
      <c r="AU457" s="1">
        <v>92.683083360025861</v>
      </c>
      <c r="AV457" s="1">
        <v>99.900323214082661</v>
      </c>
      <c r="AW457" s="1">
        <v>100</v>
      </c>
      <c r="AX457" s="1">
        <v>100</v>
      </c>
      <c r="AY457" s="1">
        <v>100</v>
      </c>
      <c r="AZ457" s="1">
        <v>100</v>
      </c>
      <c r="BA457" s="1">
        <v>100</v>
      </c>
      <c r="BB457" s="1">
        <v>100</v>
      </c>
      <c r="BC457" s="1">
        <v>100</v>
      </c>
      <c r="BD457" s="1">
        <v>100</v>
      </c>
      <c r="BE457" s="1">
        <v>100</v>
      </c>
      <c r="BF457" s="1">
        <v>100</v>
      </c>
      <c r="BG457" s="1">
        <v>100</v>
      </c>
      <c r="BH457" s="1">
        <v>100</v>
      </c>
    </row>
    <row r="458" spans="1:60" x14ac:dyDescent="0.25">
      <c r="A458">
        <f t="shared" si="7"/>
        <v>445</v>
      </c>
      <c r="B458" s="1">
        <v>108.32307807424611</v>
      </c>
      <c r="C458" s="1">
        <v>94.353173132071191</v>
      </c>
      <c r="D458" s="1">
        <v>97.69521325787963</v>
      </c>
      <c r="E458" s="1">
        <v>113.85891812658865</v>
      </c>
      <c r="F458" s="1">
        <v>95.932799101521084</v>
      </c>
      <c r="G458" s="1">
        <v>101.20264176422626</v>
      </c>
      <c r="H458" s="1">
        <v>102.6264770510757</v>
      </c>
      <c r="I458" s="1">
        <v>93.898681480592288</v>
      </c>
      <c r="J458" s="1">
        <v>109.73261611443155</v>
      </c>
      <c r="K458" s="1">
        <v>106.16590636000029</v>
      </c>
      <c r="L458" s="1">
        <v>97.8297921695535</v>
      </c>
      <c r="M458" s="1">
        <v>96.715943522481638</v>
      </c>
      <c r="N458" s="1">
        <v>100.04773223105254</v>
      </c>
      <c r="O458" s="1">
        <v>77.310760308599171</v>
      </c>
      <c r="P458" s="1">
        <v>91.6862704297411</v>
      </c>
      <c r="Q458" s="1">
        <v>100</v>
      </c>
      <c r="R458" s="1">
        <v>98.539127000430625</v>
      </c>
      <c r="S458" s="1">
        <v>104.00599955629987</v>
      </c>
      <c r="T458" s="1">
        <v>99.450163850085758</v>
      </c>
      <c r="U458" s="1">
        <v>101.39363643143213</v>
      </c>
      <c r="V458" s="1">
        <v>97.662914082816272</v>
      </c>
      <c r="W458" s="1">
        <v>102.20284750979505</v>
      </c>
      <c r="X458" s="1">
        <v>98.938308797866256</v>
      </c>
      <c r="Y458" s="1">
        <v>93.261768209313857</v>
      </c>
      <c r="Z458" s="1">
        <v>86.852744311290479</v>
      </c>
      <c r="AA458" s="1">
        <v>96.697105376186386</v>
      </c>
      <c r="AB458" s="1">
        <v>81.492991903760696</v>
      </c>
      <c r="AC458" s="1">
        <v>102.12169819441469</v>
      </c>
      <c r="AD458" s="1">
        <v>124.54012374585781</v>
      </c>
      <c r="AE458" s="1">
        <v>94.78855516763457</v>
      </c>
      <c r="AF458" s="1">
        <v>104.00414582839545</v>
      </c>
      <c r="AG458" s="1">
        <v>100</v>
      </c>
      <c r="AH458" s="1">
        <v>98.975330692053802</v>
      </c>
      <c r="AI458" s="1">
        <v>109.16463458768133</v>
      </c>
      <c r="AJ458" s="1">
        <v>101.4355028770963</v>
      </c>
      <c r="AK458" s="1">
        <v>90.691538174635738</v>
      </c>
      <c r="AL458" s="1">
        <v>107.14979104461081</v>
      </c>
      <c r="AM458" s="1">
        <v>116.7028707921346</v>
      </c>
      <c r="AN458" s="1">
        <v>102.8225889582061</v>
      </c>
      <c r="AO458" s="1">
        <v>99.132751748821036</v>
      </c>
      <c r="AP458" s="1">
        <v>102.00398441464017</v>
      </c>
      <c r="AQ458" s="1">
        <v>93.558901743626024</v>
      </c>
      <c r="AR458" s="1">
        <v>102.85663702937894</v>
      </c>
      <c r="AS458" s="1">
        <v>98.6003422659997</v>
      </c>
      <c r="AT458" s="1">
        <v>110.98958600736641</v>
      </c>
      <c r="AU458" s="1">
        <v>92.683083360025861</v>
      </c>
      <c r="AV458" s="1">
        <v>99.900323214082661</v>
      </c>
      <c r="AW458" s="1">
        <v>100</v>
      </c>
      <c r="AX458" s="1">
        <v>100</v>
      </c>
      <c r="AY458" s="1">
        <v>100</v>
      </c>
      <c r="AZ458" s="1">
        <v>100</v>
      </c>
      <c r="BA458" s="1">
        <v>100</v>
      </c>
      <c r="BB458" s="1">
        <v>100</v>
      </c>
      <c r="BC458" s="1">
        <v>100</v>
      </c>
      <c r="BD458" s="1">
        <v>100</v>
      </c>
      <c r="BE458" s="1">
        <v>100</v>
      </c>
      <c r="BF458" s="1">
        <v>100</v>
      </c>
      <c r="BG458" s="1">
        <v>100</v>
      </c>
      <c r="BH458" s="1">
        <v>100</v>
      </c>
    </row>
    <row r="459" spans="1:60" x14ac:dyDescent="0.25">
      <c r="A459">
        <f t="shared" si="7"/>
        <v>446</v>
      </c>
      <c r="B459" s="1">
        <v>108.32307807424611</v>
      </c>
      <c r="C459" s="1">
        <v>94.353173132071191</v>
      </c>
      <c r="D459" s="1">
        <v>97.69521325787963</v>
      </c>
      <c r="E459" s="1">
        <v>114.40684228822641</v>
      </c>
      <c r="F459" s="1">
        <v>95.932799101521084</v>
      </c>
      <c r="G459" s="1">
        <v>101.20264176422626</v>
      </c>
      <c r="H459" s="1">
        <v>102.6264770510757</v>
      </c>
      <c r="I459" s="1">
        <v>93.898681480592288</v>
      </c>
      <c r="J459" s="1">
        <v>109.73261611443155</v>
      </c>
      <c r="K459" s="1">
        <v>106.16590636000029</v>
      </c>
      <c r="L459" s="1">
        <v>97.8297921695535</v>
      </c>
      <c r="M459" s="1">
        <v>96.715943522481638</v>
      </c>
      <c r="N459" s="1">
        <v>100.04773223105254</v>
      </c>
      <c r="O459" s="1">
        <v>77.310760308599171</v>
      </c>
      <c r="P459" s="1">
        <v>91.6862704297411</v>
      </c>
      <c r="Q459" s="1">
        <v>100</v>
      </c>
      <c r="R459" s="1">
        <v>98.539127000430625</v>
      </c>
      <c r="S459" s="1">
        <v>104.00599955629987</v>
      </c>
      <c r="T459" s="1">
        <v>99.450163850085758</v>
      </c>
      <c r="U459" s="1">
        <v>100.75492416935522</v>
      </c>
      <c r="V459" s="1">
        <v>97.662914082816272</v>
      </c>
      <c r="W459" s="1">
        <v>102.20284750979505</v>
      </c>
      <c r="X459" s="1">
        <v>98.938308797866256</v>
      </c>
      <c r="Y459" s="1">
        <v>93.261768209313857</v>
      </c>
      <c r="Z459" s="1">
        <v>86.852744311290479</v>
      </c>
      <c r="AA459" s="1">
        <v>96.697105376186386</v>
      </c>
      <c r="AB459" s="1">
        <v>81.492991903760696</v>
      </c>
      <c r="AC459" s="1">
        <v>102.12169819441469</v>
      </c>
      <c r="AD459" s="1">
        <v>124.54012374585781</v>
      </c>
      <c r="AE459" s="1">
        <v>94.191450510765264</v>
      </c>
      <c r="AF459" s="1">
        <v>104.00414582839545</v>
      </c>
      <c r="AG459" s="1">
        <v>100</v>
      </c>
      <c r="AH459" s="1">
        <v>98.975330692053802</v>
      </c>
      <c r="AI459" s="1">
        <v>109.16463458768133</v>
      </c>
      <c r="AJ459" s="1">
        <v>101.4355028770963</v>
      </c>
      <c r="AK459" s="1">
        <v>91.379430931944185</v>
      </c>
      <c r="AL459" s="1">
        <v>107.14979104461081</v>
      </c>
      <c r="AM459" s="1">
        <v>116.7028707921346</v>
      </c>
      <c r="AN459" s="1">
        <v>102.8225889582061</v>
      </c>
      <c r="AO459" s="1">
        <v>99.132751748821036</v>
      </c>
      <c r="AP459" s="1">
        <v>102.00398441464017</v>
      </c>
      <c r="AQ459" s="1">
        <v>93.558901743626024</v>
      </c>
      <c r="AR459" s="1">
        <v>102.85663702937894</v>
      </c>
      <c r="AS459" s="1">
        <v>98.6003422659997</v>
      </c>
      <c r="AT459" s="1">
        <v>110.98958600736641</v>
      </c>
      <c r="AU459" s="1">
        <v>92.683083360025861</v>
      </c>
      <c r="AV459" s="1">
        <v>99.900323214082661</v>
      </c>
      <c r="AW459" s="1">
        <v>100</v>
      </c>
      <c r="AX459" s="1">
        <v>100</v>
      </c>
      <c r="AY459" s="1">
        <v>100</v>
      </c>
      <c r="AZ459" s="1">
        <v>100</v>
      </c>
      <c r="BA459" s="1">
        <v>100</v>
      </c>
      <c r="BB459" s="1">
        <v>100</v>
      </c>
      <c r="BC459" s="1">
        <v>100</v>
      </c>
      <c r="BD459" s="1">
        <v>100</v>
      </c>
      <c r="BE459" s="1">
        <v>100</v>
      </c>
      <c r="BF459" s="1">
        <v>100</v>
      </c>
      <c r="BG459" s="1">
        <v>100</v>
      </c>
      <c r="BH459" s="1">
        <v>100</v>
      </c>
    </row>
    <row r="460" spans="1:60" x14ac:dyDescent="0.25">
      <c r="A460">
        <f t="shared" si="7"/>
        <v>447</v>
      </c>
      <c r="B460" s="1">
        <v>108.31026204583743</v>
      </c>
      <c r="C460" s="1">
        <v>94.353173132071191</v>
      </c>
      <c r="D460" s="1">
        <v>97.69521325787963</v>
      </c>
      <c r="E460" s="1">
        <v>114.40684228822641</v>
      </c>
      <c r="F460" s="1">
        <v>95.932799101521084</v>
      </c>
      <c r="G460" s="1">
        <v>101.20264176422626</v>
      </c>
      <c r="H460" s="1">
        <v>102.6264770510757</v>
      </c>
      <c r="I460" s="1">
        <v>93.898681480592288</v>
      </c>
      <c r="J460" s="1">
        <v>109.73261611443155</v>
      </c>
      <c r="K460" s="1">
        <v>106.16590636000029</v>
      </c>
      <c r="L460" s="1">
        <v>97.8297921695535</v>
      </c>
      <c r="M460" s="1">
        <v>96.715943522481638</v>
      </c>
      <c r="N460" s="1">
        <v>100.04773223105254</v>
      </c>
      <c r="O460" s="1">
        <v>77.310760308599171</v>
      </c>
      <c r="P460" s="1">
        <v>91.699807800612149</v>
      </c>
      <c r="Q460" s="1">
        <v>100</v>
      </c>
      <c r="R460" s="1">
        <v>98.539127000430625</v>
      </c>
      <c r="S460" s="1">
        <v>104.00599955629987</v>
      </c>
      <c r="T460" s="1">
        <v>99.450163850085758</v>
      </c>
      <c r="U460" s="1">
        <v>100.75492416935522</v>
      </c>
      <c r="V460" s="1">
        <v>97.662914082816272</v>
      </c>
      <c r="W460" s="1">
        <v>102.20284750979505</v>
      </c>
      <c r="X460" s="1">
        <v>98.938308797866256</v>
      </c>
      <c r="Y460" s="1">
        <v>93.261768209313857</v>
      </c>
      <c r="Z460" s="1">
        <v>86.852744311290479</v>
      </c>
      <c r="AA460" s="1">
        <v>96.697105376186386</v>
      </c>
      <c r="AB460" s="1">
        <v>81.492991903760696</v>
      </c>
      <c r="AC460" s="1">
        <v>102.12169819441469</v>
      </c>
      <c r="AD460" s="1">
        <v>124.54012374585781</v>
      </c>
      <c r="AE460" s="1">
        <v>94.191450510765264</v>
      </c>
      <c r="AF460" s="1">
        <v>103.99184078582047</v>
      </c>
      <c r="AG460" s="1">
        <v>100</v>
      </c>
      <c r="AH460" s="1">
        <v>98.975330692053802</v>
      </c>
      <c r="AI460" s="1">
        <v>109.16463458768133</v>
      </c>
      <c r="AJ460" s="1">
        <v>101.4355028770963</v>
      </c>
      <c r="AK460" s="1">
        <v>91.379430931944185</v>
      </c>
      <c r="AL460" s="1">
        <v>107.16137474472343</v>
      </c>
      <c r="AM460" s="1">
        <v>116.7028707921346</v>
      </c>
      <c r="AN460" s="1">
        <v>102.8225889582061</v>
      </c>
      <c r="AO460" s="1">
        <v>99.132751748821036</v>
      </c>
      <c r="AP460" s="1">
        <v>102.00398441464017</v>
      </c>
      <c r="AQ460" s="1">
        <v>93.558901743626024</v>
      </c>
      <c r="AR460" s="1">
        <v>102.85663702937894</v>
      </c>
      <c r="AS460" s="1">
        <v>98.6003422659997</v>
      </c>
      <c r="AT460" s="1">
        <v>110.98958600736641</v>
      </c>
      <c r="AU460" s="1">
        <v>92.683083360025861</v>
      </c>
      <c r="AV460" s="1">
        <v>99.900323214082661</v>
      </c>
      <c r="AW460" s="1">
        <v>100</v>
      </c>
      <c r="AX460" s="1">
        <v>100</v>
      </c>
      <c r="AY460" s="1">
        <v>100</v>
      </c>
      <c r="AZ460" s="1">
        <v>100</v>
      </c>
      <c r="BA460" s="1">
        <v>100</v>
      </c>
      <c r="BB460" s="1">
        <v>100</v>
      </c>
      <c r="BC460" s="1">
        <v>100</v>
      </c>
      <c r="BD460" s="1">
        <v>100</v>
      </c>
      <c r="BE460" s="1">
        <v>100</v>
      </c>
      <c r="BF460" s="1">
        <v>100</v>
      </c>
      <c r="BG460" s="1">
        <v>100</v>
      </c>
      <c r="BH460" s="1">
        <v>100</v>
      </c>
    </row>
    <row r="461" spans="1:60" x14ac:dyDescent="0.25">
      <c r="A461">
        <f t="shared" si="7"/>
        <v>448</v>
      </c>
      <c r="B461" s="1">
        <v>109.69287495527728</v>
      </c>
      <c r="C461" s="1">
        <v>94.353173132071191</v>
      </c>
      <c r="D461" s="1">
        <v>97.69521325787963</v>
      </c>
      <c r="E461" s="1">
        <v>114.40684228822641</v>
      </c>
      <c r="F461" s="1">
        <v>95.932799101521084</v>
      </c>
      <c r="G461" s="1">
        <v>101.20264176422626</v>
      </c>
      <c r="H461" s="1">
        <v>102.6264770510757</v>
      </c>
      <c r="I461" s="1">
        <v>93.898681480592288</v>
      </c>
      <c r="J461" s="1">
        <v>109.73261611443155</v>
      </c>
      <c r="K461" s="1">
        <v>106.16590636000029</v>
      </c>
      <c r="L461" s="1">
        <v>97.8297921695535</v>
      </c>
      <c r="M461" s="1">
        <v>96.715943522481638</v>
      </c>
      <c r="N461" s="1">
        <v>100.04773223105254</v>
      </c>
      <c r="O461" s="1">
        <v>77.310760308599171</v>
      </c>
      <c r="P461" s="1">
        <v>90.398218274073344</v>
      </c>
      <c r="Q461" s="1">
        <v>100</v>
      </c>
      <c r="R461" s="1">
        <v>98.539127000430625</v>
      </c>
      <c r="S461" s="1">
        <v>104.00599955629987</v>
      </c>
      <c r="T461" s="1">
        <v>99.450163850085758</v>
      </c>
      <c r="U461" s="1">
        <v>100.75492416935522</v>
      </c>
      <c r="V461" s="1">
        <v>97.662914082816272</v>
      </c>
      <c r="W461" s="1">
        <v>102.20284750979505</v>
      </c>
      <c r="X461" s="1">
        <v>98.938308797866256</v>
      </c>
      <c r="Y461" s="1">
        <v>93.261768209313857</v>
      </c>
      <c r="Z461" s="1">
        <v>86.852744311290479</v>
      </c>
      <c r="AA461" s="1">
        <v>96.697105376186386</v>
      </c>
      <c r="AB461" s="1">
        <v>81.492991903760696</v>
      </c>
      <c r="AC461" s="1">
        <v>102.12169819441469</v>
      </c>
      <c r="AD461" s="1">
        <v>124.54012374585781</v>
      </c>
      <c r="AE461" s="1">
        <v>94.191450510765264</v>
      </c>
      <c r="AF461" s="1">
        <v>105.43186882453757</v>
      </c>
      <c r="AG461" s="1">
        <v>100</v>
      </c>
      <c r="AH461" s="1">
        <v>98.975330692053802</v>
      </c>
      <c r="AI461" s="1">
        <v>109.16463458768133</v>
      </c>
      <c r="AJ461" s="1">
        <v>101.4355028770963</v>
      </c>
      <c r="AK461" s="1">
        <v>91.379430931944185</v>
      </c>
      <c r="AL461" s="1">
        <v>105.64032332310529</v>
      </c>
      <c r="AM461" s="1">
        <v>116.7028707921346</v>
      </c>
      <c r="AN461" s="1">
        <v>102.8225889582061</v>
      </c>
      <c r="AO461" s="1">
        <v>99.132751748821036</v>
      </c>
      <c r="AP461" s="1">
        <v>102.00398441464017</v>
      </c>
      <c r="AQ461" s="1">
        <v>93.558901743626024</v>
      </c>
      <c r="AR461" s="1">
        <v>102.85663702937894</v>
      </c>
      <c r="AS461" s="1">
        <v>98.6003422659997</v>
      </c>
      <c r="AT461" s="1">
        <v>110.98958600736641</v>
      </c>
      <c r="AU461" s="1">
        <v>92.683083360025861</v>
      </c>
      <c r="AV461" s="1">
        <v>99.900323214082661</v>
      </c>
      <c r="AW461" s="1">
        <v>100</v>
      </c>
      <c r="AX461" s="1">
        <v>100</v>
      </c>
      <c r="AY461" s="1">
        <v>100</v>
      </c>
      <c r="AZ461" s="1">
        <v>100</v>
      </c>
      <c r="BA461" s="1">
        <v>100</v>
      </c>
      <c r="BB461" s="1">
        <v>100</v>
      </c>
      <c r="BC461" s="1">
        <v>100</v>
      </c>
      <c r="BD461" s="1">
        <v>100</v>
      </c>
      <c r="BE461" s="1">
        <v>100</v>
      </c>
      <c r="BF461" s="1">
        <v>100</v>
      </c>
      <c r="BG461" s="1">
        <v>100</v>
      </c>
      <c r="BH461" s="1">
        <v>100</v>
      </c>
    </row>
    <row r="462" spans="1:60" x14ac:dyDescent="0.25">
      <c r="A462">
        <f t="shared" si="7"/>
        <v>449</v>
      </c>
      <c r="B462" s="1">
        <v>109.69287495527728</v>
      </c>
      <c r="C462" s="1">
        <v>94.353173132071191</v>
      </c>
      <c r="D462" s="1">
        <v>97.69521325787963</v>
      </c>
      <c r="E462" s="1">
        <v>115.62998412494342</v>
      </c>
      <c r="F462" s="1">
        <v>95.932799101521084</v>
      </c>
      <c r="G462" s="1">
        <v>101.20264176422626</v>
      </c>
      <c r="H462" s="1">
        <v>102.6264770510757</v>
      </c>
      <c r="I462" s="1">
        <v>93.898681480592288</v>
      </c>
      <c r="J462" s="1">
        <v>109.73261611443155</v>
      </c>
      <c r="K462" s="1">
        <v>106.16590636000029</v>
      </c>
      <c r="L462" s="1">
        <v>97.8297921695535</v>
      </c>
      <c r="M462" s="1">
        <v>96.715943522481638</v>
      </c>
      <c r="N462" s="1">
        <v>100.04773223105254</v>
      </c>
      <c r="O462" s="1">
        <v>77.310760308599171</v>
      </c>
      <c r="P462" s="1">
        <v>90.398218274073344</v>
      </c>
      <c r="Q462" s="1">
        <v>100</v>
      </c>
      <c r="R462" s="1">
        <v>98.539127000430625</v>
      </c>
      <c r="S462" s="1">
        <v>104.00599955629987</v>
      </c>
      <c r="T462" s="1">
        <v>99.450163850085758</v>
      </c>
      <c r="U462" s="1">
        <v>100.75492416935522</v>
      </c>
      <c r="V462" s="1">
        <v>99.095758848135802</v>
      </c>
      <c r="W462" s="1">
        <v>102.20284750979505</v>
      </c>
      <c r="X462" s="1">
        <v>98.938308797866256</v>
      </c>
      <c r="Y462" s="1">
        <v>93.261768209313857</v>
      </c>
      <c r="Z462" s="1">
        <v>86.852744311290479</v>
      </c>
      <c r="AA462" s="1">
        <v>96.697105376186386</v>
      </c>
      <c r="AB462" s="1">
        <v>81.492991903760696</v>
      </c>
      <c r="AC462" s="1">
        <v>102.12169819441469</v>
      </c>
      <c r="AD462" s="1">
        <v>124.54012374585781</v>
      </c>
      <c r="AE462" s="1">
        <v>94.191450510765264</v>
      </c>
      <c r="AF462" s="1">
        <v>105.43186882453757</v>
      </c>
      <c r="AG462" s="1">
        <v>100</v>
      </c>
      <c r="AH462" s="1">
        <v>98.975330692053802</v>
      </c>
      <c r="AI462" s="1">
        <v>109.16463458768133</v>
      </c>
      <c r="AJ462" s="1">
        <v>101.4355028770963</v>
      </c>
      <c r="AK462" s="1">
        <v>90.147561847675718</v>
      </c>
      <c r="AL462" s="1">
        <v>104.21620580533722</v>
      </c>
      <c r="AM462" s="1">
        <v>116.7028707921346</v>
      </c>
      <c r="AN462" s="1">
        <v>102.8225889582061</v>
      </c>
      <c r="AO462" s="1">
        <v>99.132751748821036</v>
      </c>
      <c r="AP462" s="1">
        <v>102.00398441464017</v>
      </c>
      <c r="AQ462" s="1">
        <v>93.558901743626024</v>
      </c>
      <c r="AR462" s="1">
        <v>102.85663702937894</v>
      </c>
      <c r="AS462" s="1">
        <v>98.6003422659997</v>
      </c>
      <c r="AT462" s="1">
        <v>110.98958600736641</v>
      </c>
      <c r="AU462" s="1">
        <v>92.683083360025861</v>
      </c>
      <c r="AV462" s="1">
        <v>99.900323214082661</v>
      </c>
      <c r="AW462" s="1">
        <v>100</v>
      </c>
      <c r="AX462" s="1">
        <v>100</v>
      </c>
      <c r="AY462" s="1">
        <v>100</v>
      </c>
      <c r="AZ462" s="1">
        <v>100</v>
      </c>
      <c r="BA462" s="1">
        <v>100</v>
      </c>
      <c r="BB462" s="1">
        <v>100</v>
      </c>
      <c r="BC462" s="1">
        <v>100</v>
      </c>
      <c r="BD462" s="1">
        <v>100</v>
      </c>
      <c r="BE462" s="1">
        <v>100</v>
      </c>
      <c r="BF462" s="1">
        <v>100</v>
      </c>
      <c r="BG462" s="1">
        <v>100</v>
      </c>
      <c r="BH462" s="1">
        <v>100</v>
      </c>
    </row>
    <row r="463" spans="1:60" x14ac:dyDescent="0.25">
      <c r="A463">
        <f t="shared" ref="A463:A526" si="8">A462+1</f>
        <v>450</v>
      </c>
      <c r="B463" s="1">
        <v>109.69287495527728</v>
      </c>
      <c r="C463" s="1">
        <v>94.353173132071191</v>
      </c>
      <c r="D463" s="1">
        <v>97.69521325787963</v>
      </c>
      <c r="E463" s="1">
        <v>114.59129381441466</v>
      </c>
      <c r="F463" s="1">
        <v>95.932799101521084</v>
      </c>
      <c r="G463" s="1">
        <v>101.20264176422626</v>
      </c>
      <c r="H463" s="1">
        <v>102.6264770510757</v>
      </c>
      <c r="I463" s="1">
        <v>93.898681480592288</v>
      </c>
      <c r="J463" s="1">
        <v>109.73261611443155</v>
      </c>
      <c r="K463" s="1">
        <v>106.16590636000029</v>
      </c>
      <c r="L463" s="1">
        <v>97.8297921695535</v>
      </c>
      <c r="M463" s="1">
        <v>96.715943522481638</v>
      </c>
      <c r="N463" s="1">
        <v>100.04773223105254</v>
      </c>
      <c r="O463" s="1">
        <v>77.310760308599171</v>
      </c>
      <c r="P463" s="1">
        <v>90.398218274073344</v>
      </c>
      <c r="Q463" s="1">
        <v>100</v>
      </c>
      <c r="R463" s="1">
        <v>98.539127000430625</v>
      </c>
      <c r="S463" s="1">
        <v>104.00599955629987</v>
      </c>
      <c r="T463" s="1">
        <v>99.450163850085758</v>
      </c>
      <c r="U463" s="1">
        <v>100.75492416935522</v>
      </c>
      <c r="V463" s="1">
        <v>98.205593504700019</v>
      </c>
      <c r="W463" s="1">
        <v>102.20284750979505</v>
      </c>
      <c r="X463" s="1">
        <v>98.938308797866256</v>
      </c>
      <c r="Y463" s="1">
        <v>93.261768209313857</v>
      </c>
      <c r="Z463" s="1">
        <v>86.852744311290479</v>
      </c>
      <c r="AA463" s="1">
        <v>96.697105376186386</v>
      </c>
      <c r="AB463" s="1">
        <v>81.492991903760696</v>
      </c>
      <c r="AC463" s="1">
        <v>102.12169819441469</v>
      </c>
      <c r="AD463" s="1">
        <v>124.54012374585781</v>
      </c>
      <c r="AE463" s="1">
        <v>94.191450510765264</v>
      </c>
      <c r="AF463" s="1">
        <v>105.43186882453757</v>
      </c>
      <c r="AG463" s="1">
        <v>100</v>
      </c>
      <c r="AH463" s="1">
        <v>98.975330692053802</v>
      </c>
      <c r="AI463" s="1">
        <v>109.16463458768133</v>
      </c>
      <c r="AJ463" s="1">
        <v>101.4355028770963</v>
      </c>
      <c r="AK463" s="1">
        <v>91.181797910444487</v>
      </c>
      <c r="AL463" s="1">
        <v>105.11082539653299</v>
      </c>
      <c r="AM463" s="1">
        <v>116.7028707921346</v>
      </c>
      <c r="AN463" s="1">
        <v>102.8225889582061</v>
      </c>
      <c r="AO463" s="1">
        <v>99.132751748821036</v>
      </c>
      <c r="AP463" s="1">
        <v>102.00398441464017</v>
      </c>
      <c r="AQ463" s="1">
        <v>93.558901743626024</v>
      </c>
      <c r="AR463" s="1">
        <v>102.85663702937894</v>
      </c>
      <c r="AS463" s="1">
        <v>98.6003422659997</v>
      </c>
      <c r="AT463" s="1">
        <v>110.98958600736641</v>
      </c>
      <c r="AU463" s="1">
        <v>92.683083360025861</v>
      </c>
      <c r="AV463" s="1">
        <v>99.900323214082661</v>
      </c>
      <c r="AW463" s="1">
        <v>100</v>
      </c>
      <c r="AX463" s="1">
        <v>100</v>
      </c>
      <c r="AY463" s="1">
        <v>100</v>
      </c>
      <c r="AZ463" s="1">
        <v>100</v>
      </c>
      <c r="BA463" s="1">
        <v>100</v>
      </c>
      <c r="BB463" s="1">
        <v>100</v>
      </c>
      <c r="BC463" s="1">
        <v>100</v>
      </c>
      <c r="BD463" s="1">
        <v>100</v>
      </c>
      <c r="BE463" s="1">
        <v>100</v>
      </c>
      <c r="BF463" s="1">
        <v>100</v>
      </c>
      <c r="BG463" s="1">
        <v>100</v>
      </c>
      <c r="BH463" s="1">
        <v>100</v>
      </c>
    </row>
    <row r="464" spans="1:60" x14ac:dyDescent="0.25">
      <c r="A464">
        <f t="shared" si="8"/>
        <v>451</v>
      </c>
      <c r="B464" s="1">
        <v>110.11283764865146</v>
      </c>
      <c r="C464" s="1">
        <v>94.353173132071191</v>
      </c>
      <c r="D464" s="1">
        <v>97.69521325787963</v>
      </c>
      <c r="E464" s="1">
        <v>114.59129381441466</v>
      </c>
      <c r="F464" s="1">
        <v>95.932799101521084</v>
      </c>
      <c r="G464" s="1">
        <v>101.20264176422626</v>
      </c>
      <c r="H464" s="1">
        <v>102.6264770510757</v>
      </c>
      <c r="I464" s="1">
        <v>93.898681480592288</v>
      </c>
      <c r="J464" s="1">
        <v>109.73261611443155</v>
      </c>
      <c r="K464" s="1">
        <v>106.16590636000029</v>
      </c>
      <c r="L464" s="1">
        <v>97.8297921695535</v>
      </c>
      <c r="M464" s="1">
        <v>96.715943522481638</v>
      </c>
      <c r="N464" s="1">
        <v>100.04773223105254</v>
      </c>
      <c r="O464" s="1">
        <v>77.906627106782139</v>
      </c>
      <c r="P464" s="1">
        <v>90.398218274073344</v>
      </c>
      <c r="Q464" s="1">
        <v>100</v>
      </c>
      <c r="R464" s="1">
        <v>98.539127000430625</v>
      </c>
      <c r="S464" s="1">
        <v>104.00599955629987</v>
      </c>
      <c r="T464" s="1">
        <v>98.928455694984095</v>
      </c>
      <c r="U464" s="1">
        <v>100.75492416935522</v>
      </c>
      <c r="V464" s="1">
        <v>98.205593504700019</v>
      </c>
      <c r="W464" s="1">
        <v>102.20284750979505</v>
      </c>
      <c r="X464" s="1">
        <v>98.938308797866256</v>
      </c>
      <c r="Y464" s="1">
        <v>93.261768209313857</v>
      </c>
      <c r="Z464" s="1">
        <v>86.852744311290479</v>
      </c>
      <c r="AA464" s="1">
        <v>96.697105376186386</v>
      </c>
      <c r="AB464" s="1">
        <v>81.492991903760696</v>
      </c>
      <c r="AC464" s="1">
        <v>102.12169819441469</v>
      </c>
      <c r="AD464" s="1">
        <v>124.54012374585781</v>
      </c>
      <c r="AE464" s="1">
        <v>93.697329174309772</v>
      </c>
      <c r="AF464" s="1">
        <v>105.43186882453757</v>
      </c>
      <c r="AG464" s="1">
        <v>100</v>
      </c>
      <c r="AH464" s="1">
        <v>98.975330692053802</v>
      </c>
      <c r="AI464" s="1">
        <v>109.16463458768133</v>
      </c>
      <c r="AJ464" s="1">
        <v>101.4355028770963</v>
      </c>
      <c r="AK464" s="1">
        <v>91.181797910444487</v>
      </c>
      <c r="AL464" s="1">
        <v>105.11082539653299</v>
      </c>
      <c r="AM464" s="1">
        <v>116.7028707921346</v>
      </c>
      <c r="AN464" s="1">
        <v>102.8225889582061</v>
      </c>
      <c r="AO464" s="1">
        <v>99.132751748821036</v>
      </c>
      <c r="AP464" s="1">
        <v>102.00398441464017</v>
      </c>
      <c r="AQ464" s="1">
        <v>93.558901743626024</v>
      </c>
      <c r="AR464" s="1">
        <v>102.85663702937894</v>
      </c>
      <c r="AS464" s="1">
        <v>98.6003422659997</v>
      </c>
      <c r="AT464" s="1">
        <v>110.98958600736641</v>
      </c>
      <c r="AU464" s="1">
        <v>92.683083360025861</v>
      </c>
      <c r="AV464" s="1">
        <v>99.900323214082661</v>
      </c>
      <c r="AW464" s="1">
        <v>100</v>
      </c>
      <c r="AX464" s="1">
        <v>100</v>
      </c>
      <c r="AY464" s="1">
        <v>100</v>
      </c>
      <c r="AZ464" s="1">
        <v>100</v>
      </c>
      <c r="BA464" s="1">
        <v>100</v>
      </c>
      <c r="BB464" s="1">
        <v>100</v>
      </c>
      <c r="BC464" s="1">
        <v>100</v>
      </c>
      <c r="BD464" s="1">
        <v>100</v>
      </c>
      <c r="BE464" s="1">
        <v>100</v>
      </c>
      <c r="BF464" s="1">
        <v>100</v>
      </c>
      <c r="BG464" s="1">
        <v>100</v>
      </c>
      <c r="BH464" s="1">
        <v>100</v>
      </c>
    </row>
    <row r="465" spans="1:60" x14ac:dyDescent="0.25">
      <c r="A465">
        <f t="shared" si="8"/>
        <v>452</v>
      </c>
      <c r="B465" s="1">
        <v>109.55550326683006</v>
      </c>
      <c r="C465" s="1">
        <v>94.353173132071191</v>
      </c>
      <c r="D465" s="1">
        <v>97.69521325787963</v>
      </c>
      <c r="E465" s="1">
        <v>114.59129381441466</v>
      </c>
      <c r="F465" s="1">
        <v>95.932799101521084</v>
      </c>
      <c r="G465" s="1">
        <v>101.20264176422626</v>
      </c>
      <c r="H465" s="1">
        <v>102.6264770510757</v>
      </c>
      <c r="I465" s="1">
        <v>93.898681480592288</v>
      </c>
      <c r="J465" s="1">
        <v>109.73261611443155</v>
      </c>
      <c r="K465" s="1">
        <v>106.16590636000029</v>
      </c>
      <c r="L465" s="1">
        <v>97.8297921695535</v>
      </c>
      <c r="M465" s="1">
        <v>96.715943522481638</v>
      </c>
      <c r="N465" s="1">
        <v>100.04773223105254</v>
      </c>
      <c r="O465" s="1">
        <v>77.512303948960209</v>
      </c>
      <c r="P465" s="1">
        <v>90.398218274073344</v>
      </c>
      <c r="Q465" s="1">
        <v>100</v>
      </c>
      <c r="R465" s="1">
        <v>98.539127000430625</v>
      </c>
      <c r="S465" s="1">
        <v>104.00599955629987</v>
      </c>
      <c r="T465" s="1">
        <v>99.391362412346368</v>
      </c>
      <c r="U465" s="1">
        <v>100.75492416935522</v>
      </c>
      <c r="V465" s="1">
        <v>98.205593504700019</v>
      </c>
      <c r="W465" s="1">
        <v>102.20284750979505</v>
      </c>
      <c r="X465" s="1">
        <v>98.938308797866256</v>
      </c>
      <c r="Y465" s="1">
        <v>93.261768209313857</v>
      </c>
      <c r="Z465" s="1">
        <v>86.852744311290479</v>
      </c>
      <c r="AA465" s="1">
        <v>96.697105376186386</v>
      </c>
      <c r="AB465" s="1">
        <v>81.492991903760696</v>
      </c>
      <c r="AC465" s="1">
        <v>102.12169819441469</v>
      </c>
      <c r="AD465" s="1">
        <v>124.54012374585781</v>
      </c>
      <c r="AE465" s="1">
        <v>94.186079996590834</v>
      </c>
      <c r="AF465" s="1">
        <v>105.43186882453757</v>
      </c>
      <c r="AG465" s="1">
        <v>100</v>
      </c>
      <c r="AH465" s="1">
        <v>98.975330692053802</v>
      </c>
      <c r="AI465" s="1">
        <v>109.16463458768133</v>
      </c>
      <c r="AJ465" s="1">
        <v>101.4355028770963</v>
      </c>
      <c r="AK465" s="1">
        <v>91.181797910444487</v>
      </c>
      <c r="AL465" s="1">
        <v>105.11082539653299</v>
      </c>
      <c r="AM465" s="1">
        <v>116.7028707921346</v>
      </c>
      <c r="AN465" s="1">
        <v>102.8225889582061</v>
      </c>
      <c r="AO465" s="1">
        <v>99.132751748821036</v>
      </c>
      <c r="AP465" s="1">
        <v>102.00398441464017</v>
      </c>
      <c r="AQ465" s="1">
        <v>93.558901743626024</v>
      </c>
      <c r="AR465" s="1">
        <v>102.85663702937894</v>
      </c>
      <c r="AS465" s="1">
        <v>98.6003422659997</v>
      </c>
      <c r="AT465" s="1">
        <v>110.98958600736641</v>
      </c>
      <c r="AU465" s="1">
        <v>92.683083360025861</v>
      </c>
      <c r="AV465" s="1">
        <v>99.900323214082661</v>
      </c>
      <c r="AW465" s="1">
        <v>100</v>
      </c>
      <c r="AX465" s="1">
        <v>100</v>
      </c>
      <c r="AY465" s="1">
        <v>100</v>
      </c>
      <c r="AZ465" s="1">
        <v>100</v>
      </c>
      <c r="BA465" s="1">
        <v>100</v>
      </c>
      <c r="BB465" s="1">
        <v>100</v>
      </c>
      <c r="BC465" s="1">
        <v>100</v>
      </c>
      <c r="BD465" s="1">
        <v>100</v>
      </c>
      <c r="BE465" s="1">
        <v>100</v>
      </c>
      <c r="BF465" s="1">
        <v>100</v>
      </c>
      <c r="BG465" s="1">
        <v>100</v>
      </c>
      <c r="BH465" s="1">
        <v>100</v>
      </c>
    </row>
    <row r="466" spans="1:60" x14ac:dyDescent="0.25">
      <c r="A466">
        <f t="shared" si="8"/>
        <v>453</v>
      </c>
      <c r="B466" s="1">
        <v>109.55550326683006</v>
      </c>
      <c r="C466" s="1">
        <v>94.353173132071191</v>
      </c>
      <c r="D466" s="1">
        <v>97.69521325787963</v>
      </c>
      <c r="E466" s="1">
        <v>115.38117309658379</v>
      </c>
      <c r="F466" s="1">
        <v>95.932799101521084</v>
      </c>
      <c r="G466" s="1">
        <v>101.20264176422626</v>
      </c>
      <c r="H466" s="1">
        <v>102.6264770510757</v>
      </c>
      <c r="I466" s="1">
        <v>93.898681480592288</v>
      </c>
      <c r="J466" s="1">
        <v>109.73261611443155</v>
      </c>
      <c r="K466" s="1">
        <v>106.16590636000029</v>
      </c>
      <c r="L466" s="1">
        <v>97.8297921695535</v>
      </c>
      <c r="M466" s="1">
        <v>96.715943522481638</v>
      </c>
      <c r="N466" s="1">
        <v>100.04773223105254</v>
      </c>
      <c r="O466" s="1">
        <v>77.512303948960209</v>
      </c>
      <c r="P466" s="1">
        <v>90.398218274073344</v>
      </c>
      <c r="Q466" s="1">
        <v>100</v>
      </c>
      <c r="R466" s="1">
        <v>98.539127000430625</v>
      </c>
      <c r="S466" s="1">
        <v>104.00599955629987</v>
      </c>
      <c r="T466" s="1">
        <v>98.515359472409855</v>
      </c>
      <c r="U466" s="1">
        <v>100.75492416935522</v>
      </c>
      <c r="V466" s="1">
        <v>98.205593504700019</v>
      </c>
      <c r="W466" s="1">
        <v>102.20284750979505</v>
      </c>
      <c r="X466" s="1">
        <v>98.938308797866256</v>
      </c>
      <c r="Y466" s="1">
        <v>93.261768209313857</v>
      </c>
      <c r="Z466" s="1">
        <v>86.852744311290479</v>
      </c>
      <c r="AA466" s="1">
        <v>96.697105376186386</v>
      </c>
      <c r="AB466" s="1">
        <v>81.492991903760696</v>
      </c>
      <c r="AC466" s="1">
        <v>102.12169819441469</v>
      </c>
      <c r="AD466" s="1">
        <v>124.54012374585781</v>
      </c>
      <c r="AE466" s="1">
        <v>94.186079996590834</v>
      </c>
      <c r="AF466" s="1">
        <v>105.43186882453757</v>
      </c>
      <c r="AG466" s="1">
        <v>100</v>
      </c>
      <c r="AH466" s="1">
        <v>98.975330692053802</v>
      </c>
      <c r="AI466" s="1">
        <v>109.16463458768133</v>
      </c>
      <c r="AJ466" s="1">
        <v>101.4355028770963</v>
      </c>
      <c r="AK466" s="1">
        <v>92.174466304523122</v>
      </c>
      <c r="AL466" s="1">
        <v>105.11082539653299</v>
      </c>
      <c r="AM466" s="1">
        <v>116.7028707921346</v>
      </c>
      <c r="AN466" s="1">
        <v>102.8225889582061</v>
      </c>
      <c r="AO466" s="1">
        <v>99.132751748821036</v>
      </c>
      <c r="AP466" s="1">
        <v>102.00398441464017</v>
      </c>
      <c r="AQ466" s="1">
        <v>93.558901743626024</v>
      </c>
      <c r="AR466" s="1">
        <v>101.95009229306768</v>
      </c>
      <c r="AS466" s="1">
        <v>98.6003422659997</v>
      </c>
      <c r="AT466" s="1">
        <v>110.98958600736641</v>
      </c>
      <c r="AU466" s="1">
        <v>92.683083360025861</v>
      </c>
      <c r="AV466" s="1">
        <v>99.900323214082661</v>
      </c>
      <c r="AW466" s="1">
        <v>100</v>
      </c>
      <c r="AX466" s="1">
        <v>100</v>
      </c>
      <c r="AY466" s="1">
        <v>100</v>
      </c>
      <c r="AZ466" s="1">
        <v>100</v>
      </c>
      <c r="BA466" s="1">
        <v>100</v>
      </c>
      <c r="BB466" s="1">
        <v>100</v>
      </c>
      <c r="BC466" s="1">
        <v>100</v>
      </c>
      <c r="BD466" s="1">
        <v>100</v>
      </c>
      <c r="BE466" s="1">
        <v>100</v>
      </c>
      <c r="BF466" s="1">
        <v>100</v>
      </c>
      <c r="BG466" s="1">
        <v>100</v>
      </c>
      <c r="BH466" s="1">
        <v>100</v>
      </c>
    </row>
    <row r="467" spans="1:60" x14ac:dyDescent="0.25">
      <c r="A467">
        <f t="shared" si="8"/>
        <v>454</v>
      </c>
      <c r="B467" s="1">
        <v>109.55550326683006</v>
      </c>
      <c r="C467" s="1">
        <v>94.353173132071191</v>
      </c>
      <c r="D467" s="1">
        <v>97.69521325787963</v>
      </c>
      <c r="E467" s="1">
        <v>114.10864460302504</v>
      </c>
      <c r="F467" s="1">
        <v>95.932799101521084</v>
      </c>
      <c r="G467" s="1">
        <v>101.20264176422626</v>
      </c>
      <c r="H467" s="1">
        <v>102.6264770510757</v>
      </c>
      <c r="I467" s="1">
        <v>93.898681480592288</v>
      </c>
      <c r="J467" s="1">
        <v>109.73261611443155</v>
      </c>
      <c r="K467" s="1">
        <v>106.16590636000029</v>
      </c>
      <c r="L467" s="1">
        <v>97.8297921695535</v>
      </c>
      <c r="M467" s="1">
        <v>96.715943522481638</v>
      </c>
      <c r="N467" s="1">
        <v>100.04773223105254</v>
      </c>
      <c r="O467" s="1">
        <v>77.512303948960209</v>
      </c>
      <c r="P467" s="1">
        <v>90.398218274073344</v>
      </c>
      <c r="Q467" s="1">
        <v>100</v>
      </c>
      <c r="R467" s="1">
        <v>98.539127000430625</v>
      </c>
      <c r="S467" s="1">
        <v>104.00599955629987</v>
      </c>
      <c r="T467" s="1">
        <v>99.67952621788956</v>
      </c>
      <c r="U467" s="1">
        <v>100.75492416935522</v>
      </c>
      <c r="V467" s="1">
        <v>98.205593504700019</v>
      </c>
      <c r="W467" s="1">
        <v>102.20284750979505</v>
      </c>
      <c r="X467" s="1">
        <v>98.938308797866256</v>
      </c>
      <c r="Y467" s="1">
        <v>93.261768209313857</v>
      </c>
      <c r="Z467" s="1">
        <v>86.852744311290479</v>
      </c>
      <c r="AA467" s="1">
        <v>96.697105376186386</v>
      </c>
      <c r="AB467" s="1">
        <v>81.492991903760696</v>
      </c>
      <c r="AC467" s="1">
        <v>102.12169819441469</v>
      </c>
      <c r="AD467" s="1">
        <v>124.54012374585781</v>
      </c>
      <c r="AE467" s="1">
        <v>94.186079996590834</v>
      </c>
      <c r="AF467" s="1">
        <v>105.43186882453757</v>
      </c>
      <c r="AG467" s="1">
        <v>100</v>
      </c>
      <c r="AH467" s="1">
        <v>98.975330692053802</v>
      </c>
      <c r="AI467" s="1">
        <v>109.16463458768133</v>
      </c>
      <c r="AJ467" s="1">
        <v>101.4355028770963</v>
      </c>
      <c r="AK467" s="1">
        <v>91.157882475436111</v>
      </c>
      <c r="AL467" s="1">
        <v>105.11082539653299</v>
      </c>
      <c r="AM467" s="1">
        <v>116.7028707921346</v>
      </c>
      <c r="AN467" s="1">
        <v>102.8225889582061</v>
      </c>
      <c r="AO467" s="1">
        <v>99.132751748821036</v>
      </c>
      <c r="AP467" s="1">
        <v>102.00398441464017</v>
      </c>
      <c r="AQ467" s="1">
        <v>93.558901743626024</v>
      </c>
      <c r="AR467" s="1">
        <v>103.07503787023374</v>
      </c>
      <c r="AS467" s="1">
        <v>98.6003422659997</v>
      </c>
      <c r="AT467" s="1">
        <v>110.98958600736641</v>
      </c>
      <c r="AU467" s="1">
        <v>92.683083360025861</v>
      </c>
      <c r="AV467" s="1">
        <v>99.900323214082661</v>
      </c>
      <c r="AW467" s="1">
        <v>100</v>
      </c>
      <c r="AX467" s="1">
        <v>100</v>
      </c>
      <c r="AY467" s="1">
        <v>100</v>
      </c>
      <c r="AZ467" s="1">
        <v>100</v>
      </c>
      <c r="BA467" s="1">
        <v>100</v>
      </c>
      <c r="BB467" s="1">
        <v>100</v>
      </c>
      <c r="BC467" s="1">
        <v>100</v>
      </c>
      <c r="BD467" s="1">
        <v>100</v>
      </c>
      <c r="BE467" s="1">
        <v>100</v>
      </c>
      <c r="BF467" s="1">
        <v>100</v>
      </c>
      <c r="BG467" s="1">
        <v>100</v>
      </c>
      <c r="BH467" s="1">
        <v>100</v>
      </c>
    </row>
    <row r="468" spans="1:60" x14ac:dyDescent="0.25">
      <c r="A468">
        <f t="shared" si="8"/>
        <v>455</v>
      </c>
      <c r="B468" s="1">
        <v>108.71632275828726</v>
      </c>
      <c r="C468" s="1">
        <v>94.353173132071191</v>
      </c>
      <c r="D468" s="1">
        <v>97.69521325787963</v>
      </c>
      <c r="E468" s="1">
        <v>114.10864460302504</v>
      </c>
      <c r="F468" s="1">
        <v>95.932799101521084</v>
      </c>
      <c r="G468" s="1">
        <v>101.20264176422626</v>
      </c>
      <c r="H468" s="1">
        <v>102.6264770510757</v>
      </c>
      <c r="I468" s="1">
        <v>93.898681480592288</v>
      </c>
      <c r="J468" s="1">
        <v>109.73261611443155</v>
      </c>
      <c r="K468" s="1">
        <v>106.16590636000029</v>
      </c>
      <c r="L468" s="1">
        <v>97.8297921695535</v>
      </c>
      <c r="M468" s="1">
        <v>96.715943522481638</v>
      </c>
      <c r="N468" s="1">
        <v>100.04773223105254</v>
      </c>
      <c r="O468" s="1">
        <v>77.512303948960209</v>
      </c>
      <c r="P468" s="1">
        <v>90.398218274073344</v>
      </c>
      <c r="Q468" s="1">
        <v>100</v>
      </c>
      <c r="R468" s="1">
        <v>98.539127000430625</v>
      </c>
      <c r="S468" s="1">
        <v>104.00599955629987</v>
      </c>
      <c r="T468" s="1">
        <v>99.67952621788956</v>
      </c>
      <c r="U468" s="1">
        <v>100.75492416935522</v>
      </c>
      <c r="V468" s="1">
        <v>98.205593504700019</v>
      </c>
      <c r="W468" s="1">
        <v>102.20284750979505</v>
      </c>
      <c r="X468" s="1">
        <v>98.938308797866256</v>
      </c>
      <c r="Y468" s="1">
        <v>93.261768209313857</v>
      </c>
      <c r="Z468" s="1">
        <v>86.187463901214045</v>
      </c>
      <c r="AA468" s="1">
        <v>96.697105376186386</v>
      </c>
      <c r="AB468" s="1">
        <v>81.492991903760696</v>
      </c>
      <c r="AC468" s="1">
        <v>102.12169819441469</v>
      </c>
      <c r="AD468" s="1">
        <v>124.54012374585781</v>
      </c>
      <c r="AE468" s="1">
        <v>94.926020320404064</v>
      </c>
      <c r="AF468" s="1">
        <v>105.43186882453757</v>
      </c>
      <c r="AG468" s="1">
        <v>100</v>
      </c>
      <c r="AH468" s="1">
        <v>98.975330692053802</v>
      </c>
      <c r="AI468" s="1">
        <v>109.16463458768133</v>
      </c>
      <c r="AJ468" s="1">
        <v>101.4355028770963</v>
      </c>
      <c r="AK468" s="1">
        <v>91.922403070242112</v>
      </c>
      <c r="AL468" s="1">
        <v>105.11082539653299</v>
      </c>
      <c r="AM468" s="1">
        <v>116.7028707921346</v>
      </c>
      <c r="AN468" s="1">
        <v>102.8225889582061</v>
      </c>
      <c r="AO468" s="1">
        <v>99.132751748821036</v>
      </c>
      <c r="AP468" s="1">
        <v>102.00398441464017</v>
      </c>
      <c r="AQ468" s="1">
        <v>93.558901743626024</v>
      </c>
      <c r="AR468" s="1">
        <v>103.07503787023374</v>
      </c>
      <c r="AS468" s="1">
        <v>98.6003422659997</v>
      </c>
      <c r="AT468" s="1">
        <v>110.98958600736641</v>
      </c>
      <c r="AU468" s="1">
        <v>92.683083360025861</v>
      </c>
      <c r="AV468" s="1">
        <v>99.900323214082661</v>
      </c>
      <c r="AW468" s="1">
        <v>100</v>
      </c>
      <c r="AX468" s="1">
        <v>100</v>
      </c>
      <c r="AY468" s="1">
        <v>100</v>
      </c>
      <c r="AZ468" s="1">
        <v>100</v>
      </c>
      <c r="BA468" s="1">
        <v>100</v>
      </c>
      <c r="BB468" s="1">
        <v>100</v>
      </c>
      <c r="BC468" s="1">
        <v>100</v>
      </c>
      <c r="BD468" s="1">
        <v>100</v>
      </c>
      <c r="BE468" s="1">
        <v>100</v>
      </c>
      <c r="BF468" s="1">
        <v>100</v>
      </c>
      <c r="BG468" s="1">
        <v>100</v>
      </c>
      <c r="BH468" s="1">
        <v>100</v>
      </c>
    </row>
    <row r="469" spans="1:60" x14ac:dyDescent="0.25">
      <c r="A469">
        <f t="shared" si="8"/>
        <v>456</v>
      </c>
      <c r="B469" s="1">
        <v>108.96532098602248</v>
      </c>
      <c r="C469" s="1">
        <v>94.353173132071191</v>
      </c>
      <c r="D469" s="1">
        <v>97.69521325787963</v>
      </c>
      <c r="E469" s="1">
        <v>114.10864460302504</v>
      </c>
      <c r="F469" s="1">
        <v>95.932799101521084</v>
      </c>
      <c r="G469" s="1">
        <v>101.20264176422626</v>
      </c>
      <c r="H469" s="1">
        <v>102.6264770510757</v>
      </c>
      <c r="I469" s="1">
        <v>93.898681480592288</v>
      </c>
      <c r="J469" s="1">
        <v>109.73261611443155</v>
      </c>
      <c r="K469" s="1">
        <v>106.16590636000029</v>
      </c>
      <c r="L469" s="1">
        <v>97.8297921695535</v>
      </c>
      <c r="M469" s="1">
        <v>96.715943522481638</v>
      </c>
      <c r="N469" s="1">
        <v>100.04773223105254</v>
      </c>
      <c r="O469" s="1">
        <v>77.512303948960209</v>
      </c>
      <c r="P469" s="1">
        <v>90.398218274073344</v>
      </c>
      <c r="Q469" s="1">
        <v>100</v>
      </c>
      <c r="R469" s="1">
        <v>98.539127000430625</v>
      </c>
      <c r="S469" s="1">
        <v>104.00599955629987</v>
      </c>
      <c r="T469" s="1">
        <v>99.67952621788956</v>
      </c>
      <c r="U469" s="1">
        <v>100.75492416935522</v>
      </c>
      <c r="V469" s="1">
        <v>98.205593504700019</v>
      </c>
      <c r="W469" s="1">
        <v>102.20284750979505</v>
      </c>
      <c r="X469" s="1">
        <v>98.938308797866256</v>
      </c>
      <c r="Y469" s="1">
        <v>93.261768209313857</v>
      </c>
      <c r="Z469" s="1">
        <v>86.501548693449365</v>
      </c>
      <c r="AA469" s="1">
        <v>96.697105376186386</v>
      </c>
      <c r="AB469" s="1">
        <v>81.492991903760696</v>
      </c>
      <c r="AC469" s="1">
        <v>102.12169819441469</v>
      </c>
      <c r="AD469" s="1">
        <v>124.54012374585781</v>
      </c>
      <c r="AE469" s="1">
        <v>94.639952987183662</v>
      </c>
      <c r="AF469" s="1">
        <v>105.43186882453757</v>
      </c>
      <c r="AG469" s="1">
        <v>100</v>
      </c>
      <c r="AH469" s="1">
        <v>98.975330692053802</v>
      </c>
      <c r="AI469" s="1">
        <v>109.16463458768133</v>
      </c>
      <c r="AJ469" s="1">
        <v>101.4355028770963</v>
      </c>
      <c r="AK469" s="1">
        <v>91.645387383491979</v>
      </c>
      <c r="AL469" s="1">
        <v>105.11082539653299</v>
      </c>
      <c r="AM469" s="1">
        <v>116.7028707921346</v>
      </c>
      <c r="AN469" s="1">
        <v>102.8225889582061</v>
      </c>
      <c r="AO469" s="1">
        <v>99.132751748821036</v>
      </c>
      <c r="AP469" s="1">
        <v>102.00398441464017</v>
      </c>
      <c r="AQ469" s="1">
        <v>93.558901743626024</v>
      </c>
      <c r="AR469" s="1">
        <v>103.07503787023374</v>
      </c>
      <c r="AS469" s="1">
        <v>98.6003422659997</v>
      </c>
      <c r="AT469" s="1">
        <v>110.98958600736641</v>
      </c>
      <c r="AU469" s="1">
        <v>92.683083360025861</v>
      </c>
      <c r="AV469" s="1">
        <v>99.900323214082661</v>
      </c>
      <c r="AW469" s="1">
        <v>100</v>
      </c>
      <c r="AX469" s="1">
        <v>100</v>
      </c>
      <c r="AY469" s="1">
        <v>100</v>
      </c>
      <c r="AZ469" s="1">
        <v>100</v>
      </c>
      <c r="BA469" s="1">
        <v>100</v>
      </c>
      <c r="BB469" s="1">
        <v>100</v>
      </c>
      <c r="BC469" s="1">
        <v>100</v>
      </c>
      <c r="BD469" s="1">
        <v>100</v>
      </c>
      <c r="BE469" s="1">
        <v>100</v>
      </c>
      <c r="BF469" s="1">
        <v>100</v>
      </c>
      <c r="BG469" s="1">
        <v>100</v>
      </c>
      <c r="BH469" s="1">
        <v>100</v>
      </c>
    </row>
    <row r="470" spans="1:60" x14ac:dyDescent="0.25">
      <c r="A470">
        <f t="shared" si="8"/>
        <v>457</v>
      </c>
      <c r="B470" s="1">
        <v>107.58148340454267</v>
      </c>
      <c r="C470" s="1">
        <v>94.353173132071191</v>
      </c>
      <c r="D470" s="1">
        <v>97.69521325787963</v>
      </c>
      <c r="E470" s="1">
        <v>114.10864460302504</v>
      </c>
      <c r="F470" s="1">
        <v>95.932799101521084</v>
      </c>
      <c r="G470" s="1">
        <v>101.20264176422626</v>
      </c>
      <c r="H470" s="1">
        <v>102.6264770510757</v>
      </c>
      <c r="I470" s="1">
        <v>93.898681480592288</v>
      </c>
      <c r="J470" s="1">
        <v>109.73261611443155</v>
      </c>
      <c r="K470" s="1">
        <v>106.16590636000029</v>
      </c>
      <c r="L470" s="1">
        <v>97.8297921695535</v>
      </c>
      <c r="M470" s="1">
        <v>96.715943522481638</v>
      </c>
      <c r="N470" s="1">
        <v>100.04773223105254</v>
      </c>
      <c r="O470" s="1">
        <v>76.527913334946263</v>
      </c>
      <c r="P470" s="1">
        <v>90.398218274073344</v>
      </c>
      <c r="Q470" s="1">
        <v>100</v>
      </c>
      <c r="R470" s="1">
        <v>98.539127000430625</v>
      </c>
      <c r="S470" s="1">
        <v>104.00599955629987</v>
      </c>
      <c r="T470" s="1">
        <v>99.67952621788956</v>
      </c>
      <c r="U470" s="1">
        <v>100.75492416935522</v>
      </c>
      <c r="V470" s="1">
        <v>98.205593504700019</v>
      </c>
      <c r="W470" s="1">
        <v>102.20284750979505</v>
      </c>
      <c r="X470" s="1">
        <v>98.938308797866256</v>
      </c>
      <c r="Y470" s="1">
        <v>94.435531278096775</v>
      </c>
      <c r="Z470" s="1">
        <v>86.501548693449365</v>
      </c>
      <c r="AA470" s="1">
        <v>96.697105376186386</v>
      </c>
      <c r="AB470" s="1">
        <v>81.492991903760696</v>
      </c>
      <c r="AC470" s="1">
        <v>102.12169819441469</v>
      </c>
      <c r="AD470" s="1">
        <v>124.54012374585781</v>
      </c>
      <c r="AE470" s="1">
        <v>94.639952987183662</v>
      </c>
      <c r="AF470" s="1">
        <v>105.43186882453757</v>
      </c>
      <c r="AG470" s="1">
        <v>100</v>
      </c>
      <c r="AH470" s="1">
        <v>98.975330692053802</v>
      </c>
      <c r="AI470" s="1">
        <v>109.16463458768133</v>
      </c>
      <c r="AJ470" s="1">
        <v>101.4355028770963</v>
      </c>
      <c r="AK470" s="1">
        <v>92.839852510202803</v>
      </c>
      <c r="AL470" s="1">
        <v>105.11082539653299</v>
      </c>
      <c r="AM470" s="1">
        <v>116.7028707921346</v>
      </c>
      <c r="AN470" s="1">
        <v>102.8225889582061</v>
      </c>
      <c r="AO470" s="1">
        <v>99.132751748821036</v>
      </c>
      <c r="AP470" s="1">
        <v>102.00398441464017</v>
      </c>
      <c r="AQ470" s="1">
        <v>93.558901743626024</v>
      </c>
      <c r="AR470" s="1">
        <v>103.07503787023374</v>
      </c>
      <c r="AS470" s="1">
        <v>98.6003422659997</v>
      </c>
      <c r="AT470" s="1">
        <v>110.98958600736641</v>
      </c>
      <c r="AU470" s="1">
        <v>92.683083360025861</v>
      </c>
      <c r="AV470" s="1">
        <v>99.900323214082661</v>
      </c>
      <c r="AW470" s="1">
        <v>100</v>
      </c>
      <c r="AX470" s="1">
        <v>100</v>
      </c>
      <c r="AY470" s="1">
        <v>100</v>
      </c>
      <c r="AZ470" s="1">
        <v>100</v>
      </c>
      <c r="BA470" s="1">
        <v>100</v>
      </c>
      <c r="BB470" s="1">
        <v>100</v>
      </c>
      <c r="BC470" s="1">
        <v>100</v>
      </c>
      <c r="BD470" s="1">
        <v>100</v>
      </c>
      <c r="BE470" s="1">
        <v>100</v>
      </c>
      <c r="BF470" s="1">
        <v>100</v>
      </c>
      <c r="BG470" s="1">
        <v>100</v>
      </c>
      <c r="BH470" s="1">
        <v>100</v>
      </c>
    </row>
    <row r="471" spans="1:60" x14ac:dyDescent="0.25">
      <c r="A471">
        <f t="shared" si="8"/>
        <v>458</v>
      </c>
      <c r="B471" s="1">
        <v>107.23751685817788</v>
      </c>
      <c r="C471" s="1">
        <v>94.353173132071191</v>
      </c>
      <c r="D471" s="1">
        <v>97.69521325787963</v>
      </c>
      <c r="E471" s="1">
        <v>114.10864460302504</v>
      </c>
      <c r="F471" s="1">
        <v>95.932799101521084</v>
      </c>
      <c r="G471" s="1">
        <v>101.20264176422626</v>
      </c>
      <c r="H471" s="1">
        <v>102.6264770510757</v>
      </c>
      <c r="I471" s="1">
        <v>93.898681480592288</v>
      </c>
      <c r="J471" s="1">
        <v>109.73261611443155</v>
      </c>
      <c r="K471" s="1">
        <v>106.16590636000029</v>
      </c>
      <c r="L471" s="1">
        <v>97.8297921695535</v>
      </c>
      <c r="M471" s="1">
        <v>96.715943522481638</v>
      </c>
      <c r="N471" s="1">
        <v>100.04773223105254</v>
      </c>
      <c r="O471" s="1">
        <v>76.283233291343024</v>
      </c>
      <c r="P471" s="1">
        <v>90.398218274073344</v>
      </c>
      <c r="Q471" s="1">
        <v>100</v>
      </c>
      <c r="R471" s="1">
        <v>98.539127000430625</v>
      </c>
      <c r="S471" s="1">
        <v>104.00599955629987</v>
      </c>
      <c r="T471" s="1">
        <v>99.67952621788956</v>
      </c>
      <c r="U471" s="1">
        <v>100.75492416935522</v>
      </c>
      <c r="V471" s="1">
        <v>98.205593504700019</v>
      </c>
      <c r="W471" s="1">
        <v>102.20284750979505</v>
      </c>
      <c r="X471" s="1">
        <v>98.938308797866256</v>
      </c>
      <c r="Y471" s="1">
        <v>94.727346793237004</v>
      </c>
      <c r="Z471" s="1">
        <v>86.501548693449365</v>
      </c>
      <c r="AA471" s="1">
        <v>96.697105376186386</v>
      </c>
      <c r="AB471" s="1">
        <v>81.492991903760696</v>
      </c>
      <c r="AC471" s="1">
        <v>102.12169819441469</v>
      </c>
      <c r="AD471" s="1">
        <v>124.54012374585781</v>
      </c>
      <c r="AE471" s="1">
        <v>94.639952987183662</v>
      </c>
      <c r="AF471" s="1">
        <v>105.43186882453757</v>
      </c>
      <c r="AG471" s="1">
        <v>100</v>
      </c>
      <c r="AH471" s="1">
        <v>98.975330692053802</v>
      </c>
      <c r="AI471" s="1">
        <v>109.16463458768133</v>
      </c>
      <c r="AJ471" s="1">
        <v>101.4355028770963</v>
      </c>
      <c r="AK471" s="1">
        <v>93.13668358503061</v>
      </c>
      <c r="AL471" s="1">
        <v>105.11082539653299</v>
      </c>
      <c r="AM471" s="1">
        <v>116.7028707921346</v>
      </c>
      <c r="AN471" s="1">
        <v>102.8225889582061</v>
      </c>
      <c r="AO471" s="1">
        <v>99.132751748821036</v>
      </c>
      <c r="AP471" s="1">
        <v>102.00398441464017</v>
      </c>
      <c r="AQ471" s="1">
        <v>93.558901743626024</v>
      </c>
      <c r="AR471" s="1">
        <v>103.07503787023374</v>
      </c>
      <c r="AS471" s="1">
        <v>98.6003422659997</v>
      </c>
      <c r="AT471" s="1">
        <v>110.98958600736641</v>
      </c>
      <c r="AU471" s="1">
        <v>92.683083360025861</v>
      </c>
      <c r="AV471" s="1">
        <v>99.900323214082661</v>
      </c>
      <c r="AW471" s="1">
        <v>100</v>
      </c>
      <c r="AX471" s="1">
        <v>100</v>
      </c>
      <c r="AY471" s="1">
        <v>100</v>
      </c>
      <c r="AZ471" s="1">
        <v>100</v>
      </c>
      <c r="BA471" s="1">
        <v>100</v>
      </c>
      <c r="BB471" s="1">
        <v>100</v>
      </c>
      <c r="BC471" s="1">
        <v>100</v>
      </c>
      <c r="BD471" s="1">
        <v>100</v>
      </c>
      <c r="BE471" s="1">
        <v>100</v>
      </c>
      <c r="BF471" s="1">
        <v>100</v>
      </c>
      <c r="BG471" s="1">
        <v>100</v>
      </c>
      <c r="BH471" s="1">
        <v>100</v>
      </c>
    </row>
    <row r="472" spans="1:60" x14ac:dyDescent="0.25">
      <c r="A472">
        <f t="shared" si="8"/>
        <v>459</v>
      </c>
      <c r="B472" s="1">
        <v>107.58616492919916</v>
      </c>
      <c r="C472" s="1">
        <v>94.353173132071191</v>
      </c>
      <c r="D472" s="1">
        <v>97.69521325787963</v>
      </c>
      <c r="E472" s="1">
        <v>114.10864460302504</v>
      </c>
      <c r="F472" s="1">
        <v>95.932799101521084</v>
      </c>
      <c r="G472" s="1">
        <v>101.20264176422626</v>
      </c>
      <c r="H472" s="1">
        <v>102.6264770510757</v>
      </c>
      <c r="I472" s="1">
        <v>93.898681480592288</v>
      </c>
      <c r="J472" s="1">
        <v>109.73261611443155</v>
      </c>
      <c r="K472" s="1">
        <v>106.16590636000029</v>
      </c>
      <c r="L472" s="1">
        <v>97.8297921695535</v>
      </c>
      <c r="M472" s="1">
        <v>96.715943522481638</v>
      </c>
      <c r="N472" s="1">
        <v>100.04773223105254</v>
      </c>
      <c r="O472" s="1">
        <v>75.974011002816752</v>
      </c>
      <c r="P472" s="1">
        <v>90.398218274073344</v>
      </c>
      <c r="Q472" s="1">
        <v>100</v>
      </c>
      <c r="R472" s="1">
        <v>98.539127000430625</v>
      </c>
      <c r="S472" s="1">
        <v>104.00599955629987</v>
      </c>
      <c r="T472" s="1">
        <v>99.67952621788956</v>
      </c>
      <c r="U472" s="1">
        <v>100.75492416935522</v>
      </c>
      <c r="V472" s="1">
        <v>98.205593504700019</v>
      </c>
      <c r="W472" s="1">
        <v>102.20284750979505</v>
      </c>
      <c r="X472" s="1">
        <v>98.938308797866256</v>
      </c>
      <c r="Y472" s="1">
        <v>94.727346793237004</v>
      </c>
      <c r="Z472" s="1">
        <v>86.501548693449365</v>
      </c>
      <c r="AA472" s="1">
        <v>97.083757626512408</v>
      </c>
      <c r="AB472" s="1">
        <v>81.492991903760696</v>
      </c>
      <c r="AC472" s="1">
        <v>102.12169819441469</v>
      </c>
      <c r="AD472" s="1">
        <v>124.54012374585781</v>
      </c>
      <c r="AE472" s="1">
        <v>94.639952987183662</v>
      </c>
      <c r="AF472" s="1">
        <v>105.43186882453757</v>
      </c>
      <c r="AG472" s="1">
        <v>100</v>
      </c>
      <c r="AH472" s="1">
        <v>98.975330692053802</v>
      </c>
      <c r="AI472" s="1">
        <v>109.16463458768133</v>
      </c>
      <c r="AJ472" s="1">
        <v>101.4355028770963</v>
      </c>
      <c r="AK472" s="1">
        <v>93.13668358503061</v>
      </c>
      <c r="AL472" s="1">
        <v>104.68474736371198</v>
      </c>
      <c r="AM472" s="1">
        <v>116.7028707921346</v>
      </c>
      <c r="AN472" s="1">
        <v>102.8225889582061</v>
      </c>
      <c r="AO472" s="1">
        <v>99.132751748821036</v>
      </c>
      <c r="AP472" s="1">
        <v>102.00398441464017</v>
      </c>
      <c r="AQ472" s="1">
        <v>93.558901743626024</v>
      </c>
      <c r="AR472" s="1">
        <v>103.07503787023374</v>
      </c>
      <c r="AS472" s="1">
        <v>98.6003422659997</v>
      </c>
      <c r="AT472" s="1">
        <v>110.98958600736641</v>
      </c>
      <c r="AU472" s="1">
        <v>92.683083360025861</v>
      </c>
      <c r="AV472" s="1">
        <v>99.900323214082661</v>
      </c>
      <c r="AW472" s="1">
        <v>100</v>
      </c>
      <c r="AX472" s="1">
        <v>100</v>
      </c>
      <c r="AY472" s="1">
        <v>100</v>
      </c>
      <c r="AZ472" s="1">
        <v>100</v>
      </c>
      <c r="BA472" s="1">
        <v>100</v>
      </c>
      <c r="BB472" s="1">
        <v>100</v>
      </c>
      <c r="BC472" s="1">
        <v>100</v>
      </c>
      <c r="BD472" s="1">
        <v>100</v>
      </c>
      <c r="BE472" s="1">
        <v>100</v>
      </c>
      <c r="BF472" s="1">
        <v>100</v>
      </c>
      <c r="BG472" s="1">
        <v>100</v>
      </c>
      <c r="BH472" s="1">
        <v>100</v>
      </c>
    </row>
    <row r="473" spans="1:60" x14ac:dyDescent="0.25">
      <c r="A473">
        <f t="shared" si="8"/>
        <v>460</v>
      </c>
      <c r="B473" s="1">
        <v>106.76568351544071</v>
      </c>
      <c r="C473" s="1">
        <v>94.353173132071191</v>
      </c>
      <c r="D473" s="1">
        <v>97.69521325787963</v>
      </c>
      <c r="E473" s="1">
        <v>114.10864460302504</v>
      </c>
      <c r="F473" s="1">
        <v>95.932799101521084</v>
      </c>
      <c r="G473" s="1">
        <v>101.20264176422626</v>
      </c>
      <c r="H473" s="1">
        <v>102.6264770510757</v>
      </c>
      <c r="I473" s="1">
        <v>93.898681480592288</v>
      </c>
      <c r="J473" s="1">
        <v>109.73261611443155</v>
      </c>
      <c r="K473" s="1">
        <v>106.16590636000029</v>
      </c>
      <c r="L473" s="1">
        <v>97.8297921695535</v>
      </c>
      <c r="M473" s="1">
        <v>96.715943522481638</v>
      </c>
      <c r="N473" s="1">
        <v>100.04773223105254</v>
      </c>
      <c r="O473" s="1">
        <v>76.878473854744129</v>
      </c>
      <c r="P473" s="1">
        <v>90.398218274073344</v>
      </c>
      <c r="Q473" s="1">
        <v>100</v>
      </c>
      <c r="R473" s="1">
        <v>98.539127000430625</v>
      </c>
      <c r="S473" s="1">
        <v>104.00599955629987</v>
      </c>
      <c r="T473" s="1">
        <v>99.67952621788956</v>
      </c>
      <c r="U473" s="1">
        <v>100.75492416935522</v>
      </c>
      <c r="V473" s="1">
        <v>98.205593504700019</v>
      </c>
      <c r="W473" s="1">
        <v>102.20284750979505</v>
      </c>
      <c r="X473" s="1">
        <v>98.938308797866256</v>
      </c>
      <c r="Y473" s="1">
        <v>94.727346793237004</v>
      </c>
      <c r="Z473" s="1">
        <v>86.501548693449365</v>
      </c>
      <c r="AA473" s="1">
        <v>96.343370433021477</v>
      </c>
      <c r="AB473" s="1">
        <v>81.492991903760696</v>
      </c>
      <c r="AC473" s="1">
        <v>102.12169819441469</v>
      </c>
      <c r="AD473" s="1">
        <v>124.54012374585781</v>
      </c>
      <c r="AE473" s="1">
        <v>94.639952987183662</v>
      </c>
      <c r="AF473" s="1">
        <v>105.43186882453757</v>
      </c>
      <c r="AG473" s="1">
        <v>100</v>
      </c>
      <c r="AH473" s="1">
        <v>98.975330692053802</v>
      </c>
      <c r="AI473" s="1">
        <v>109.16463458768133</v>
      </c>
      <c r="AJ473" s="1">
        <v>101.4355028770963</v>
      </c>
      <c r="AK473" s="1">
        <v>93.13668358503061</v>
      </c>
      <c r="AL473" s="1">
        <v>105.34115311903398</v>
      </c>
      <c r="AM473" s="1">
        <v>116.7028707921346</v>
      </c>
      <c r="AN473" s="1">
        <v>102.8225889582061</v>
      </c>
      <c r="AO473" s="1">
        <v>99.132751748821036</v>
      </c>
      <c r="AP473" s="1">
        <v>102.00398441464017</v>
      </c>
      <c r="AQ473" s="1">
        <v>93.558901743626024</v>
      </c>
      <c r="AR473" s="1">
        <v>103.07503787023374</v>
      </c>
      <c r="AS473" s="1">
        <v>98.6003422659997</v>
      </c>
      <c r="AT473" s="1">
        <v>110.98958600736641</v>
      </c>
      <c r="AU473" s="1">
        <v>92.683083360025861</v>
      </c>
      <c r="AV473" s="1">
        <v>99.900323214082661</v>
      </c>
      <c r="AW473" s="1">
        <v>100</v>
      </c>
      <c r="AX473" s="1">
        <v>100</v>
      </c>
      <c r="AY473" s="1">
        <v>100</v>
      </c>
      <c r="AZ473" s="1">
        <v>100</v>
      </c>
      <c r="BA473" s="1">
        <v>100</v>
      </c>
      <c r="BB473" s="1">
        <v>100</v>
      </c>
      <c r="BC473" s="1">
        <v>100</v>
      </c>
      <c r="BD473" s="1">
        <v>100</v>
      </c>
      <c r="BE473" s="1">
        <v>100</v>
      </c>
      <c r="BF473" s="1">
        <v>100</v>
      </c>
      <c r="BG473" s="1">
        <v>100</v>
      </c>
      <c r="BH473" s="1">
        <v>100</v>
      </c>
    </row>
    <row r="474" spans="1:60" x14ac:dyDescent="0.25">
      <c r="A474">
        <f t="shared" si="8"/>
        <v>461</v>
      </c>
      <c r="B474" s="1">
        <v>106.76568351544071</v>
      </c>
      <c r="C474" s="1">
        <v>94.353173132071191</v>
      </c>
      <c r="D474" s="1">
        <v>97.69521325787963</v>
      </c>
      <c r="E474" s="1">
        <v>113.25399988062244</v>
      </c>
      <c r="F474" s="1">
        <v>95.932799101521084</v>
      </c>
      <c r="G474" s="1">
        <v>101.20264176422626</v>
      </c>
      <c r="H474" s="1">
        <v>102.6264770510757</v>
      </c>
      <c r="I474" s="1">
        <v>93.898681480592288</v>
      </c>
      <c r="J474" s="1">
        <v>109.73261611443155</v>
      </c>
      <c r="K474" s="1">
        <v>106.16590636000029</v>
      </c>
      <c r="L474" s="1">
        <v>97.8297921695535</v>
      </c>
      <c r="M474" s="1">
        <v>96.715943522481638</v>
      </c>
      <c r="N474" s="1">
        <v>100.04773223105254</v>
      </c>
      <c r="O474" s="1">
        <v>76.878473854744129</v>
      </c>
      <c r="P474" s="1">
        <v>90.398218274073344</v>
      </c>
      <c r="Q474" s="1">
        <v>100</v>
      </c>
      <c r="R474" s="1">
        <v>98.539127000430625</v>
      </c>
      <c r="S474" s="1">
        <v>104.00599955629987</v>
      </c>
      <c r="T474" s="1">
        <v>99.67952621788956</v>
      </c>
      <c r="U474" s="1">
        <v>100.75492416935522</v>
      </c>
      <c r="V474" s="1">
        <v>98.937795366566533</v>
      </c>
      <c r="W474" s="1">
        <v>102.20284750979505</v>
      </c>
      <c r="X474" s="1">
        <v>98.938308797866256</v>
      </c>
      <c r="Y474" s="1">
        <v>94.727346793237004</v>
      </c>
      <c r="Z474" s="1">
        <v>87.332820728412273</v>
      </c>
      <c r="AA474" s="1">
        <v>96.343370433021477</v>
      </c>
      <c r="AB474" s="1">
        <v>81.492991903760696</v>
      </c>
      <c r="AC474" s="1">
        <v>102.12169819441469</v>
      </c>
      <c r="AD474" s="1">
        <v>124.54012374585781</v>
      </c>
      <c r="AE474" s="1">
        <v>93.931123812756837</v>
      </c>
      <c r="AF474" s="1">
        <v>105.43186882453757</v>
      </c>
      <c r="AG474" s="1">
        <v>100</v>
      </c>
      <c r="AH474" s="1">
        <v>98.975330692053802</v>
      </c>
      <c r="AI474" s="1">
        <v>109.16463458768133</v>
      </c>
      <c r="AJ474" s="1">
        <v>101.4355028770963</v>
      </c>
      <c r="AK474" s="1">
        <v>93.13668358503061</v>
      </c>
      <c r="AL474" s="1">
        <v>105.34115311903398</v>
      </c>
      <c r="AM474" s="1">
        <v>116.7028707921346</v>
      </c>
      <c r="AN474" s="1">
        <v>102.8225889582061</v>
      </c>
      <c r="AO474" s="1">
        <v>99.132751748821036</v>
      </c>
      <c r="AP474" s="1">
        <v>102.00398441464017</v>
      </c>
      <c r="AQ474" s="1">
        <v>93.558901743626024</v>
      </c>
      <c r="AR474" s="1">
        <v>103.07503787023374</v>
      </c>
      <c r="AS474" s="1">
        <v>98.6003422659997</v>
      </c>
      <c r="AT474" s="1">
        <v>110.98958600736641</v>
      </c>
      <c r="AU474" s="1">
        <v>92.683083360025861</v>
      </c>
      <c r="AV474" s="1">
        <v>99.900323214082661</v>
      </c>
      <c r="AW474" s="1">
        <v>100</v>
      </c>
      <c r="AX474" s="1">
        <v>100</v>
      </c>
      <c r="AY474" s="1">
        <v>100</v>
      </c>
      <c r="AZ474" s="1">
        <v>100</v>
      </c>
      <c r="BA474" s="1">
        <v>100</v>
      </c>
      <c r="BB474" s="1">
        <v>100</v>
      </c>
      <c r="BC474" s="1">
        <v>100</v>
      </c>
      <c r="BD474" s="1">
        <v>100</v>
      </c>
      <c r="BE474" s="1">
        <v>100</v>
      </c>
      <c r="BF474" s="1">
        <v>100</v>
      </c>
      <c r="BG474" s="1">
        <v>100</v>
      </c>
      <c r="BH474" s="1">
        <v>100</v>
      </c>
    </row>
    <row r="475" spans="1:60" x14ac:dyDescent="0.25">
      <c r="A475">
        <f t="shared" si="8"/>
        <v>462</v>
      </c>
      <c r="B475" s="1">
        <v>106.76568351544071</v>
      </c>
      <c r="C475" s="1">
        <v>94.353173132071191</v>
      </c>
      <c r="D475" s="1">
        <v>97.69521325787963</v>
      </c>
      <c r="E475" s="1">
        <v>112.33701513303843</v>
      </c>
      <c r="F475" s="1">
        <v>95.932799101521084</v>
      </c>
      <c r="G475" s="1">
        <v>101.20264176422626</v>
      </c>
      <c r="H475" s="1">
        <v>102.6264770510757</v>
      </c>
      <c r="I475" s="1">
        <v>93.898681480592288</v>
      </c>
      <c r="J475" s="1">
        <v>109.73261611443155</v>
      </c>
      <c r="K475" s="1">
        <v>106.16590636000029</v>
      </c>
      <c r="L475" s="1">
        <v>97.8297921695535</v>
      </c>
      <c r="M475" s="1">
        <v>96.715943522481638</v>
      </c>
      <c r="N475" s="1">
        <v>100.04773223105254</v>
      </c>
      <c r="O475" s="1">
        <v>76.878473854744129</v>
      </c>
      <c r="P475" s="1">
        <v>90.398218274073344</v>
      </c>
      <c r="Q475" s="1">
        <v>100</v>
      </c>
      <c r="R475" s="1">
        <v>98.539127000430625</v>
      </c>
      <c r="S475" s="1">
        <v>104.00599955629987</v>
      </c>
      <c r="T475" s="1">
        <v>99.67952621788956</v>
      </c>
      <c r="U475" s="1">
        <v>100.75492416935522</v>
      </c>
      <c r="V475" s="1">
        <v>99.724298157728981</v>
      </c>
      <c r="W475" s="1">
        <v>102.20284750979505</v>
      </c>
      <c r="X475" s="1">
        <v>98.938308797866256</v>
      </c>
      <c r="Y475" s="1">
        <v>94.727346793237004</v>
      </c>
      <c r="Z475" s="1">
        <v>88.223835716342776</v>
      </c>
      <c r="AA475" s="1">
        <v>96.343370433021477</v>
      </c>
      <c r="AB475" s="1">
        <v>81.492991903760696</v>
      </c>
      <c r="AC475" s="1">
        <v>102.12169819441469</v>
      </c>
      <c r="AD475" s="1">
        <v>124.54012374585781</v>
      </c>
      <c r="AE475" s="1">
        <v>93.170590781247896</v>
      </c>
      <c r="AF475" s="1">
        <v>105.43186882453757</v>
      </c>
      <c r="AG475" s="1">
        <v>100</v>
      </c>
      <c r="AH475" s="1">
        <v>98.975330692053802</v>
      </c>
      <c r="AI475" s="1">
        <v>109.16463458768133</v>
      </c>
      <c r="AJ475" s="1">
        <v>101.4355028770963</v>
      </c>
      <c r="AK475" s="1">
        <v>93.13668358503061</v>
      </c>
      <c r="AL475" s="1">
        <v>105.34115311903398</v>
      </c>
      <c r="AM475" s="1">
        <v>116.7028707921346</v>
      </c>
      <c r="AN475" s="1">
        <v>102.8225889582061</v>
      </c>
      <c r="AO475" s="1">
        <v>99.132751748821036</v>
      </c>
      <c r="AP475" s="1">
        <v>102.00398441464017</v>
      </c>
      <c r="AQ475" s="1">
        <v>93.558901743626024</v>
      </c>
      <c r="AR475" s="1">
        <v>103.07503787023374</v>
      </c>
      <c r="AS475" s="1">
        <v>98.6003422659997</v>
      </c>
      <c r="AT475" s="1">
        <v>110.98958600736641</v>
      </c>
      <c r="AU475" s="1">
        <v>92.683083360025861</v>
      </c>
      <c r="AV475" s="1">
        <v>99.900323214082661</v>
      </c>
      <c r="AW475" s="1">
        <v>100</v>
      </c>
      <c r="AX475" s="1">
        <v>100</v>
      </c>
      <c r="AY475" s="1">
        <v>100</v>
      </c>
      <c r="AZ475" s="1">
        <v>100</v>
      </c>
      <c r="BA475" s="1">
        <v>100</v>
      </c>
      <c r="BB475" s="1">
        <v>100</v>
      </c>
      <c r="BC475" s="1">
        <v>100</v>
      </c>
      <c r="BD475" s="1">
        <v>100</v>
      </c>
      <c r="BE475" s="1">
        <v>100</v>
      </c>
      <c r="BF475" s="1">
        <v>100</v>
      </c>
      <c r="BG475" s="1">
        <v>100</v>
      </c>
      <c r="BH475" s="1">
        <v>100</v>
      </c>
    </row>
    <row r="476" spans="1:60" x14ac:dyDescent="0.25">
      <c r="A476">
        <f t="shared" si="8"/>
        <v>463</v>
      </c>
      <c r="B476" s="1">
        <v>106.76568351544071</v>
      </c>
      <c r="C476" s="1">
        <v>94.353173132071191</v>
      </c>
      <c r="D476" s="1">
        <v>97.69521325787963</v>
      </c>
      <c r="E476" s="1">
        <v>112.33701513303843</v>
      </c>
      <c r="F476" s="1">
        <v>95.932799101521084</v>
      </c>
      <c r="G476" s="1">
        <v>101.20264176422626</v>
      </c>
      <c r="H476" s="1">
        <v>102.6264770510757</v>
      </c>
      <c r="I476" s="1">
        <v>93.109759849317939</v>
      </c>
      <c r="J476" s="1">
        <v>109.73261611443155</v>
      </c>
      <c r="K476" s="1">
        <v>106.16590636000029</v>
      </c>
      <c r="L476" s="1">
        <v>98.674809284061809</v>
      </c>
      <c r="M476" s="1">
        <v>96.715943522481638</v>
      </c>
      <c r="N476" s="1">
        <v>100.04773223105254</v>
      </c>
      <c r="O476" s="1">
        <v>76.878473854744129</v>
      </c>
      <c r="P476" s="1">
        <v>90.398218274073344</v>
      </c>
      <c r="Q476" s="1">
        <v>100</v>
      </c>
      <c r="R476" s="1">
        <v>98.539127000430625</v>
      </c>
      <c r="S476" s="1">
        <v>104.00599955629987</v>
      </c>
      <c r="T476" s="1">
        <v>99.67952621788956</v>
      </c>
      <c r="U476" s="1">
        <v>100.75492416935522</v>
      </c>
      <c r="V476" s="1">
        <v>100.55326211354758</v>
      </c>
      <c r="W476" s="1">
        <v>102.20284750979505</v>
      </c>
      <c r="X476" s="1">
        <v>98.938308797866256</v>
      </c>
      <c r="Y476" s="1">
        <v>94.727346793237004</v>
      </c>
      <c r="Z476" s="1">
        <v>88.223835716342776</v>
      </c>
      <c r="AA476" s="1">
        <v>96.343370433021477</v>
      </c>
      <c r="AB476" s="1">
        <v>81.492991903760696</v>
      </c>
      <c r="AC476" s="1">
        <v>102.12169819441469</v>
      </c>
      <c r="AD476" s="1">
        <v>124.54012374585781</v>
      </c>
      <c r="AE476" s="1">
        <v>93.170590781247896</v>
      </c>
      <c r="AF476" s="1">
        <v>105.43186882453757</v>
      </c>
      <c r="AG476" s="1">
        <v>100</v>
      </c>
      <c r="AH476" s="1">
        <v>98.975330692053802</v>
      </c>
      <c r="AI476" s="1">
        <v>109.16463458768133</v>
      </c>
      <c r="AJ476" s="1">
        <v>101.4355028770963</v>
      </c>
      <c r="AK476" s="1">
        <v>93.13668358503061</v>
      </c>
      <c r="AL476" s="1">
        <v>104.45609367998141</v>
      </c>
      <c r="AM476" s="1">
        <v>116.7028707921346</v>
      </c>
      <c r="AN476" s="1">
        <v>102.8225889582061</v>
      </c>
      <c r="AO476" s="1">
        <v>99.132751748821036</v>
      </c>
      <c r="AP476" s="1">
        <v>102.00398441464017</v>
      </c>
      <c r="AQ476" s="1">
        <v>93.558901743626024</v>
      </c>
      <c r="AR476" s="1">
        <v>103.07503787023374</v>
      </c>
      <c r="AS476" s="1">
        <v>98.6003422659997</v>
      </c>
      <c r="AT476" s="1">
        <v>110.98958600736641</v>
      </c>
      <c r="AU476" s="1">
        <v>92.683083360025861</v>
      </c>
      <c r="AV476" s="1">
        <v>99.900323214082661</v>
      </c>
      <c r="AW476" s="1">
        <v>100</v>
      </c>
      <c r="AX476" s="1">
        <v>100</v>
      </c>
      <c r="AY476" s="1">
        <v>100</v>
      </c>
      <c r="AZ476" s="1">
        <v>100</v>
      </c>
      <c r="BA476" s="1">
        <v>100</v>
      </c>
      <c r="BB476" s="1">
        <v>100</v>
      </c>
      <c r="BC476" s="1">
        <v>100</v>
      </c>
      <c r="BD476" s="1">
        <v>100</v>
      </c>
      <c r="BE476" s="1">
        <v>100</v>
      </c>
      <c r="BF476" s="1">
        <v>100</v>
      </c>
      <c r="BG476" s="1">
        <v>100</v>
      </c>
      <c r="BH476" s="1">
        <v>100</v>
      </c>
    </row>
    <row r="477" spans="1:60" x14ac:dyDescent="0.25">
      <c r="A477">
        <f t="shared" si="8"/>
        <v>464</v>
      </c>
      <c r="B477" s="1">
        <v>106.76568351544071</v>
      </c>
      <c r="C477" s="1">
        <v>94.353173132071191</v>
      </c>
      <c r="D477" s="1">
        <v>97.69521325787963</v>
      </c>
      <c r="E477" s="1">
        <v>112.33701513303843</v>
      </c>
      <c r="F477" s="1">
        <v>95.932799101521084</v>
      </c>
      <c r="G477" s="1">
        <v>101.20264176422626</v>
      </c>
      <c r="H477" s="1">
        <v>102.6264770510757</v>
      </c>
      <c r="I477" s="1">
        <v>93.506971252199563</v>
      </c>
      <c r="J477" s="1">
        <v>109.73261611443155</v>
      </c>
      <c r="K477" s="1">
        <v>106.16590636000029</v>
      </c>
      <c r="L477" s="1">
        <v>98.302712791137509</v>
      </c>
      <c r="M477" s="1">
        <v>96.715943522481638</v>
      </c>
      <c r="N477" s="1">
        <v>100.04773223105254</v>
      </c>
      <c r="O477" s="1">
        <v>76.878473854744129</v>
      </c>
      <c r="P477" s="1">
        <v>90.398218274073344</v>
      </c>
      <c r="Q477" s="1">
        <v>100</v>
      </c>
      <c r="R477" s="1">
        <v>98.539127000430625</v>
      </c>
      <c r="S477" s="1">
        <v>104.00599955629987</v>
      </c>
      <c r="T477" s="1">
        <v>99.67952621788956</v>
      </c>
      <c r="U477" s="1">
        <v>100.75492416935522</v>
      </c>
      <c r="V477" s="1">
        <v>100.17408209327677</v>
      </c>
      <c r="W477" s="1">
        <v>102.20284750979505</v>
      </c>
      <c r="X477" s="1">
        <v>98.938308797866256</v>
      </c>
      <c r="Y477" s="1">
        <v>94.727346793237004</v>
      </c>
      <c r="Z477" s="1">
        <v>88.223835716342776</v>
      </c>
      <c r="AA477" s="1">
        <v>96.343370433021477</v>
      </c>
      <c r="AB477" s="1">
        <v>81.492991903760696</v>
      </c>
      <c r="AC477" s="1">
        <v>102.12169819441469</v>
      </c>
      <c r="AD477" s="1">
        <v>124.54012374585781</v>
      </c>
      <c r="AE477" s="1">
        <v>93.170590781247896</v>
      </c>
      <c r="AF477" s="1">
        <v>105.43186882453757</v>
      </c>
      <c r="AG477" s="1">
        <v>100</v>
      </c>
      <c r="AH477" s="1">
        <v>98.975330692053802</v>
      </c>
      <c r="AI477" s="1">
        <v>109.16463458768133</v>
      </c>
      <c r="AJ477" s="1">
        <v>101.4355028770963</v>
      </c>
      <c r="AK477" s="1">
        <v>93.13668358503061</v>
      </c>
      <c r="AL477" s="1">
        <v>104.81015879029489</v>
      </c>
      <c r="AM477" s="1">
        <v>116.7028707921346</v>
      </c>
      <c r="AN477" s="1">
        <v>102.8225889582061</v>
      </c>
      <c r="AO477" s="1">
        <v>99.132751748821036</v>
      </c>
      <c r="AP477" s="1">
        <v>102.00398441464017</v>
      </c>
      <c r="AQ477" s="1">
        <v>93.558901743626024</v>
      </c>
      <c r="AR477" s="1">
        <v>103.07503787023374</v>
      </c>
      <c r="AS477" s="1">
        <v>98.6003422659997</v>
      </c>
      <c r="AT477" s="1">
        <v>110.98958600736641</v>
      </c>
      <c r="AU477" s="1">
        <v>92.683083360025861</v>
      </c>
      <c r="AV477" s="1">
        <v>99.900323214082661</v>
      </c>
      <c r="AW477" s="1">
        <v>100</v>
      </c>
      <c r="AX477" s="1">
        <v>100</v>
      </c>
      <c r="AY477" s="1">
        <v>100</v>
      </c>
      <c r="AZ477" s="1">
        <v>100</v>
      </c>
      <c r="BA477" s="1">
        <v>100</v>
      </c>
      <c r="BB477" s="1">
        <v>100</v>
      </c>
      <c r="BC477" s="1">
        <v>100</v>
      </c>
      <c r="BD477" s="1">
        <v>100</v>
      </c>
      <c r="BE477" s="1">
        <v>100</v>
      </c>
      <c r="BF477" s="1">
        <v>100</v>
      </c>
      <c r="BG477" s="1">
        <v>100</v>
      </c>
      <c r="BH477" s="1">
        <v>100</v>
      </c>
    </row>
    <row r="478" spans="1:60" x14ac:dyDescent="0.25">
      <c r="A478">
        <f t="shared" si="8"/>
        <v>465</v>
      </c>
      <c r="B478" s="1">
        <v>106.76568351544071</v>
      </c>
      <c r="C478" s="1">
        <v>94.353173132071191</v>
      </c>
      <c r="D478" s="1">
        <v>97.69521325787963</v>
      </c>
      <c r="E478" s="1">
        <v>112.33701513303843</v>
      </c>
      <c r="F478" s="1">
        <v>95.932799101521084</v>
      </c>
      <c r="G478" s="1">
        <v>101.20264176422626</v>
      </c>
      <c r="H478" s="1">
        <v>102.6264770510757</v>
      </c>
      <c r="I478" s="1">
        <v>93.506971252199563</v>
      </c>
      <c r="J478" s="1">
        <v>109.73261611443155</v>
      </c>
      <c r="K478" s="1">
        <v>106.16590636000029</v>
      </c>
      <c r="L478" s="1">
        <v>98.302712791137509</v>
      </c>
      <c r="M478" s="1">
        <v>96.715943522481638</v>
      </c>
      <c r="N478" s="1">
        <v>100.04773223105254</v>
      </c>
      <c r="O478" s="1">
        <v>76.878473854744129</v>
      </c>
      <c r="P478" s="1">
        <v>90.398218274073344</v>
      </c>
      <c r="Q478" s="1">
        <v>100</v>
      </c>
      <c r="R478" s="1">
        <v>98.539127000430625</v>
      </c>
      <c r="S478" s="1">
        <v>104.00599955629987</v>
      </c>
      <c r="T478" s="1">
        <v>99.67952621788956</v>
      </c>
      <c r="U478" s="1">
        <v>100.75492416935522</v>
      </c>
      <c r="V478" s="1">
        <v>100.17408209327677</v>
      </c>
      <c r="W478" s="1">
        <v>102.20284750979505</v>
      </c>
      <c r="X478" s="1">
        <v>98.938308797866256</v>
      </c>
      <c r="Y478" s="1">
        <v>94.727346793237004</v>
      </c>
      <c r="Z478" s="1">
        <v>88.223835716342776</v>
      </c>
      <c r="AA478" s="1">
        <v>95.744658688864789</v>
      </c>
      <c r="AB478" s="1">
        <v>81.492991903760696</v>
      </c>
      <c r="AC478" s="1">
        <v>102.12169819441469</v>
      </c>
      <c r="AD478" s="1">
        <v>124.54012374585781</v>
      </c>
      <c r="AE478" s="1">
        <v>93.818328914815282</v>
      </c>
      <c r="AF478" s="1">
        <v>106.00427776738248</v>
      </c>
      <c r="AG478" s="1">
        <v>99.378564667744399</v>
      </c>
      <c r="AH478" s="1">
        <v>98.975330692053802</v>
      </c>
      <c r="AI478" s="1">
        <v>109.16463458768133</v>
      </c>
      <c r="AJ478" s="1">
        <v>101.4355028770963</v>
      </c>
      <c r="AK478" s="1">
        <v>93.13668358503061</v>
      </c>
      <c r="AL478" s="1">
        <v>104.81015879029489</v>
      </c>
      <c r="AM478" s="1">
        <v>116.7028707921346</v>
      </c>
      <c r="AN478" s="1">
        <v>102.8225889582061</v>
      </c>
      <c r="AO478" s="1">
        <v>99.132751748821036</v>
      </c>
      <c r="AP478" s="1">
        <v>102.00398441464017</v>
      </c>
      <c r="AQ478" s="1">
        <v>93.558901743626024</v>
      </c>
      <c r="AR478" s="1">
        <v>103.07503787023374</v>
      </c>
      <c r="AS478" s="1">
        <v>98.6003422659997</v>
      </c>
      <c r="AT478" s="1">
        <v>110.98958600736641</v>
      </c>
      <c r="AU478" s="1">
        <v>92.683083360025861</v>
      </c>
      <c r="AV478" s="1">
        <v>99.900323214082661</v>
      </c>
      <c r="AW478" s="1">
        <v>100</v>
      </c>
      <c r="AX478" s="1">
        <v>100</v>
      </c>
      <c r="AY478" s="1">
        <v>100</v>
      </c>
      <c r="AZ478" s="1">
        <v>100</v>
      </c>
      <c r="BA478" s="1">
        <v>100</v>
      </c>
      <c r="BB478" s="1">
        <v>100</v>
      </c>
      <c r="BC478" s="1">
        <v>100</v>
      </c>
      <c r="BD478" s="1">
        <v>100</v>
      </c>
      <c r="BE478" s="1">
        <v>100</v>
      </c>
      <c r="BF478" s="1">
        <v>100</v>
      </c>
      <c r="BG478" s="1">
        <v>100</v>
      </c>
      <c r="BH478" s="1">
        <v>100</v>
      </c>
    </row>
    <row r="479" spans="1:60" x14ac:dyDescent="0.25">
      <c r="A479">
        <f t="shared" si="8"/>
        <v>466</v>
      </c>
      <c r="B479" s="1">
        <v>106.76568351544071</v>
      </c>
      <c r="C479" s="1">
        <v>94.353173132071191</v>
      </c>
      <c r="D479" s="1">
        <v>97.69521325787963</v>
      </c>
      <c r="E479" s="1">
        <v>112.33701513303843</v>
      </c>
      <c r="F479" s="1">
        <v>95.932799101521084</v>
      </c>
      <c r="G479" s="1">
        <v>101.20264176422626</v>
      </c>
      <c r="H479" s="1">
        <v>102.6264770510757</v>
      </c>
      <c r="I479" s="1">
        <v>93.506971252199563</v>
      </c>
      <c r="J479" s="1">
        <v>109.73261611443155</v>
      </c>
      <c r="K479" s="1">
        <v>106.16590636000029</v>
      </c>
      <c r="L479" s="1">
        <v>98.302712791137509</v>
      </c>
      <c r="M479" s="1">
        <v>96.715943522481638</v>
      </c>
      <c r="N479" s="1">
        <v>100.04773223105254</v>
      </c>
      <c r="O479" s="1">
        <v>76.878473854744129</v>
      </c>
      <c r="P479" s="1">
        <v>90.398218274073344</v>
      </c>
      <c r="Q479" s="1">
        <v>100</v>
      </c>
      <c r="R479" s="1">
        <v>98.539127000430625</v>
      </c>
      <c r="S479" s="1">
        <v>104.00599955629987</v>
      </c>
      <c r="T479" s="1">
        <v>99.67952621788956</v>
      </c>
      <c r="U479" s="1">
        <v>100.75492416935522</v>
      </c>
      <c r="V479" s="1">
        <v>100.17408209327677</v>
      </c>
      <c r="W479" s="1">
        <v>102.20284750979505</v>
      </c>
      <c r="X479" s="1">
        <v>98.938308797866256</v>
      </c>
      <c r="Y479" s="1">
        <v>94.727346793237004</v>
      </c>
      <c r="Z479" s="1">
        <v>88.223835716342776</v>
      </c>
      <c r="AA479" s="1">
        <v>96.304359129707379</v>
      </c>
      <c r="AB479" s="1">
        <v>81.492991903760696</v>
      </c>
      <c r="AC479" s="1">
        <v>102.12169819441469</v>
      </c>
      <c r="AD479" s="1">
        <v>124.54012374585781</v>
      </c>
      <c r="AE479" s="1">
        <v>93.302370186325206</v>
      </c>
      <c r="AF479" s="1">
        <v>105.42130178599372</v>
      </c>
      <c r="AG479" s="1">
        <v>99.917798936780642</v>
      </c>
      <c r="AH479" s="1">
        <v>98.975330692053802</v>
      </c>
      <c r="AI479" s="1">
        <v>109.16463458768133</v>
      </c>
      <c r="AJ479" s="1">
        <v>101.4355028770963</v>
      </c>
      <c r="AK479" s="1">
        <v>93.13668358503061</v>
      </c>
      <c r="AL479" s="1">
        <v>104.81015879029489</v>
      </c>
      <c r="AM479" s="1">
        <v>116.7028707921346</v>
      </c>
      <c r="AN479" s="1">
        <v>102.8225889582061</v>
      </c>
      <c r="AO479" s="1">
        <v>99.132751748821036</v>
      </c>
      <c r="AP479" s="1">
        <v>102.00398441464017</v>
      </c>
      <c r="AQ479" s="1">
        <v>93.558901743626024</v>
      </c>
      <c r="AR479" s="1">
        <v>103.07503787023374</v>
      </c>
      <c r="AS479" s="1">
        <v>98.6003422659997</v>
      </c>
      <c r="AT479" s="1">
        <v>110.98958600736641</v>
      </c>
      <c r="AU479" s="1">
        <v>92.683083360025861</v>
      </c>
      <c r="AV479" s="1">
        <v>99.900323214082661</v>
      </c>
      <c r="AW479" s="1">
        <v>100</v>
      </c>
      <c r="AX479" s="1">
        <v>100</v>
      </c>
      <c r="AY479" s="1">
        <v>100</v>
      </c>
      <c r="AZ479" s="1">
        <v>100</v>
      </c>
      <c r="BA479" s="1">
        <v>100</v>
      </c>
      <c r="BB479" s="1">
        <v>100</v>
      </c>
      <c r="BC479" s="1">
        <v>100</v>
      </c>
      <c r="BD479" s="1">
        <v>100</v>
      </c>
      <c r="BE479" s="1">
        <v>100</v>
      </c>
      <c r="BF479" s="1">
        <v>100</v>
      </c>
      <c r="BG479" s="1">
        <v>100</v>
      </c>
      <c r="BH479" s="1">
        <v>100</v>
      </c>
    </row>
    <row r="480" spans="1:60" x14ac:dyDescent="0.25">
      <c r="A480">
        <f t="shared" si="8"/>
        <v>467</v>
      </c>
      <c r="B480" s="1">
        <v>105.57042596850783</v>
      </c>
      <c r="C480" s="1">
        <v>94.353173132071191</v>
      </c>
      <c r="D480" s="1">
        <v>97.69521325787963</v>
      </c>
      <c r="E480" s="1">
        <v>112.33701513303843</v>
      </c>
      <c r="F480" s="1">
        <v>95.932799101521084</v>
      </c>
      <c r="G480" s="1">
        <v>101.20264176422626</v>
      </c>
      <c r="H480" s="1">
        <v>102.6264770510757</v>
      </c>
      <c r="I480" s="1">
        <v>93.506971252199563</v>
      </c>
      <c r="J480" s="1">
        <v>109.73261611443155</v>
      </c>
      <c r="K480" s="1">
        <v>106.16590636000029</v>
      </c>
      <c r="L480" s="1">
        <v>99.311634238545778</v>
      </c>
      <c r="M480" s="1">
        <v>96.715943522481638</v>
      </c>
      <c r="N480" s="1">
        <v>100.04773223105254</v>
      </c>
      <c r="O480" s="1">
        <v>76.017808020499032</v>
      </c>
      <c r="P480" s="1">
        <v>90.398218274073344</v>
      </c>
      <c r="Q480" s="1">
        <v>100</v>
      </c>
      <c r="R480" s="1">
        <v>98.539127000430625</v>
      </c>
      <c r="S480" s="1">
        <v>104.00599955629987</v>
      </c>
      <c r="T480" s="1">
        <v>99.67952621788956</v>
      </c>
      <c r="U480" s="1">
        <v>100.75492416935522</v>
      </c>
      <c r="V480" s="1">
        <v>100.17408209327677</v>
      </c>
      <c r="W480" s="1">
        <v>102.20284750979505</v>
      </c>
      <c r="X480" s="1">
        <v>98.938308797866256</v>
      </c>
      <c r="Y480" s="1">
        <v>95.774348727006725</v>
      </c>
      <c r="Z480" s="1">
        <v>88.223835716342776</v>
      </c>
      <c r="AA480" s="1">
        <v>96.304359129707379</v>
      </c>
      <c r="AB480" s="1">
        <v>81.492991903760696</v>
      </c>
      <c r="AC480" s="1">
        <v>102.12169819441469</v>
      </c>
      <c r="AD480" s="1">
        <v>124.54012374585781</v>
      </c>
      <c r="AE480" s="1">
        <v>93.302370186325206</v>
      </c>
      <c r="AF480" s="1">
        <v>105.42130178599372</v>
      </c>
      <c r="AG480" s="1">
        <v>99.917798936780642</v>
      </c>
      <c r="AH480" s="1">
        <v>98.975330692053802</v>
      </c>
      <c r="AI480" s="1">
        <v>109.16463458768133</v>
      </c>
      <c r="AJ480" s="1">
        <v>101.4355028770963</v>
      </c>
      <c r="AK480" s="1">
        <v>93.13668358503061</v>
      </c>
      <c r="AL480" s="1">
        <v>104.81015879029489</v>
      </c>
      <c r="AM480" s="1">
        <v>116.7028707921346</v>
      </c>
      <c r="AN480" s="1">
        <v>102.8225889582061</v>
      </c>
      <c r="AO480" s="1">
        <v>99.132751748821036</v>
      </c>
      <c r="AP480" s="1">
        <v>102.00398441464017</v>
      </c>
      <c r="AQ480" s="1">
        <v>93.558901743626024</v>
      </c>
      <c r="AR480" s="1">
        <v>103.07503787023374</v>
      </c>
      <c r="AS480" s="1">
        <v>98.6003422659997</v>
      </c>
      <c r="AT480" s="1">
        <v>110.98958600736641</v>
      </c>
      <c r="AU480" s="1">
        <v>92.683083360025861</v>
      </c>
      <c r="AV480" s="1">
        <v>99.900323214082661</v>
      </c>
      <c r="AW480" s="1">
        <v>100</v>
      </c>
      <c r="AX480" s="1">
        <v>100</v>
      </c>
      <c r="AY480" s="1">
        <v>100</v>
      </c>
      <c r="AZ480" s="1">
        <v>100</v>
      </c>
      <c r="BA480" s="1">
        <v>100</v>
      </c>
      <c r="BB480" s="1">
        <v>100</v>
      </c>
      <c r="BC480" s="1">
        <v>100</v>
      </c>
      <c r="BD480" s="1">
        <v>100</v>
      </c>
      <c r="BE480" s="1">
        <v>100</v>
      </c>
      <c r="BF480" s="1">
        <v>100</v>
      </c>
      <c r="BG480" s="1">
        <v>100</v>
      </c>
      <c r="BH480" s="1">
        <v>100</v>
      </c>
    </row>
    <row r="481" spans="1:60" x14ac:dyDescent="0.25">
      <c r="A481">
        <f t="shared" si="8"/>
        <v>468</v>
      </c>
      <c r="B481" s="1">
        <v>105.17411043847586</v>
      </c>
      <c r="C481" s="1">
        <v>94.353173132071191</v>
      </c>
      <c r="D481" s="1">
        <v>97.69521325787963</v>
      </c>
      <c r="E481" s="1">
        <v>112.33701513303843</v>
      </c>
      <c r="F481" s="1">
        <v>95.932799101521084</v>
      </c>
      <c r="G481" s="1">
        <v>101.20264176422626</v>
      </c>
      <c r="H481" s="1">
        <v>102.6264770510757</v>
      </c>
      <c r="I481" s="1">
        <v>93.506971252199563</v>
      </c>
      <c r="J481" s="1">
        <v>109.73261611443155</v>
      </c>
      <c r="K481" s="1">
        <v>106.16590636000029</v>
      </c>
      <c r="L481" s="1">
        <v>99.646298751507061</v>
      </c>
      <c r="M481" s="1">
        <v>96.715943522481638</v>
      </c>
      <c r="N481" s="1">
        <v>100.04773223105254</v>
      </c>
      <c r="O481" s="1">
        <v>75.732434180229603</v>
      </c>
      <c r="P481" s="1">
        <v>90.398218274073344</v>
      </c>
      <c r="Q481" s="1">
        <v>100</v>
      </c>
      <c r="R481" s="1">
        <v>98.539127000430625</v>
      </c>
      <c r="S481" s="1">
        <v>104.00599955629987</v>
      </c>
      <c r="T481" s="1">
        <v>99.67952621788956</v>
      </c>
      <c r="U481" s="1">
        <v>100.75492416935522</v>
      </c>
      <c r="V481" s="1">
        <v>100.17408209327677</v>
      </c>
      <c r="W481" s="1">
        <v>102.20284750979505</v>
      </c>
      <c r="X481" s="1">
        <v>98.938308797866256</v>
      </c>
      <c r="Y481" s="1">
        <v>96.121373584346841</v>
      </c>
      <c r="Z481" s="1">
        <v>88.223835716342776</v>
      </c>
      <c r="AA481" s="1">
        <v>96.304359129707379</v>
      </c>
      <c r="AB481" s="1">
        <v>81.492991903760696</v>
      </c>
      <c r="AC481" s="1">
        <v>102.12169819441469</v>
      </c>
      <c r="AD481" s="1">
        <v>124.54012374585781</v>
      </c>
      <c r="AE481" s="1">
        <v>93.302370186325206</v>
      </c>
      <c r="AF481" s="1">
        <v>105.42130178599372</v>
      </c>
      <c r="AG481" s="1">
        <v>99.917798936780642</v>
      </c>
      <c r="AH481" s="1">
        <v>98.975330692053802</v>
      </c>
      <c r="AI481" s="1">
        <v>109.16463458768133</v>
      </c>
      <c r="AJ481" s="1">
        <v>101.4355028770963</v>
      </c>
      <c r="AK481" s="1">
        <v>93.13668358503061</v>
      </c>
      <c r="AL481" s="1">
        <v>104.81015879029489</v>
      </c>
      <c r="AM481" s="1">
        <v>116.7028707921346</v>
      </c>
      <c r="AN481" s="1">
        <v>102.8225889582061</v>
      </c>
      <c r="AO481" s="1">
        <v>99.132751748821036</v>
      </c>
      <c r="AP481" s="1">
        <v>102.00398441464017</v>
      </c>
      <c r="AQ481" s="1">
        <v>93.558901743626024</v>
      </c>
      <c r="AR481" s="1">
        <v>103.07503787023374</v>
      </c>
      <c r="AS481" s="1">
        <v>98.6003422659997</v>
      </c>
      <c r="AT481" s="1">
        <v>110.98958600736641</v>
      </c>
      <c r="AU481" s="1">
        <v>92.683083360025861</v>
      </c>
      <c r="AV481" s="1">
        <v>99.900323214082661</v>
      </c>
      <c r="AW481" s="1">
        <v>100</v>
      </c>
      <c r="AX481" s="1">
        <v>100</v>
      </c>
      <c r="AY481" s="1">
        <v>100</v>
      </c>
      <c r="AZ481" s="1">
        <v>100</v>
      </c>
      <c r="BA481" s="1">
        <v>100</v>
      </c>
      <c r="BB481" s="1">
        <v>100</v>
      </c>
      <c r="BC481" s="1">
        <v>100</v>
      </c>
      <c r="BD481" s="1">
        <v>100</v>
      </c>
      <c r="BE481" s="1">
        <v>100</v>
      </c>
      <c r="BF481" s="1">
        <v>100</v>
      </c>
      <c r="BG481" s="1">
        <v>100</v>
      </c>
      <c r="BH481" s="1">
        <v>100</v>
      </c>
    </row>
    <row r="482" spans="1:60" x14ac:dyDescent="0.25">
      <c r="A482">
        <f t="shared" si="8"/>
        <v>469</v>
      </c>
      <c r="B482" s="1">
        <v>105.17411043847586</v>
      </c>
      <c r="C482" s="1">
        <v>94.353173132071191</v>
      </c>
      <c r="D482" s="1">
        <v>97.69521325787963</v>
      </c>
      <c r="E482" s="1">
        <v>111.26555994591628</v>
      </c>
      <c r="F482" s="1">
        <v>95.932799101521084</v>
      </c>
      <c r="G482" s="1">
        <v>101.20264176422626</v>
      </c>
      <c r="H482" s="1">
        <v>102.6264770510757</v>
      </c>
      <c r="I482" s="1">
        <v>93.506971252199563</v>
      </c>
      <c r="J482" s="1">
        <v>109.73261611443155</v>
      </c>
      <c r="K482" s="1">
        <v>106.16590636000029</v>
      </c>
      <c r="L482" s="1">
        <v>99.646298751507061</v>
      </c>
      <c r="M482" s="1">
        <v>96.715943522481638</v>
      </c>
      <c r="N482" s="1">
        <v>100.04773223105254</v>
      </c>
      <c r="O482" s="1">
        <v>75.732434180229603</v>
      </c>
      <c r="P482" s="1">
        <v>90.398218274073344</v>
      </c>
      <c r="Q482" s="1">
        <v>100</v>
      </c>
      <c r="R482" s="1">
        <v>98.539127000430625</v>
      </c>
      <c r="S482" s="1">
        <v>104.00599955629987</v>
      </c>
      <c r="T482" s="1">
        <v>100.62703550783509</v>
      </c>
      <c r="U482" s="1">
        <v>100.75492416935522</v>
      </c>
      <c r="V482" s="1">
        <v>100.17408209327677</v>
      </c>
      <c r="W482" s="1">
        <v>102.20284750979505</v>
      </c>
      <c r="X482" s="1">
        <v>98.938308797866256</v>
      </c>
      <c r="Y482" s="1">
        <v>96.121373584346841</v>
      </c>
      <c r="Z482" s="1">
        <v>88.223835716342776</v>
      </c>
      <c r="AA482" s="1">
        <v>96.304359129707379</v>
      </c>
      <c r="AB482" s="1">
        <v>81.492991903760696</v>
      </c>
      <c r="AC482" s="1">
        <v>102.12169819441469</v>
      </c>
      <c r="AD482" s="1">
        <v>124.54012374585781</v>
      </c>
      <c r="AE482" s="1">
        <v>94.314641117065847</v>
      </c>
      <c r="AF482" s="1">
        <v>105.42130178599372</v>
      </c>
      <c r="AG482" s="1">
        <v>99.917798936780642</v>
      </c>
      <c r="AH482" s="1">
        <v>98.975330692053802</v>
      </c>
      <c r="AI482" s="1">
        <v>109.16463458768133</v>
      </c>
      <c r="AJ482" s="1">
        <v>101.4355028770963</v>
      </c>
      <c r="AK482" s="1">
        <v>92.248358551466609</v>
      </c>
      <c r="AL482" s="1">
        <v>104.81015879029489</v>
      </c>
      <c r="AM482" s="1">
        <v>116.7028707921346</v>
      </c>
      <c r="AN482" s="1">
        <v>102.8225889582061</v>
      </c>
      <c r="AO482" s="1">
        <v>99.132751748821036</v>
      </c>
      <c r="AP482" s="1">
        <v>102.00398441464017</v>
      </c>
      <c r="AQ482" s="1">
        <v>93.558901743626024</v>
      </c>
      <c r="AR482" s="1">
        <v>103.07503787023374</v>
      </c>
      <c r="AS482" s="1">
        <v>98.6003422659997</v>
      </c>
      <c r="AT482" s="1">
        <v>110.98958600736641</v>
      </c>
      <c r="AU482" s="1">
        <v>92.683083360025861</v>
      </c>
      <c r="AV482" s="1">
        <v>99.900323214082661</v>
      </c>
      <c r="AW482" s="1">
        <v>100</v>
      </c>
      <c r="AX482" s="1">
        <v>100</v>
      </c>
      <c r="AY482" s="1">
        <v>100</v>
      </c>
      <c r="AZ482" s="1">
        <v>100</v>
      </c>
      <c r="BA482" s="1">
        <v>100</v>
      </c>
      <c r="BB482" s="1">
        <v>100</v>
      </c>
      <c r="BC482" s="1">
        <v>100</v>
      </c>
      <c r="BD482" s="1">
        <v>100</v>
      </c>
      <c r="BE482" s="1">
        <v>100</v>
      </c>
      <c r="BF482" s="1">
        <v>100</v>
      </c>
      <c r="BG482" s="1">
        <v>100</v>
      </c>
      <c r="BH482" s="1">
        <v>100</v>
      </c>
    </row>
    <row r="483" spans="1:60" x14ac:dyDescent="0.25">
      <c r="A483">
        <f t="shared" si="8"/>
        <v>470</v>
      </c>
      <c r="B483" s="1">
        <v>105.17411043847586</v>
      </c>
      <c r="C483" s="1">
        <v>94.353173132071191</v>
      </c>
      <c r="D483" s="1">
        <v>97.69521325787963</v>
      </c>
      <c r="E483" s="1">
        <v>110.59211001201754</v>
      </c>
      <c r="F483" s="1">
        <v>95.932799101521084</v>
      </c>
      <c r="G483" s="1">
        <v>101.20264176422626</v>
      </c>
      <c r="H483" s="1">
        <v>102.6264770510757</v>
      </c>
      <c r="I483" s="1">
        <v>93.506971252199563</v>
      </c>
      <c r="J483" s="1">
        <v>109.73261611443155</v>
      </c>
      <c r="K483" s="1">
        <v>106.16590636000029</v>
      </c>
      <c r="L483" s="1">
        <v>99.646298751507061</v>
      </c>
      <c r="M483" s="1">
        <v>96.715943522481638</v>
      </c>
      <c r="N483" s="1">
        <v>100.04773223105254</v>
      </c>
      <c r="O483" s="1">
        <v>75.732434180229603</v>
      </c>
      <c r="P483" s="1">
        <v>90.398218274073344</v>
      </c>
      <c r="Q483" s="1">
        <v>100</v>
      </c>
      <c r="R483" s="1">
        <v>98.539127000430625</v>
      </c>
      <c r="S483" s="1">
        <v>104.00599955629987</v>
      </c>
      <c r="T483" s="1">
        <v>101.22298999307058</v>
      </c>
      <c r="U483" s="1">
        <v>100.75492416935522</v>
      </c>
      <c r="V483" s="1">
        <v>100.17408209327677</v>
      </c>
      <c r="W483" s="1">
        <v>102.20284750979505</v>
      </c>
      <c r="X483" s="1">
        <v>98.938308797866256</v>
      </c>
      <c r="Y483" s="1">
        <v>96.121373584346841</v>
      </c>
      <c r="Z483" s="1">
        <v>88.223835716342776</v>
      </c>
      <c r="AA483" s="1">
        <v>96.304359129707379</v>
      </c>
      <c r="AB483" s="1">
        <v>81.492991903760696</v>
      </c>
      <c r="AC483" s="1">
        <v>102.12169819441469</v>
      </c>
      <c r="AD483" s="1">
        <v>124.54012374585781</v>
      </c>
      <c r="AE483" s="1">
        <v>94.950482301812656</v>
      </c>
      <c r="AF483" s="1">
        <v>105.42130178599372</v>
      </c>
      <c r="AG483" s="1">
        <v>99.917798936780642</v>
      </c>
      <c r="AH483" s="1">
        <v>98.975330692053802</v>
      </c>
      <c r="AI483" s="1">
        <v>109.16463458768133</v>
      </c>
      <c r="AJ483" s="1">
        <v>101.4355028770963</v>
      </c>
      <c r="AK483" s="1">
        <v>91.690012815383042</v>
      </c>
      <c r="AL483" s="1">
        <v>104.81015879029489</v>
      </c>
      <c r="AM483" s="1">
        <v>116.7028707921346</v>
      </c>
      <c r="AN483" s="1">
        <v>102.8225889582061</v>
      </c>
      <c r="AO483" s="1">
        <v>99.132751748821036</v>
      </c>
      <c r="AP483" s="1">
        <v>102.00398441464017</v>
      </c>
      <c r="AQ483" s="1">
        <v>93.558901743626024</v>
      </c>
      <c r="AR483" s="1">
        <v>103.07503787023374</v>
      </c>
      <c r="AS483" s="1">
        <v>98.6003422659997</v>
      </c>
      <c r="AT483" s="1">
        <v>110.98958600736641</v>
      </c>
      <c r="AU483" s="1">
        <v>92.683083360025861</v>
      </c>
      <c r="AV483" s="1">
        <v>99.900323214082661</v>
      </c>
      <c r="AW483" s="1">
        <v>100</v>
      </c>
      <c r="AX483" s="1">
        <v>100</v>
      </c>
      <c r="AY483" s="1">
        <v>100</v>
      </c>
      <c r="AZ483" s="1">
        <v>100</v>
      </c>
      <c r="BA483" s="1">
        <v>100</v>
      </c>
      <c r="BB483" s="1">
        <v>100</v>
      </c>
      <c r="BC483" s="1">
        <v>100</v>
      </c>
      <c r="BD483" s="1">
        <v>100</v>
      </c>
      <c r="BE483" s="1">
        <v>100</v>
      </c>
      <c r="BF483" s="1">
        <v>100</v>
      </c>
      <c r="BG483" s="1">
        <v>100</v>
      </c>
      <c r="BH483" s="1">
        <v>100</v>
      </c>
    </row>
    <row r="484" spans="1:60" x14ac:dyDescent="0.25">
      <c r="A484">
        <f t="shared" si="8"/>
        <v>471</v>
      </c>
      <c r="B484" s="1">
        <v>105.17411043847586</v>
      </c>
      <c r="C484" s="1">
        <v>94.353173132071191</v>
      </c>
      <c r="D484" s="1">
        <v>97.69521325787963</v>
      </c>
      <c r="E484" s="1">
        <v>110.59211001201754</v>
      </c>
      <c r="F484" s="1">
        <v>95.932799101521084</v>
      </c>
      <c r="G484" s="1">
        <v>101.20264176422626</v>
      </c>
      <c r="H484" s="1">
        <v>102.6264770510757</v>
      </c>
      <c r="I484" s="1">
        <v>93.506971252199563</v>
      </c>
      <c r="J484" s="1">
        <v>109.73261611443155</v>
      </c>
      <c r="K484" s="1">
        <v>106.16590636000029</v>
      </c>
      <c r="L484" s="1">
        <v>99.646298751507061</v>
      </c>
      <c r="M484" s="1">
        <v>96.715943522481638</v>
      </c>
      <c r="N484" s="1">
        <v>100.04773223105254</v>
      </c>
      <c r="O484" s="1">
        <v>76.540595615949243</v>
      </c>
      <c r="P484" s="1">
        <v>89.737867769953141</v>
      </c>
      <c r="Q484" s="1">
        <v>100</v>
      </c>
      <c r="R484" s="1">
        <v>98.539127000430625</v>
      </c>
      <c r="S484" s="1">
        <v>104.00599955629987</v>
      </c>
      <c r="T484" s="1">
        <v>101.22298999307058</v>
      </c>
      <c r="U484" s="1">
        <v>100.75492416935522</v>
      </c>
      <c r="V484" s="1">
        <v>99.442319821043512</v>
      </c>
      <c r="W484" s="1">
        <v>102.20284750979505</v>
      </c>
      <c r="X484" s="1">
        <v>98.938308797866256</v>
      </c>
      <c r="Y484" s="1">
        <v>96.121373584346841</v>
      </c>
      <c r="Z484" s="1">
        <v>88.223835716342776</v>
      </c>
      <c r="AA484" s="1">
        <v>96.304359129707379</v>
      </c>
      <c r="AB484" s="1">
        <v>81.492991903760696</v>
      </c>
      <c r="AC484" s="1">
        <v>102.12169819441469</v>
      </c>
      <c r="AD484" s="1">
        <v>124.54012374585781</v>
      </c>
      <c r="AE484" s="1">
        <v>94.950482301812656</v>
      </c>
      <c r="AF484" s="1">
        <v>105.42130178599372</v>
      </c>
      <c r="AG484" s="1">
        <v>99.917798936780642</v>
      </c>
      <c r="AH484" s="1">
        <v>98.975330692053802</v>
      </c>
      <c r="AI484" s="1">
        <v>109.16463458768133</v>
      </c>
      <c r="AJ484" s="1">
        <v>101.4355028770963</v>
      </c>
      <c r="AK484" s="1">
        <v>91.690012815383042</v>
      </c>
      <c r="AL484" s="1">
        <v>105.39411013092872</v>
      </c>
      <c r="AM484" s="1">
        <v>116.7028707921346</v>
      </c>
      <c r="AN484" s="1">
        <v>102.8225889582061</v>
      </c>
      <c r="AO484" s="1">
        <v>99.132751748821036</v>
      </c>
      <c r="AP484" s="1">
        <v>102.00398441464017</v>
      </c>
      <c r="AQ484" s="1">
        <v>93.558901743626024</v>
      </c>
      <c r="AR484" s="1">
        <v>103.07503787023374</v>
      </c>
      <c r="AS484" s="1">
        <v>98.6003422659997</v>
      </c>
      <c r="AT484" s="1">
        <v>110.98958600736641</v>
      </c>
      <c r="AU484" s="1">
        <v>92.683083360025861</v>
      </c>
      <c r="AV484" s="1">
        <v>99.900323214082661</v>
      </c>
      <c r="AW484" s="1">
        <v>100</v>
      </c>
      <c r="AX484" s="1">
        <v>100</v>
      </c>
      <c r="AY484" s="1">
        <v>100</v>
      </c>
      <c r="AZ484" s="1">
        <v>100</v>
      </c>
      <c r="BA484" s="1">
        <v>100</v>
      </c>
      <c r="BB484" s="1">
        <v>100</v>
      </c>
      <c r="BC484" s="1">
        <v>100</v>
      </c>
      <c r="BD484" s="1">
        <v>100</v>
      </c>
      <c r="BE484" s="1">
        <v>100</v>
      </c>
      <c r="BF484" s="1">
        <v>100</v>
      </c>
      <c r="BG484" s="1">
        <v>100</v>
      </c>
      <c r="BH484" s="1">
        <v>100</v>
      </c>
    </row>
    <row r="485" spans="1:60" x14ac:dyDescent="0.25">
      <c r="A485">
        <f t="shared" si="8"/>
        <v>472</v>
      </c>
      <c r="B485" s="1">
        <v>105.17411043847586</v>
      </c>
      <c r="C485" s="1">
        <v>94.353173132071191</v>
      </c>
      <c r="D485" s="1">
        <v>97.69521325787963</v>
      </c>
      <c r="E485" s="1">
        <v>110.59211001201754</v>
      </c>
      <c r="F485" s="1">
        <v>95.932799101521084</v>
      </c>
      <c r="G485" s="1">
        <v>101.20264176422626</v>
      </c>
      <c r="H485" s="1">
        <v>102.6264770510757</v>
      </c>
      <c r="I485" s="1">
        <v>93.506971252199563</v>
      </c>
      <c r="J485" s="1">
        <v>109.73261611443155</v>
      </c>
      <c r="K485" s="1">
        <v>106.16590636000029</v>
      </c>
      <c r="L485" s="1">
        <v>99.646298751507061</v>
      </c>
      <c r="M485" s="1">
        <v>96.715943522481638</v>
      </c>
      <c r="N485" s="1">
        <v>100.04773223105254</v>
      </c>
      <c r="O485" s="1">
        <v>78.286602273802103</v>
      </c>
      <c r="P485" s="1">
        <v>88.308166834935975</v>
      </c>
      <c r="Q485" s="1">
        <v>100</v>
      </c>
      <c r="R485" s="1">
        <v>98.539127000430625</v>
      </c>
      <c r="S485" s="1">
        <v>104.00599955629987</v>
      </c>
      <c r="T485" s="1">
        <v>101.22298999307058</v>
      </c>
      <c r="U485" s="1">
        <v>100.75492416935522</v>
      </c>
      <c r="V485" s="1">
        <v>97.858007855966648</v>
      </c>
      <c r="W485" s="1">
        <v>102.20284750979505</v>
      </c>
      <c r="X485" s="1">
        <v>98.938308797866256</v>
      </c>
      <c r="Y485" s="1">
        <v>96.121373584346841</v>
      </c>
      <c r="Z485" s="1">
        <v>88.223835716342776</v>
      </c>
      <c r="AA485" s="1">
        <v>96.304359129707379</v>
      </c>
      <c r="AB485" s="1">
        <v>81.492991903760696</v>
      </c>
      <c r="AC485" s="1">
        <v>102.12169819441469</v>
      </c>
      <c r="AD485" s="1">
        <v>124.54012374585781</v>
      </c>
      <c r="AE485" s="1">
        <v>94.950482301812656</v>
      </c>
      <c r="AF485" s="1">
        <v>105.42130178599372</v>
      </c>
      <c r="AG485" s="1">
        <v>99.917798936780642</v>
      </c>
      <c r="AH485" s="1">
        <v>98.975330692053802</v>
      </c>
      <c r="AI485" s="1">
        <v>109.16463458768133</v>
      </c>
      <c r="AJ485" s="1">
        <v>101.4355028770963</v>
      </c>
      <c r="AK485" s="1">
        <v>91.690012815383042</v>
      </c>
      <c r="AL485" s="1">
        <v>106.66211637316989</v>
      </c>
      <c r="AM485" s="1">
        <v>116.7028707921346</v>
      </c>
      <c r="AN485" s="1">
        <v>102.8225889582061</v>
      </c>
      <c r="AO485" s="1">
        <v>99.132751748821036</v>
      </c>
      <c r="AP485" s="1">
        <v>102.00398441464017</v>
      </c>
      <c r="AQ485" s="1">
        <v>93.558901743626024</v>
      </c>
      <c r="AR485" s="1">
        <v>103.07503787023374</v>
      </c>
      <c r="AS485" s="1">
        <v>98.6003422659997</v>
      </c>
      <c r="AT485" s="1">
        <v>110.98958600736641</v>
      </c>
      <c r="AU485" s="1">
        <v>92.683083360025861</v>
      </c>
      <c r="AV485" s="1">
        <v>99.900323214082661</v>
      </c>
      <c r="AW485" s="1">
        <v>100</v>
      </c>
      <c r="AX485" s="1">
        <v>100</v>
      </c>
      <c r="AY485" s="1">
        <v>100</v>
      </c>
      <c r="AZ485" s="1">
        <v>100</v>
      </c>
      <c r="BA485" s="1">
        <v>100</v>
      </c>
      <c r="BB485" s="1">
        <v>100</v>
      </c>
      <c r="BC485" s="1">
        <v>100</v>
      </c>
      <c r="BD485" s="1">
        <v>100</v>
      </c>
      <c r="BE485" s="1">
        <v>100</v>
      </c>
      <c r="BF485" s="1">
        <v>100</v>
      </c>
      <c r="BG485" s="1">
        <v>100</v>
      </c>
      <c r="BH485" s="1">
        <v>100</v>
      </c>
    </row>
    <row r="486" spans="1:60" x14ac:dyDescent="0.25">
      <c r="A486">
        <f t="shared" si="8"/>
        <v>473</v>
      </c>
      <c r="B486" s="1">
        <v>105.20987698935039</v>
      </c>
      <c r="C486" s="1">
        <v>94.353173132071191</v>
      </c>
      <c r="D486" s="1">
        <v>97.69521325787963</v>
      </c>
      <c r="E486" s="1">
        <v>110.55361980993673</v>
      </c>
      <c r="F486" s="1">
        <v>95.932799101521084</v>
      </c>
      <c r="G486" s="1">
        <v>101.20264176422626</v>
      </c>
      <c r="H486" s="1">
        <v>102.6264770510757</v>
      </c>
      <c r="I486" s="1">
        <v>93.474427319191406</v>
      </c>
      <c r="J486" s="1">
        <v>109.73261611443155</v>
      </c>
      <c r="K486" s="1">
        <v>106.16590636000029</v>
      </c>
      <c r="L486" s="1">
        <v>99.646298751507061</v>
      </c>
      <c r="M486" s="1">
        <v>96.715943522481638</v>
      </c>
      <c r="N486" s="1">
        <v>100.04773223105254</v>
      </c>
      <c r="O486" s="1">
        <v>78.286602273802103</v>
      </c>
      <c r="P486" s="1">
        <v>88.308166834935975</v>
      </c>
      <c r="Q486" s="1">
        <v>100</v>
      </c>
      <c r="R486" s="1">
        <v>98.539127000430625</v>
      </c>
      <c r="S486" s="1">
        <v>104.00599955629987</v>
      </c>
      <c r="T486" s="1">
        <v>101.22298999307058</v>
      </c>
      <c r="U486" s="1">
        <v>100.75492416935522</v>
      </c>
      <c r="V486" s="1">
        <v>97.858007855966648</v>
      </c>
      <c r="W486" s="1">
        <v>102.20284750979505</v>
      </c>
      <c r="X486" s="1">
        <v>98.938308797866256</v>
      </c>
      <c r="Y486" s="1">
        <v>96.121373584346841</v>
      </c>
      <c r="Z486" s="1">
        <v>88.223835716342776</v>
      </c>
      <c r="AA486" s="1">
        <v>96.304359129707379</v>
      </c>
      <c r="AB486" s="1">
        <v>81.492991903760696</v>
      </c>
      <c r="AC486" s="1">
        <v>102.12169819441469</v>
      </c>
      <c r="AD486" s="1">
        <v>124.54012374585781</v>
      </c>
      <c r="AE486" s="1">
        <v>94.950482301812656</v>
      </c>
      <c r="AF486" s="1">
        <v>105.42130178599372</v>
      </c>
      <c r="AG486" s="1">
        <v>99.917798936780642</v>
      </c>
      <c r="AH486" s="1">
        <v>98.975330692053802</v>
      </c>
      <c r="AI486" s="1">
        <v>109.16463458768133</v>
      </c>
      <c r="AJ486" s="1">
        <v>101.4355028770963</v>
      </c>
      <c r="AK486" s="1">
        <v>91.690012815383042</v>
      </c>
      <c r="AL486" s="1">
        <v>106.69738395738433</v>
      </c>
      <c r="AM486" s="1">
        <v>116.7028707921346</v>
      </c>
      <c r="AN486" s="1">
        <v>102.8225889582061</v>
      </c>
      <c r="AO486" s="1">
        <v>99.132751748821036</v>
      </c>
      <c r="AP486" s="1">
        <v>102.00398441464017</v>
      </c>
      <c r="AQ486" s="1">
        <v>93.558901743626024</v>
      </c>
      <c r="AR486" s="1">
        <v>103.07503787023374</v>
      </c>
      <c r="AS486" s="1">
        <v>98.6003422659997</v>
      </c>
      <c r="AT486" s="1">
        <v>110.98958600736641</v>
      </c>
      <c r="AU486" s="1">
        <v>92.683083360025861</v>
      </c>
      <c r="AV486" s="1">
        <v>99.900323214082661</v>
      </c>
      <c r="AW486" s="1">
        <v>100</v>
      </c>
      <c r="AX486" s="1">
        <v>100</v>
      </c>
      <c r="AY486" s="1">
        <v>100</v>
      </c>
      <c r="AZ486" s="1">
        <v>100</v>
      </c>
      <c r="BA486" s="1">
        <v>100</v>
      </c>
      <c r="BB486" s="1">
        <v>100</v>
      </c>
      <c r="BC486" s="1">
        <v>100</v>
      </c>
      <c r="BD486" s="1">
        <v>100</v>
      </c>
      <c r="BE486" s="1">
        <v>100</v>
      </c>
      <c r="BF486" s="1">
        <v>100</v>
      </c>
      <c r="BG486" s="1">
        <v>100</v>
      </c>
      <c r="BH486" s="1">
        <v>100</v>
      </c>
    </row>
    <row r="487" spans="1:60" x14ac:dyDescent="0.25">
      <c r="A487">
        <f t="shared" si="8"/>
        <v>474</v>
      </c>
      <c r="B487" s="1">
        <v>103.67830178197242</v>
      </c>
      <c r="C487" s="1">
        <v>94.353173132071191</v>
      </c>
      <c r="D487" s="1">
        <v>97.69521325787963</v>
      </c>
      <c r="E487" s="1">
        <v>111.96690755473693</v>
      </c>
      <c r="F487" s="1">
        <v>95.932799101521084</v>
      </c>
      <c r="G487" s="1">
        <v>101.20264176422626</v>
      </c>
      <c r="H487" s="1">
        <v>102.6264770510757</v>
      </c>
      <c r="I487" s="1">
        <v>95.145944123323844</v>
      </c>
      <c r="J487" s="1">
        <v>109.73261611443155</v>
      </c>
      <c r="K487" s="1">
        <v>106.16590636000029</v>
      </c>
      <c r="L487" s="1">
        <v>99.646298751507061</v>
      </c>
      <c r="M487" s="1">
        <v>96.715943522481638</v>
      </c>
      <c r="N487" s="1">
        <v>100.04773223105254</v>
      </c>
      <c r="O487" s="1">
        <v>78.286602273802103</v>
      </c>
      <c r="P487" s="1">
        <v>88.308166834935975</v>
      </c>
      <c r="Q487" s="1">
        <v>100</v>
      </c>
      <c r="R487" s="1">
        <v>98.539127000430625</v>
      </c>
      <c r="S487" s="1">
        <v>104.00599955629987</v>
      </c>
      <c r="T487" s="1">
        <v>101.22298999307058</v>
      </c>
      <c r="U487" s="1">
        <v>100.75492416935522</v>
      </c>
      <c r="V487" s="1">
        <v>97.858007855966648</v>
      </c>
      <c r="W487" s="1">
        <v>102.20284750979505</v>
      </c>
      <c r="X487" s="1">
        <v>98.938308797866256</v>
      </c>
      <c r="Y487" s="1">
        <v>96.121373584346841</v>
      </c>
      <c r="Z487" s="1">
        <v>88.223835716342776</v>
      </c>
      <c r="AA487" s="1">
        <v>96.304359129707379</v>
      </c>
      <c r="AB487" s="1">
        <v>81.492991903760696</v>
      </c>
      <c r="AC487" s="1">
        <v>102.12169819441469</v>
      </c>
      <c r="AD487" s="1">
        <v>124.54012374585781</v>
      </c>
      <c r="AE487" s="1">
        <v>94.950482301812656</v>
      </c>
      <c r="AF487" s="1">
        <v>105.42130178599372</v>
      </c>
      <c r="AG487" s="1">
        <v>99.917798936780642</v>
      </c>
      <c r="AH487" s="1">
        <v>98.975330692053802</v>
      </c>
      <c r="AI487" s="1">
        <v>109.16463458768133</v>
      </c>
      <c r="AJ487" s="1">
        <v>101.4355028770963</v>
      </c>
      <c r="AK487" s="1">
        <v>91.690012815383042</v>
      </c>
      <c r="AL487" s="1">
        <v>105.14415461582965</v>
      </c>
      <c r="AM487" s="1">
        <v>116.7028707921346</v>
      </c>
      <c r="AN487" s="1">
        <v>102.8225889582061</v>
      </c>
      <c r="AO487" s="1">
        <v>99.132751748821036</v>
      </c>
      <c r="AP487" s="1">
        <v>102.00398441464017</v>
      </c>
      <c r="AQ487" s="1">
        <v>93.558901743626024</v>
      </c>
      <c r="AR487" s="1">
        <v>103.07503787023374</v>
      </c>
      <c r="AS487" s="1">
        <v>98.6003422659997</v>
      </c>
      <c r="AT487" s="1">
        <v>110.98958600736641</v>
      </c>
      <c r="AU487" s="1">
        <v>92.683083360025861</v>
      </c>
      <c r="AV487" s="1">
        <v>99.900323214082661</v>
      </c>
      <c r="AW487" s="1">
        <v>100</v>
      </c>
      <c r="AX487" s="1">
        <v>100</v>
      </c>
      <c r="AY487" s="1">
        <v>100</v>
      </c>
      <c r="AZ487" s="1">
        <v>100</v>
      </c>
      <c r="BA487" s="1">
        <v>100</v>
      </c>
      <c r="BB487" s="1">
        <v>100</v>
      </c>
      <c r="BC487" s="1">
        <v>100</v>
      </c>
      <c r="BD487" s="1">
        <v>100</v>
      </c>
      <c r="BE487" s="1">
        <v>100</v>
      </c>
      <c r="BF487" s="1">
        <v>100</v>
      </c>
      <c r="BG487" s="1">
        <v>100</v>
      </c>
      <c r="BH487" s="1">
        <v>100</v>
      </c>
    </row>
    <row r="488" spans="1:60" x14ac:dyDescent="0.25">
      <c r="A488">
        <f t="shared" si="8"/>
        <v>475</v>
      </c>
      <c r="B488" s="1">
        <v>103.67830178197242</v>
      </c>
      <c r="C488" s="1">
        <v>94.353173132071191</v>
      </c>
      <c r="D488" s="1">
        <v>97.69521325787963</v>
      </c>
      <c r="E488" s="1">
        <v>111.2920274651762</v>
      </c>
      <c r="F488" s="1">
        <v>95.932799101521084</v>
      </c>
      <c r="G488" s="1">
        <v>101.20264176422626</v>
      </c>
      <c r="H488" s="1">
        <v>102.6264770510757</v>
      </c>
      <c r="I488" s="1">
        <v>95.145944123323844</v>
      </c>
      <c r="J488" s="1">
        <v>109.73261611443155</v>
      </c>
      <c r="K488" s="1">
        <v>106.16590636000029</v>
      </c>
      <c r="L488" s="1">
        <v>99.646298751507061</v>
      </c>
      <c r="M488" s="1">
        <v>96.715943522481638</v>
      </c>
      <c r="N488" s="1">
        <v>100.04773223105254</v>
      </c>
      <c r="O488" s="1">
        <v>78.286602273802103</v>
      </c>
      <c r="P488" s="1">
        <v>88.308166834935975</v>
      </c>
      <c r="Q488" s="1">
        <v>100</v>
      </c>
      <c r="R488" s="1">
        <v>98.539127000430625</v>
      </c>
      <c r="S488" s="1">
        <v>104.00599955629987</v>
      </c>
      <c r="T488" s="1">
        <v>101.22298999307058</v>
      </c>
      <c r="U488" s="1">
        <v>100.75492416935522</v>
      </c>
      <c r="V488" s="1">
        <v>97.858007855966648</v>
      </c>
      <c r="W488" s="1">
        <v>102.20284750979505</v>
      </c>
      <c r="X488" s="1">
        <v>98.938308797866256</v>
      </c>
      <c r="Y488" s="1">
        <v>96.762659705022031</v>
      </c>
      <c r="Z488" s="1">
        <v>88.223835716342776</v>
      </c>
      <c r="AA488" s="1">
        <v>96.304359129707379</v>
      </c>
      <c r="AB488" s="1">
        <v>81.492991903760696</v>
      </c>
      <c r="AC488" s="1">
        <v>102.12169819441469</v>
      </c>
      <c r="AD488" s="1">
        <v>124.54012374585781</v>
      </c>
      <c r="AE488" s="1">
        <v>94.950482301812656</v>
      </c>
      <c r="AF488" s="1">
        <v>105.42130178599372</v>
      </c>
      <c r="AG488" s="1">
        <v>99.917798936780642</v>
      </c>
      <c r="AH488" s="1">
        <v>98.975330692053802</v>
      </c>
      <c r="AI488" s="1">
        <v>109.16463458768133</v>
      </c>
      <c r="AJ488" s="1">
        <v>101.4355028770963</v>
      </c>
      <c r="AK488" s="1">
        <v>91.137351628144131</v>
      </c>
      <c r="AL488" s="1">
        <v>105.7304097719541</v>
      </c>
      <c r="AM488" s="1">
        <v>116.7028707921346</v>
      </c>
      <c r="AN488" s="1">
        <v>102.8225889582061</v>
      </c>
      <c r="AO488" s="1">
        <v>99.132751748821036</v>
      </c>
      <c r="AP488" s="1">
        <v>102.00398441464017</v>
      </c>
      <c r="AQ488" s="1">
        <v>93.558901743626024</v>
      </c>
      <c r="AR488" s="1">
        <v>103.07503787023374</v>
      </c>
      <c r="AS488" s="1">
        <v>98.6003422659997</v>
      </c>
      <c r="AT488" s="1">
        <v>110.98958600736641</v>
      </c>
      <c r="AU488" s="1">
        <v>92.683083360025861</v>
      </c>
      <c r="AV488" s="1">
        <v>99.900323214082661</v>
      </c>
      <c r="AW488" s="1">
        <v>100</v>
      </c>
      <c r="AX488" s="1">
        <v>100</v>
      </c>
      <c r="AY488" s="1">
        <v>100</v>
      </c>
      <c r="AZ488" s="1">
        <v>100</v>
      </c>
      <c r="BA488" s="1">
        <v>100</v>
      </c>
      <c r="BB488" s="1">
        <v>100</v>
      </c>
      <c r="BC488" s="1">
        <v>100</v>
      </c>
      <c r="BD488" s="1">
        <v>100</v>
      </c>
      <c r="BE488" s="1">
        <v>100</v>
      </c>
      <c r="BF488" s="1">
        <v>100</v>
      </c>
      <c r="BG488" s="1">
        <v>100</v>
      </c>
      <c r="BH488" s="1">
        <v>100</v>
      </c>
    </row>
    <row r="489" spans="1:60" x14ac:dyDescent="0.25">
      <c r="A489">
        <f t="shared" si="8"/>
        <v>476</v>
      </c>
      <c r="B489" s="1">
        <v>103.67830178197242</v>
      </c>
      <c r="C489" s="1">
        <v>94.353173132071191</v>
      </c>
      <c r="D489" s="1">
        <v>97.69521325787963</v>
      </c>
      <c r="E489" s="1">
        <v>111.96165139371935</v>
      </c>
      <c r="F489" s="1">
        <v>95.932799101521084</v>
      </c>
      <c r="G489" s="1">
        <v>101.20264176422626</v>
      </c>
      <c r="H489" s="1">
        <v>102.6264770510757</v>
      </c>
      <c r="I489" s="1">
        <v>95.145944123323844</v>
      </c>
      <c r="J489" s="1">
        <v>109.73261611443155</v>
      </c>
      <c r="K489" s="1">
        <v>106.16590636000029</v>
      </c>
      <c r="L489" s="1">
        <v>99.646298751507061</v>
      </c>
      <c r="M489" s="1">
        <v>96.715943522481638</v>
      </c>
      <c r="N489" s="1">
        <v>100.04773223105254</v>
      </c>
      <c r="O489" s="1">
        <v>78.286602273802103</v>
      </c>
      <c r="P489" s="1">
        <v>88.308166834935975</v>
      </c>
      <c r="Q489" s="1">
        <v>100</v>
      </c>
      <c r="R489" s="1">
        <v>98.539127000430625</v>
      </c>
      <c r="S489" s="1">
        <v>104.00599955629987</v>
      </c>
      <c r="T489" s="1">
        <v>101.22298999307058</v>
      </c>
      <c r="U489" s="1">
        <v>100.75492416935522</v>
      </c>
      <c r="V489" s="1">
        <v>97.858007855966648</v>
      </c>
      <c r="W489" s="1">
        <v>102.20284750979505</v>
      </c>
      <c r="X489" s="1">
        <v>98.938308797866256</v>
      </c>
      <c r="Y489" s="1">
        <v>96.051927922154292</v>
      </c>
      <c r="Z489" s="1">
        <v>88.223835716342776</v>
      </c>
      <c r="AA489" s="1">
        <v>96.304359129707379</v>
      </c>
      <c r="AB489" s="1">
        <v>81.492991903760696</v>
      </c>
      <c r="AC489" s="1">
        <v>102.12169819441469</v>
      </c>
      <c r="AD489" s="1">
        <v>124.54012374585781</v>
      </c>
      <c r="AE489" s="1">
        <v>94.950482301812656</v>
      </c>
      <c r="AF489" s="1">
        <v>105.42130178599372</v>
      </c>
      <c r="AG489" s="1">
        <v>99.917798936780642</v>
      </c>
      <c r="AH489" s="1">
        <v>98.975330692053802</v>
      </c>
      <c r="AI489" s="1">
        <v>109.16463458768133</v>
      </c>
      <c r="AJ489" s="1">
        <v>101.4355028770963</v>
      </c>
      <c r="AK489" s="1">
        <v>91.955060320742888</v>
      </c>
      <c r="AL489" s="1">
        <v>104.95380893367994</v>
      </c>
      <c r="AM489" s="1">
        <v>116.7028707921346</v>
      </c>
      <c r="AN489" s="1">
        <v>102.8225889582061</v>
      </c>
      <c r="AO489" s="1">
        <v>99.132751748821036</v>
      </c>
      <c r="AP489" s="1">
        <v>102.00398441464017</v>
      </c>
      <c r="AQ489" s="1">
        <v>93.558901743626024</v>
      </c>
      <c r="AR489" s="1">
        <v>103.07503787023374</v>
      </c>
      <c r="AS489" s="1">
        <v>98.6003422659997</v>
      </c>
      <c r="AT489" s="1">
        <v>110.98958600736641</v>
      </c>
      <c r="AU489" s="1">
        <v>92.683083360025861</v>
      </c>
      <c r="AV489" s="1">
        <v>99.900323214082661</v>
      </c>
      <c r="AW489" s="1">
        <v>100</v>
      </c>
      <c r="AX489" s="1">
        <v>100</v>
      </c>
      <c r="AY489" s="1">
        <v>100</v>
      </c>
      <c r="AZ489" s="1">
        <v>100</v>
      </c>
      <c r="BA489" s="1">
        <v>100</v>
      </c>
      <c r="BB489" s="1">
        <v>100</v>
      </c>
      <c r="BC489" s="1">
        <v>100</v>
      </c>
      <c r="BD489" s="1">
        <v>100</v>
      </c>
      <c r="BE489" s="1">
        <v>100</v>
      </c>
      <c r="BF489" s="1">
        <v>100</v>
      </c>
      <c r="BG489" s="1">
        <v>100</v>
      </c>
      <c r="BH489" s="1">
        <v>100</v>
      </c>
    </row>
    <row r="490" spans="1:60" x14ac:dyDescent="0.25">
      <c r="A490">
        <f t="shared" si="8"/>
        <v>477</v>
      </c>
      <c r="B490" s="1">
        <v>103.67830178197242</v>
      </c>
      <c r="C490" s="1">
        <v>94.353173132071191</v>
      </c>
      <c r="D490" s="1">
        <v>97.69521325787963</v>
      </c>
      <c r="E490" s="1">
        <v>111.96165139371935</v>
      </c>
      <c r="F490" s="1">
        <v>95.932799101521084</v>
      </c>
      <c r="G490" s="1">
        <v>101.20264176422626</v>
      </c>
      <c r="H490" s="1">
        <v>102.6264770510757</v>
      </c>
      <c r="I490" s="1">
        <v>95.164354882635365</v>
      </c>
      <c r="J490" s="1">
        <v>109.73261611443155</v>
      </c>
      <c r="K490" s="1">
        <v>106.16590636000029</v>
      </c>
      <c r="L490" s="1">
        <v>99.646298751507061</v>
      </c>
      <c r="M490" s="1">
        <v>96.715943522481638</v>
      </c>
      <c r="N490" s="1">
        <v>100.04773223105254</v>
      </c>
      <c r="O490" s="1">
        <v>78.286602273802103</v>
      </c>
      <c r="P490" s="1">
        <v>88.308166834935975</v>
      </c>
      <c r="Q490" s="1">
        <v>100</v>
      </c>
      <c r="R490" s="1">
        <v>98.539127000430625</v>
      </c>
      <c r="S490" s="1">
        <v>104.00599955629987</v>
      </c>
      <c r="T490" s="1">
        <v>101.22298999307058</v>
      </c>
      <c r="U490" s="1">
        <v>100.75492416935522</v>
      </c>
      <c r="V490" s="1">
        <v>97.858007855966648</v>
      </c>
      <c r="W490" s="1">
        <v>102.20284750979505</v>
      </c>
      <c r="X490" s="1">
        <v>98.938308797866256</v>
      </c>
      <c r="Y490" s="1">
        <v>96.070165026964318</v>
      </c>
      <c r="Z490" s="1">
        <v>88.223835716342776</v>
      </c>
      <c r="AA490" s="1">
        <v>96.304359129707379</v>
      </c>
      <c r="AB490" s="1">
        <v>81.492991903760696</v>
      </c>
      <c r="AC490" s="1">
        <v>102.12169819441469</v>
      </c>
      <c r="AD490" s="1">
        <v>124.54012374585781</v>
      </c>
      <c r="AE490" s="1">
        <v>94.933075309935859</v>
      </c>
      <c r="AF490" s="1">
        <v>105.42130178599372</v>
      </c>
      <c r="AG490" s="1">
        <v>99.917798936780642</v>
      </c>
      <c r="AH490" s="1">
        <v>98.975330692053802</v>
      </c>
      <c r="AI490" s="1">
        <v>109.16463458768133</v>
      </c>
      <c r="AJ490" s="1">
        <v>101.4355028770963</v>
      </c>
      <c r="AK490" s="1">
        <v>91.955060320742888</v>
      </c>
      <c r="AL490" s="1">
        <v>104.93456806143519</v>
      </c>
      <c r="AM490" s="1">
        <v>116.7028707921346</v>
      </c>
      <c r="AN490" s="1">
        <v>102.8225889582061</v>
      </c>
      <c r="AO490" s="1">
        <v>99.132751748821036</v>
      </c>
      <c r="AP490" s="1">
        <v>102.00398441464017</v>
      </c>
      <c r="AQ490" s="1">
        <v>93.558901743626024</v>
      </c>
      <c r="AR490" s="1">
        <v>103.07503787023374</v>
      </c>
      <c r="AS490" s="1">
        <v>98.6003422659997</v>
      </c>
      <c r="AT490" s="1">
        <v>110.98958600736641</v>
      </c>
      <c r="AU490" s="1">
        <v>92.683083360025861</v>
      </c>
      <c r="AV490" s="1">
        <v>99.900323214082661</v>
      </c>
      <c r="AW490" s="1">
        <v>100</v>
      </c>
      <c r="AX490" s="1">
        <v>100</v>
      </c>
      <c r="AY490" s="1">
        <v>100</v>
      </c>
      <c r="AZ490" s="1">
        <v>100</v>
      </c>
      <c r="BA490" s="1">
        <v>100</v>
      </c>
      <c r="BB490" s="1">
        <v>100</v>
      </c>
      <c r="BC490" s="1">
        <v>100</v>
      </c>
      <c r="BD490" s="1">
        <v>100</v>
      </c>
      <c r="BE490" s="1">
        <v>100</v>
      </c>
      <c r="BF490" s="1">
        <v>100</v>
      </c>
      <c r="BG490" s="1">
        <v>100</v>
      </c>
      <c r="BH490" s="1">
        <v>100</v>
      </c>
    </row>
    <row r="491" spans="1:60" x14ac:dyDescent="0.25">
      <c r="A491">
        <f t="shared" si="8"/>
        <v>478</v>
      </c>
      <c r="B491" s="1">
        <v>103.67830178197242</v>
      </c>
      <c r="C491" s="1">
        <v>94.353173132071191</v>
      </c>
      <c r="D491" s="1">
        <v>97.69521325787963</v>
      </c>
      <c r="E491" s="1">
        <v>111.96165139371935</v>
      </c>
      <c r="F491" s="1">
        <v>95.932799101521084</v>
      </c>
      <c r="G491" s="1">
        <v>101.20264176422626</v>
      </c>
      <c r="H491" s="1">
        <v>102.6264770510757</v>
      </c>
      <c r="I491" s="1">
        <v>95.178690934418597</v>
      </c>
      <c r="J491" s="1">
        <v>109.73261611443155</v>
      </c>
      <c r="K491" s="1">
        <v>106.16590636000029</v>
      </c>
      <c r="L491" s="1">
        <v>99.646298751507061</v>
      </c>
      <c r="M491" s="1">
        <v>96.715943522481638</v>
      </c>
      <c r="N491" s="1">
        <v>100.04773223105254</v>
      </c>
      <c r="O491" s="1">
        <v>78.286602273802103</v>
      </c>
      <c r="P491" s="1">
        <v>88.308166834935975</v>
      </c>
      <c r="Q491" s="1">
        <v>100</v>
      </c>
      <c r="R491" s="1">
        <v>98.539127000430625</v>
      </c>
      <c r="S491" s="1">
        <v>104.00599955629987</v>
      </c>
      <c r="T491" s="1">
        <v>101.22298999307058</v>
      </c>
      <c r="U491" s="1">
        <v>100.75492416935522</v>
      </c>
      <c r="V491" s="1">
        <v>97.858007855966648</v>
      </c>
      <c r="W491" s="1">
        <v>102.20284750979505</v>
      </c>
      <c r="X491" s="1">
        <v>98.938308797866256</v>
      </c>
      <c r="Y491" s="1">
        <v>96.08436590940407</v>
      </c>
      <c r="Z491" s="1">
        <v>88.223835716342776</v>
      </c>
      <c r="AA491" s="1">
        <v>96.304359129707379</v>
      </c>
      <c r="AB491" s="1">
        <v>81.492991903760696</v>
      </c>
      <c r="AC491" s="1">
        <v>102.12169819441469</v>
      </c>
      <c r="AD491" s="1">
        <v>124.54012374585781</v>
      </c>
      <c r="AE491" s="1">
        <v>94.919520845191045</v>
      </c>
      <c r="AF491" s="1">
        <v>105.42130178599372</v>
      </c>
      <c r="AG491" s="1">
        <v>99.917798936780642</v>
      </c>
      <c r="AH491" s="1">
        <v>98.975330692053802</v>
      </c>
      <c r="AI491" s="1">
        <v>109.16463458768133</v>
      </c>
      <c r="AJ491" s="1">
        <v>101.4355028770963</v>
      </c>
      <c r="AK491" s="1">
        <v>91.955060320742888</v>
      </c>
      <c r="AL491" s="1">
        <v>104.919585591957</v>
      </c>
      <c r="AM491" s="1">
        <v>116.7028707921346</v>
      </c>
      <c r="AN491" s="1">
        <v>102.8225889582061</v>
      </c>
      <c r="AO491" s="1">
        <v>99.132751748821036</v>
      </c>
      <c r="AP491" s="1">
        <v>102.00398441464017</v>
      </c>
      <c r="AQ491" s="1">
        <v>93.558901743626024</v>
      </c>
      <c r="AR491" s="1">
        <v>103.07503787023374</v>
      </c>
      <c r="AS491" s="1">
        <v>98.6003422659997</v>
      </c>
      <c r="AT491" s="1">
        <v>110.98958600736641</v>
      </c>
      <c r="AU491" s="1">
        <v>92.683083360025861</v>
      </c>
      <c r="AV491" s="1">
        <v>99.900323214082661</v>
      </c>
      <c r="AW491" s="1">
        <v>100</v>
      </c>
      <c r="AX491" s="1">
        <v>100</v>
      </c>
      <c r="AY491" s="1">
        <v>100</v>
      </c>
      <c r="AZ491" s="1">
        <v>100</v>
      </c>
      <c r="BA491" s="1">
        <v>100</v>
      </c>
      <c r="BB491" s="1">
        <v>100</v>
      </c>
      <c r="BC491" s="1">
        <v>100</v>
      </c>
      <c r="BD491" s="1">
        <v>100</v>
      </c>
      <c r="BE491" s="1">
        <v>100</v>
      </c>
      <c r="BF491" s="1">
        <v>100</v>
      </c>
      <c r="BG491" s="1">
        <v>100</v>
      </c>
      <c r="BH491" s="1">
        <v>100</v>
      </c>
    </row>
    <row r="492" spans="1:60" x14ac:dyDescent="0.25">
      <c r="A492">
        <f t="shared" si="8"/>
        <v>479</v>
      </c>
      <c r="B492" s="1">
        <v>101.04581818350641</v>
      </c>
      <c r="C492" s="1">
        <v>94.353173132071191</v>
      </c>
      <c r="D492" s="1">
        <v>97.69521325787963</v>
      </c>
      <c r="E492" s="1">
        <v>111.96165139371935</v>
      </c>
      <c r="F492" s="1">
        <v>95.932799101521084</v>
      </c>
      <c r="G492" s="1">
        <v>101.20264176422626</v>
      </c>
      <c r="H492" s="1">
        <v>102.6264770510757</v>
      </c>
      <c r="I492" s="1">
        <v>95.178690934418597</v>
      </c>
      <c r="J492" s="1">
        <v>109.73261611443155</v>
      </c>
      <c r="K492" s="1">
        <v>106.16590636000029</v>
      </c>
      <c r="L492" s="1">
        <v>99.646298751507061</v>
      </c>
      <c r="M492" s="1">
        <v>96.715943522481638</v>
      </c>
      <c r="N492" s="1">
        <v>100.04773223105254</v>
      </c>
      <c r="O492" s="1">
        <v>76.298836338951006</v>
      </c>
      <c r="P492" s="1">
        <v>88.308166834935975</v>
      </c>
      <c r="Q492" s="1">
        <v>100</v>
      </c>
      <c r="R492" s="1">
        <v>98.539127000430625</v>
      </c>
      <c r="S492" s="1">
        <v>104.00599955629987</v>
      </c>
      <c r="T492" s="1">
        <v>101.22298999307058</v>
      </c>
      <c r="U492" s="1">
        <v>100.75492416935522</v>
      </c>
      <c r="V492" s="1">
        <v>100.13291964077077</v>
      </c>
      <c r="W492" s="1">
        <v>102.20284750979505</v>
      </c>
      <c r="X492" s="1">
        <v>98.938308797866256</v>
      </c>
      <c r="Y492" s="1">
        <v>96.08436590940407</v>
      </c>
      <c r="Z492" s="1">
        <v>88.223835716342776</v>
      </c>
      <c r="AA492" s="1">
        <v>96.304359129707379</v>
      </c>
      <c r="AB492" s="1">
        <v>81.492991903760696</v>
      </c>
      <c r="AC492" s="1">
        <v>102.12169819441469</v>
      </c>
      <c r="AD492" s="1">
        <v>124.54012374585781</v>
      </c>
      <c r="AE492" s="1">
        <v>97.264858593704034</v>
      </c>
      <c r="AF492" s="1">
        <v>105.42130178599372</v>
      </c>
      <c r="AG492" s="1">
        <v>99.917798936780642</v>
      </c>
      <c r="AH492" s="1">
        <v>98.975330692053802</v>
      </c>
      <c r="AI492" s="1">
        <v>109.16463458768133</v>
      </c>
      <c r="AJ492" s="1">
        <v>101.4355028770963</v>
      </c>
      <c r="AK492" s="1">
        <v>91.955060320742888</v>
      </c>
      <c r="AL492" s="1">
        <v>104.919585591957</v>
      </c>
      <c r="AM492" s="1">
        <v>116.7028707921346</v>
      </c>
      <c r="AN492" s="1">
        <v>102.8225889582061</v>
      </c>
      <c r="AO492" s="1">
        <v>99.132751748821036</v>
      </c>
      <c r="AP492" s="1">
        <v>102.00398441464017</v>
      </c>
      <c r="AQ492" s="1">
        <v>93.558901743626024</v>
      </c>
      <c r="AR492" s="1">
        <v>103.07503787023374</v>
      </c>
      <c r="AS492" s="1">
        <v>98.6003422659997</v>
      </c>
      <c r="AT492" s="1">
        <v>110.98958600736641</v>
      </c>
      <c r="AU492" s="1">
        <v>92.683083360025861</v>
      </c>
      <c r="AV492" s="1">
        <v>99.900323214082661</v>
      </c>
      <c r="AW492" s="1">
        <v>100</v>
      </c>
      <c r="AX492" s="1">
        <v>100</v>
      </c>
      <c r="AY492" s="1">
        <v>100</v>
      </c>
      <c r="AZ492" s="1">
        <v>100</v>
      </c>
      <c r="BA492" s="1">
        <v>100</v>
      </c>
      <c r="BB492" s="1">
        <v>100</v>
      </c>
      <c r="BC492" s="1">
        <v>100</v>
      </c>
      <c r="BD492" s="1">
        <v>100</v>
      </c>
      <c r="BE492" s="1">
        <v>100</v>
      </c>
      <c r="BF492" s="1">
        <v>100</v>
      </c>
      <c r="BG492" s="1">
        <v>100</v>
      </c>
      <c r="BH492" s="1">
        <v>100</v>
      </c>
    </row>
    <row r="493" spans="1:60" x14ac:dyDescent="0.25">
      <c r="A493">
        <f t="shared" si="8"/>
        <v>480</v>
      </c>
      <c r="B493" s="1">
        <v>101.73311242433225</v>
      </c>
      <c r="C493" s="1">
        <v>94.353173132071191</v>
      </c>
      <c r="D493" s="1">
        <v>97.69521325787963</v>
      </c>
      <c r="E493" s="1">
        <v>111.96165139371935</v>
      </c>
      <c r="F493" s="1">
        <v>95.932799101521084</v>
      </c>
      <c r="G493" s="1">
        <v>101.20264176422626</v>
      </c>
      <c r="H493" s="1">
        <v>102.6264770510757</v>
      </c>
      <c r="I493" s="1">
        <v>95.178690934418597</v>
      </c>
      <c r="J493" s="1">
        <v>109.73261611443155</v>
      </c>
      <c r="K493" s="1">
        <v>106.16590636000029</v>
      </c>
      <c r="L493" s="1">
        <v>99.646298751507061</v>
      </c>
      <c r="M493" s="1">
        <v>96.715943522481638</v>
      </c>
      <c r="N493" s="1">
        <v>100.04773223105254</v>
      </c>
      <c r="O493" s="1">
        <v>77.209049550965673</v>
      </c>
      <c r="P493" s="1">
        <v>88.308166834935975</v>
      </c>
      <c r="Q493" s="1">
        <v>100</v>
      </c>
      <c r="R493" s="1">
        <v>98.539127000430625</v>
      </c>
      <c r="S493" s="1">
        <v>104.00599955629987</v>
      </c>
      <c r="T493" s="1">
        <v>101.22298999307058</v>
      </c>
      <c r="U493" s="1">
        <v>100.75492416935522</v>
      </c>
      <c r="V493" s="1">
        <v>99.322560543360851</v>
      </c>
      <c r="W493" s="1">
        <v>102.20284750979505</v>
      </c>
      <c r="X493" s="1">
        <v>98.938308797866256</v>
      </c>
      <c r="Y493" s="1">
        <v>96.08436590940407</v>
      </c>
      <c r="Z493" s="1">
        <v>88.223835716342776</v>
      </c>
      <c r="AA493" s="1">
        <v>96.304359129707379</v>
      </c>
      <c r="AB493" s="1">
        <v>81.492991903760696</v>
      </c>
      <c r="AC493" s="1">
        <v>102.12169819441469</v>
      </c>
      <c r="AD493" s="1">
        <v>124.54012374585781</v>
      </c>
      <c r="AE493" s="1">
        <v>96.477710238273431</v>
      </c>
      <c r="AF493" s="1">
        <v>105.42130178599372</v>
      </c>
      <c r="AG493" s="1">
        <v>99.917798936780642</v>
      </c>
      <c r="AH493" s="1">
        <v>98.975330692053802</v>
      </c>
      <c r="AI493" s="1">
        <v>109.16463458768133</v>
      </c>
      <c r="AJ493" s="1">
        <v>101.4355028770963</v>
      </c>
      <c r="AK493" s="1">
        <v>91.955060320742888</v>
      </c>
      <c r="AL493" s="1">
        <v>104.919585591957</v>
      </c>
      <c r="AM493" s="1">
        <v>116.7028707921346</v>
      </c>
      <c r="AN493" s="1">
        <v>102.8225889582061</v>
      </c>
      <c r="AO493" s="1">
        <v>99.132751748821036</v>
      </c>
      <c r="AP493" s="1">
        <v>102.00398441464017</v>
      </c>
      <c r="AQ493" s="1">
        <v>93.558901743626024</v>
      </c>
      <c r="AR493" s="1">
        <v>103.07503787023374</v>
      </c>
      <c r="AS493" s="1">
        <v>98.6003422659997</v>
      </c>
      <c r="AT493" s="1">
        <v>110.98958600736641</v>
      </c>
      <c r="AU493" s="1">
        <v>92.683083360025861</v>
      </c>
      <c r="AV493" s="1">
        <v>99.900323214082661</v>
      </c>
      <c r="AW493" s="1">
        <v>100</v>
      </c>
      <c r="AX493" s="1">
        <v>100</v>
      </c>
      <c r="AY493" s="1">
        <v>100</v>
      </c>
      <c r="AZ493" s="1">
        <v>100</v>
      </c>
      <c r="BA493" s="1">
        <v>100</v>
      </c>
      <c r="BB493" s="1">
        <v>100</v>
      </c>
      <c r="BC493" s="1">
        <v>100</v>
      </c>
      <c r="BD493" s="1">
        <v>100</v>
      </c>
      <c r="BE493" s="1">
        <v>100</v>
      </c>
      <c r="BF493" s="1">
        <v>100</v>
      </c>
      <c r="BG493" s="1">
        <v>100</v>
      </c>
      <c r="BH493" s="1">
        <v>100</v>
      </c>
    </row>
    <row r="494" spans="1:60" x14ac:dyDescent="0.25">
      <c r="A494">
        <f t="shared" si="8"/>
        <v>481</v>
      </c>
      <c r="B494" s="1">
        <v>101.73311242433225</v>
      </c>
      <c r="C494" s="1">
        <v>94.353173132071191</v>
      </c>
      <c r="D494" s="1">
        <v>97.69521325787963</v>
      </c>
      <c r="E494" s="1">
        <v>111.96165139371935</v>
      </c>
      <c r="F494" s="1">
        <v>95.932799101521084</v>
      </c>
      <c r="G494" s="1">
        <v>101.20264176422626</v>
      </c>
      <c r="H494" s="1">
        <v>102.6264770510757</v>
      </c>
      <c r="I494" s="1">
        <v>95.178690934418597</v>
      </c>
      <c r="J494" s="1">
        <v>109.73261611443155</v>
      </c>
      <c r="K494" s="1">
        <v>106.16590636000029</v>
      </c>
      <c r="L494" s="1">
        <v>99.646298751507061</v>
      </c>
      <c r="M494" s="1">
        <v>96.715943522481638</v>
      </c>
      <c r="N494" s="1">
        <v>100.04773223105254</v>
      </c>
      <c r="O494" s="1">
        <v>76.433498351320949</v>
      </c>
      <c r="P494" s="1">
        <v>88.308166834935975</v>
      </c>
      <c r="Q494" s="1">
        <v>100</v>
      </c>
      <c r="R494" s="1">
        <v>98.539127000430625</v>
      </c>
      <c r="S494" s="1">
        <v>104.88534877475135</v>
      </c>
      <c r="T494" s="1">
        <v>101.22298999307058</v>
      </c>
      <c r="U494" s="1">
        <v>100.75492416935522</v>
      </c>
      <c r="V494" s="1">
        <v>100.24337444428893</v>
      </c>
      <c r="W494" s="1">
        <v>102.20284750979505</v>
      </c>
      <c r="X494" s="1">
        <v>98.938308797866256</v>
      </c>
      <c r="Y494" s="1">
        <v>96.08436590940407</v>
      </c>
      <c r="Z494" s="1">
        <v>88.223835716342776</v>
      </c>
      <c r="AA494" s="1">
        <v>96.304359129707379</v>
      </c>
      <c r="AB494" s="1">
        <v>81.492991903760696</v>
      </c>
      <c r="AC494" s="1">
        <v>102.12169819441469</v>
      </c>
      <c r="AD494" s="1">
        <v>124.54012374585781</v>
      </c>
      <c r="AE494" s="1">
        <v>96.477710238273431</v>
      </c>
      <c r="AF494" s="1">
        <v>105.42130178599372</v>
      </c>
      <c r="AG494" s="1">
        <v>99.917798936780642</v>
      </c>
      <c r="AH494" s="1">
        <v>98.975330692053802</v>
      </c>
      <c r="AI494" s="1">
        <v>109.16463458768133</v>
      </c>
      <c r="AJ494" s="1">
        <v>101.4355028770963</v>
      </c>
      <c r="AK494" s="1">
        <v>91.955060320742888</v>
      </c>
      <c r="AL494" s="1">
        <v>104.919585591957</v>
      </c>
      <c r="AM494" s="1">
        <v>116.7028707921346</v>
      </c>
      <c r="AN494" s="1">
        <v>102.8225889582061</v>
      </c>
      <c r="AO494" s="1">
        <v>99.132751748821036</v>
      </c>
      <c r="AP494" s="1">
        <v>100.97937249490535</v>
      </c>
      <c r="AQ494" s="1">
        <v>93.558901743626024</v>
      </c>
      <c r="AR494" s="1">
        <v>103.07503787023374</v>
      </c>
      <c r="AS494" s="1">
        <v>98.6003422659997</v>
      </c>
      <c r="AT494" s="1">
        <v>110.98958600736641</v>
      </c>
      <c r="AU494" s="1">
        <v>92.683083360025861</v>
      </c>
      <c r="AV494" s="1">
        <v>99.900323214082661</v>
      </c>
      <c r="AW494" s="1">
        <v>100</v>
      </c>
      <c r="AX494" s="1">
        <v>100</v>
      </c>
      <c r="AY494" s="1">
        <v>100</v>
      </c>
      <c r="AZ494" s="1">
        <v>100</v>
      </c>
      <c r="BA494" s="1">
        <v>100</v>
      </c>
      <c r="BB494" s="1">
        <v>100</v>
      </c>
      <c r="BC494" s="1">
        <v>100</v>
      </c>
      <c r="BD494" s="1">
        <v>100</v>
      </c>
      <c r="BE494" s="1">
        <v>100</v>
      </c>
      <c r="BF494" s="1">
        <v>100</v>
      </c>
      <c r="BG494" s="1">
        <v>100</v>
      </c>
      <c r="BH494" s="1">
        <v>100</v>
      </c>
    </row>
    <row r="495" spans="1:60" x14ac:dyDescent="0.25">
      <c r="A495">
        <f t="shared" si="8"/>
        <v>482</v>
      </c>
      <c r="B495" s="1">
        <v>101.73311242433225</v>
      </c>
      <c r="C495" s="1">
        <v>94.353173132071191</v>
      </c>
      <c r="D495" s="1">
        <v>97.69521325787963</v>
      </c>
      <c r="E495" s="1">
        <v>111.96165139371935</v>
      </c>
      <c r="F495" s="1">
        <v>95.932799101521084</v>
      </c>
      <c r="G495" s="1">
        <v>101.20264176422626</v>
      </c>
      <c r="H495" s="1">
        <v>102.6264770510757</v>
      </c>
      <c r="I495" s="1">
        <v>95.178690934418597</v>
      </c>
      <c r="J495" s="1">
        <v>109.73261611443155</v>
      </c>
      <c r="K495" s="1">
        <v>106.16590636000029</v>
      </c>
      <c r="L495" s="1">
        <v>99.646298751507061</v>
      </c>
      <c r="M495" s="1">
        <v>96.715943522481638</v>
      </c>
      <c r="N495" s="1">
        <v>100.04773223105254</v>
      </c>
      <c r="O495" s="1">
        <v>75.131680864937195</v>
      </c>
      <c r="P495" s="1">
        <v>88.308166834935975</v>
      </c>
      <c r="Q495" s="1">
        <v>100</v>
      </c>
      <c r="R495" s="1">
        <v>98.539127000430625</v>
      </c>
      <c r="S495" s="1">
        <v>106.36200937579677</v>
      </c>
      <c r="T495" s="1">
        <v>101.22298999307058</v>
      </c>
      <c r="U495" s="1">
        <v>100.75492416935522</v>
      </c>
      <c r="V495" s="1">
        <v>101.78841483245603</v>
      </c>
      <c r="W495" s="1">
        <v>102.20284750979505</v>
      </c>
      <c r="X495" s="1">
        <v>98.938308797866256</v>
      </c>
      <c r="Y495" s="1">
        <v>96.08436590940407</v>
      </c>
      <c r="Z495" s="1">
        <v>88.223835716342776</v>
      </c>
      <c r="AA495" s="1">
        <v>96.304359129707379</v>
      </c>
      <c r="AB495" s="1">
        <v>81.492991903760696</v>
      </c>
      <c r="AC495" s="1">
        <v>102.12169819441469</v>
      </c>
      <c r="AD495" s="1">
        <v>124.54012374585781</v>
      </c>
      <c r="AE495" s="1">
        <v>96.477710238273431</v>
      </c>
      <c r="AF495" s="1">
        <v>105.42130178599372</v>
      </c>
      <c r="AG495" s="1">
        <v>99.917798936780642</v>
      </c>
      <c r="AH495" s="1">
        <v>98.975330692053802</v>
      </c>
      <c r="AI495" s="1">
        <v>109.16463458768133</v>
      </c>
      <c r="AJ495" s="1">
        <v>101.4355028770963</v>
      </c>
      <c r="AK495" s="1">
        <v>91.955060320742888</v>
      </c>
      <c r="AL495" s="1">
        <v>104.919585591957</v>
      </c>
      <c r="AM495" s="1">
        <v>116.7028707921346</v>
      </c>
      <c r="AN495" s="1">
        <v>102.8225889582061</v>
      </c>
      <c r="AO495" s="1">
        <v>99.132751748821036</v>
      </c>
      <c r="AP495" s="1">
        <v>99.259488992076584</v>
      </c>
      <c r="AQ495" s="1">
        <v>93.558901743626024</v>
      </c>
      <c r="AR495" s="1">
        <v>103.07503787023374</v>
      </c>
      <c r="AS495" s="1">
        <v>98.6003422659997</v>
      </c>
      <c r="AT495" s="1">
        <v>110.98958600736641</v>
      </c>
      <c r="AU495" s="1">
        <v>92.683083360025861</v>
      </c>
      <c r="AV495" s="1">
        <v>99.900323214082661</v>
      </c>
      <c r="AW495" s="1">
        <v>100</v>
      </c>
      <c r="AX495" s="1">
        <v>100</v>
      </c>
      <c r="AY495" s="1">
        <v>100</v>
      </c>
      <c r="AZ495" s="1">
        <v>100</v>
      </c>
      <c r="BA495" s="1">
        <v>100</v>
      </c>
      <c r="BB495" s="1">
        <v>100</v>
      </c>
      <c r="BC495" s="1">
        <v>100</v>
      </c>
      <c r="BD495" s="1">
        <v>100</v>
      </c>
      <c r="BE495" s="1">
        <v>100</v>
      </c>
      <c r="BF495" s="1">
        <v>100</v>
      </c>
      <c r="BG495" s="1">
        <v>100</v>
      </c>
      <c r="BH495" s="1">
        <v>100</v>
      </c>
    </row>
    <row r="496" spans="1:60" x14ac:dyDescent="0.25">
      <c r="A496">
        <f t="shared" si="8"/>
        <v>483</v>
      </c>
      <c r="B496" s="1">
        <v>101.73311242433225</v>
      </c>
      <c r="C496" s="1">
        <v>94.353173132071191</v>
      </c>
      <c r="D496" s="1">
        <v>97.69521325787963</v>
      </c>
      <c r="E496" s="1">
        <v>111.96165139371935</v>
      </c>
      <c r="F496" s="1">
        <v>95.932799101521084</v>
      </c>
      <c r="G496" s="1">
        <v>101.20264176422626</v>
      </c>
      <c r="H496" s="1">
        <v>102.6264770510757</v>
      </c>
      <c r="I496" s="1">
        <v>95.178690934418597</v>
      </c>
      <c r="J496" s="1">
        <v>109.73261611443155</v>
      </c>
      <c r="K496" s="1">
        <v>106.16590636000029</v>
      </c>
      <c r="L496" s="1">
        <v>99.646298751507061</v>
      </c>
      <c r="M496" s="1">
        <v>96.715943522481638</v>
      </c>
      <c r="N496" s="1">
        <v>100.04773223105254</v>
      </c>
      <c r="O496" s="1">
        <v>75.131680864937195</v>
      </c>
      <c r="P496" s="1">
        <v>88.308166834935975</v>
      </c>
      <c r="Q496" s="1">
        <v>100</v>
      </c>
      <c r="R496" s="1">
        <v>96.55085330741791</v>
      </c>
      <c r="S496" s="1">
        <v>106.36200937579677</v>
      </c>
      <c r="T496" s="1">
        <v>101.22298999307058</v>
      </c>
      <c r="U496" s="1">
        <v>100.75492416935522</v>
      </c>
      <c r="V496" s="1">
        <v>101.78841483245603</v>
      </c>
      <c r="W496" s="1">
        <v>102.20284750979505</v>
      </c>
      <c r="X496" s="1">
        <v>98.938308797866256</v>
      </c>
      <c r="Y496" s="1">
        <v>96.08436590940407</v>
      </c>
      <c r="Z496" s="1">
        <v>88.223835716342776</v>
      </c>
      <c r="AA496" s="1">
        <v>98.392263599357889</v>
      </c>
      <c r="AB496" s="1">
        <v>81.492991903760696</v>
      </c>
      <c r="AC496" s="1">
        <v>102.12169819441469</v>
      </c>
      <c r="AD496" s="1">
        <v>124.54012374585781</v>
      </c>
      <c r="AE496" s="1">
        <v>96.477710238273431</v>
      </c>
      <c r="AF496" s="1">
        <v>105.42130178599372</v>
      </c>
      <c r="AG496" s="1">
        <v>97.90170708436483</v>
      </c>
      <c r="AH496" s="1">
        <v>98.975330692053802</v>
      </c>
      <c r="AI496" s="1">
        <v>109.16463458768133</v>
      </c>
      <c r="AJ496" s="1">
        <v>101.4355028770963</v>
      </c>
      <c r="AK496" s="1">
        <v>91.955060320742888</v>
      </c>
      <c r="AL496" s="1">
        <v>106.836046667735</v>
      </c>
      <c r="AM496" s="1">
        <v>116.7028707921346</v>
      </c>
      <c r="AN496" s="1">
        <v>102.8225889582061</v>
      </c>
      <c r="AO496" s="1">
        <v>99.132751748821036</v>
      </c>
      <c r="AP496" s="1">
        <v>99.259488992076584</v>
      </c>
      <c r="AQ496" s="1">
        <v>93.558901743626024</v>
      </c>
      <c r="AR496" s="1">
        <v>103.07503787023374</v>
      </c>
      <c r="AS496" s="1">
        <v>98.6003422659997</v>
      </c>
      <c r="AT496" s="1">
        <v>110.98958600736641</v>
      </c>
      <c r="AU496" s="1">
        <v>92.683083360025861</v>
      </c>
      <c r="AV496" s="1">
        <v>99.900323214082661</v>
      </c>
      <c r="AW496" s="1">
        <v>100</v>
      </c>
      <c r="AX496" s="1">
        <v>100</v>
      </c>
      <c r="AY496" s="1">
        <v>100</v>
      </c>
      <c r="AZ496" s="1">
        <v>100</v>
      </c>
      <c r="BA496" s="1">
        <v>100</v>
      </c>
      <c r="BB496" s="1">
        <v>100</v>
      </c>
      <c r="BC496" s="1">
        <v>100</v>
      </c>
      <c r="BD496" s="1">
        <v>100</v>
      </c>
      <c r="BE496" s="1">
        <v>100</v>
      </c>
      <c r="BF496" s="1">
        <v>100</v>
      </c>
      <c r="BG496" s="1">
        <v>100</v>
      </c>
      <c r="BH496" s="1">
        <v>100</v>
      </c>
    </row>
    <row r="497" spans="1:60" x14ac:dyDescent="0.25">
      <c r="A497">
        <f t="shared" si="8"/>
        <v>484</v>
      </c>
      <c r="B497" s="1">
        <v>101.73311242433225</v>
      </c>
      <c r="C497" s="1">
        <v>94.353173132071191</v>
      </c>
      <c r="D497" s="1">
        <v>97.69521325787963</v>
      </c>
      <c r="E497" s="1">
        <v>111.96165139371935</v>
      </c>
      <c r="F497" s="1">
        <v>95.932799101521084</v>
      </c>
      <c r="G497" s="1">
        <v>101.20264176422626</v>
      </c>
      <c r="H497" s="1">
        <v>102.6264770510757</v>
      </c>
      <c r="I497" s="1">
        <v>95.178690934418597</v>
      </c>
      <c r="J497" s="1">
        <v>109.73261611443155</v>
      </c>
      <c r="K497" s="1">
        <v>106.16590636000029</v>
      </c>
      <c r="L497" s="1">
        <v>99.646298751507061</v>
      </c>
      <c r="M497" s="1">
        <v>96.715943522481638</v>
      </c>
      <c r="N497" s="1">
        <v>100.04773223105254</v>
      </c>
      <c r="O497" s="1">
        <v>75.131680864937195</v>
      </c>
      <c r="P497" s="1">
        <v>88.308166834935975</v>
      </c>
      <c r="Q497" s="1">
        <v>100</v>
      </c>
      <c r="R497" s="1">
        <v>96.683396186978783</v>
      </c>
      <c r="S497" s="1">
        <v>106.36200937579677</v>
      </c>
      <c r="T497" s="1">
        <v>101.22298999307058</v>
      </c>
      <c r="U497" s="1">
        <v>100.75492416935522</v>
      </c>
      <c r="V497" s="1">
        <v>101.78841483245603</v>
      </c>
      <c r="W497" s="1">
        <v>102.20284750979505</v>
      </c>
      <c r="X497" s="1">
        <v>98.938308797866256</v>
      </c>
      <c r="Y497" s="1">
        <v>96.08436590940407</v>
      </c>
      <c r="Z497" s="1">
        <v>88.223835716342776</v>
      </c>
      <c r="AA497" s="1">
        <v>98.266050774928644</v>
      </c>
      <c r="AB497" s="1">
        <v>81.492991903760696</v>
      </c>
      <c r="AC497" s="1">
        <v>102.12169819441469</v>
      </c>
      <c r="AD497" s="1">
        <v>124.54012374585781</v>
      </c>
      <c r="AE497" s="1">
        <v>96.477710238273431</v>
      </c>
      <c r="AF497" s="1">
        <v>105.42130178599372</v>
      </c>
      <c r="AG497" s="1">
        <v>98.032421129119911</v>
      </c>
      <c r="AH497" s="1">
        <v>98.975330692053802</v>
      </c>
      <c r="AI497" s="1">
        <v>109.16463458768133</v>
      </c>
      <c r="AJ497" s="1">
        <v>101.4355028770963</v>
      </c>
      <c r="AK497" s="1">
        <v>91.955060320742888</v>
      </c>
      <c r="AL497" s="1">
        <v>106.6990025678483</v>
      </c>
      <c r="AM497" s="1">
        <v>116.7028707921346</v>
      </c>
      <c r="AN497" s="1">
        <v>102.8225889582061</v>
      </c>
      <c r="AO497" s="1">
        <v>99.132751748821036</v>
      </c>
      <c r="AP497" s="1">
        <v>99.259488992076584</v>
      </c>
      <c r="AQ497" s="1">
        <v>93.558901743626024</v>
      </c>
      <c r="AR497" s="1">
        <v>103.07503787023374</v>
      </c>
      <c r="AS497" s="1">
        <v>98.6003422659997</v>
      </c>
      <c r="AT497" s="1">
        <v>110.98958600736641</v>
      </c>
      <c r="AU497" s="1">
        <v>92.683083360025861</v>
      </c>
      <c r="AV497" s="1">
        <v>99.900323214082661</v>
      </c>
      <c r="AW497" s="1">
        <v>100</v>
      </c>
      <c r="AX497" s="1">
        <v>100</v>
      </c>
      <c r="AY497" s="1">
        <v>100</v>
      </c>
      <c r="AZ497" s="1">
        <v>100</v>
      </c>
      <c r="BA497" s="1">
        <v>100</v>
      </c>
      <c r="BB497" s="1">
        <v>100</v>
      </c>
      <c r="BC497" s="1">
        <v>100</v>
      </c>
      <c r="BD497" s="1">
        <v>100</v>
      </c>
      <c r="BE497" s="1">
        <v>100</v>
      </c>
      <c r="BF497" s="1">
        <v>100</v>
      </c>
      <c r="BG497" s="1">
        <v>100</v>
      </c>
      <c r="BH497" s="1">
        <v>100</v>
      </c>
    </row>
    <row r="498" spans="1:60" x14ac:dyDescent="0.25">
      <c r="A498">
        <f t="shared" si="8"/>
        <v>485</v>
      </c>
      <c r="B498" s="1">
        <v>101.73311242433225</v>
      </c>
      <c r="C498" s="1">
        <v>94.353173132071191</v>
      </c>
      <c r="D498" s="1">
        <v>97.69521325787963</v>
      </c>
      <c r="E498" s="1">
        <v>112.68108038477423</v>
      </c>
      <c r="F498" s="1">
        <v>95.932799101521084</v>
      </c>
      <c r="G498" s="1">
        <v>101.20264176422626</v>
      </c>
      <c r="H498" s="1">
        <v>102.6264770510757</v>
      </c>
      <c r="I498" s="1">
        <v>96.024977609600157</v>
      </c>
      <c r="J498" s="1">
        <v>109.73261611443155</v>
      </c>
      <c r="K498" s="1">
        <v>106.16590636000029</v>
      </c>
      <c r="L498" s="1">
        <v>99.646298751507061</v>
      </c>
      <c r="M498" s="1">
        <v>96.715943522481638</v>
      </c>
      <c r="N498" s="1">
        <v>100.04773223105254</v>
      </c>
      <c r="O498" s="1">
        <v>75.131680864937195</v>
      </c>
      <c r="P498" s="1">
        <v>88.308166834935975</v>
      </c>
      <c r="Q498" s="1">
        <v>100</v>
      </c>
      <c r="R498" s="1">
        <v>96.683396186978783</v>
      </c>
      <c r="S498" s="1">
        <v>106.36200937579677</v>
      </c>
      <c r="T498" s="1">
        <v>100.40257369340306</v>
      </c>
      <c r="U498" s="1">
        <v>100.75492416935522</v>
      </c>
      <c r="V498" s="1">
        <v>101.78841483245603</v>
      </c>
      <c r="W498" s="1">
        <v>102.20284750979505</v>
      </c>
      <c r="X498" s="1">
        <v>98.938308797866256</v>
      </c>
      <c r="Y498" s="1">
        <v>96.08436590940407</v>
      </c>
      <c r="Z498" s="1">
        <v>88.223835716342776</v>
      </c>
      <c r="AA498" s="1">
        <v>98.266050774928644</v>
      </c>
      <c r="AB498" s="1">
        <v>81.492991903760696</v>
      </c>
      <c r="AC498" s="1">
        <v>102.12169819441469</v>
      </c>
      <c r="AD498" s="1">
        <v>124.54012374585781</v>
      </c>
      <c r="AE498" s="1">
        <v>96.477710238273431</v>
      </c>
      <c r="AF498" s="1">
        <v>105.42130178599372</v>
      </c>
      <c r="AG498" s="1">
        <v>98.032421129119911</v>
      </c>
      <c r="AH498" s="1">
        <v>98.975330692053802</v>
      </c>
      <c r="AI498" s="1">
        <v>109.16463458768133</v>
      </c>
      <c r="AJ498" s="1">
        <v>101.4355028770963</v>
      </c>
      <c r="AK498" s="1">
        <v>91.209760954173973</v>
      </c>
      <c r="AL498" s="1">
        <v>106.6990025678483</v>
      </c>
      <c r="AM498" s="1">
        <v>116.7028707921346</v>
      </c>
      <c r="AN498" s="1">
        <v>102.8225889582061</v>
      </c>
      <c r="AO498" s="1">
        <v>99.132751748821036</v>
      </c>
      <c r="AP498" s="1">
        <v>99.259488992076584</v>
      </c>
      <c r="AQ498" s="1">
        <v>93.558901743626024</v>
      </c>
      <c r="AR498" s="1">
        <v>103.07503787023374</v>
      </c>
      <c r="AS498" s="1">
        <v>98.6003422659997</v>
      </c>
      <c r="AT498" s="1">
        <v>110.98958600736641</v>
      </c>
      <c r="AU498" s="1">
        <v>92.683083360025861</v>
      </c>
      <c r="AV498" s="1">
        <v>99.900323214082661</v>
      </c>
      <c r="AW498" s="1">
        <v>100</v>
      </c>
      <c r="AX498" s="1">
        <v>100</v>
      </c>
      <c r="AY498" s="1">
        <v>100</v>
      </c>
      <c r="AZ498" s="1">
        <v>100</v>
      </c>
      <c r="BA498" s="1">
        <v>100</v>
      </c>
      <c r="BB498" s="1">
        <v>100</v>
      </c>
      <c r="BC498" s="1">
        <v>100</v>
      </c>
      <c r="BD498" s="1">
        <v>100</v>
      </c>
      <c r="BE498" s="1">
        <v>100</v>
      </c>
      <c r="BF498" s="1">
        <v>100</v>
      </c>
      <c r="BG498" s="1">
        <v>100</v>
      </c>
      <c r="BH498" s="1">
        <v>100</v>
      </c>
    </row>
    <row r="499" spans="1:60" x14ac:dyDescent="0.25">
      <c r="A499">
        <f t="shared" si="8"/>
        <v>486</v>
      </c>
      <c r="B499" s="1">
        <v>101.73311242433225</v>
      </c>
      <c r="C499" s="1">
        <v>94.353173132071191</v>
      </c>
      <c r="D499" s="1">
        <v>97.69521325787963</v>
      </c>
      <c r="E499" s="1">
        <v>113.80841523826528</v>
      </c>
      <c r="F499" s="1">
        <v>95.932799101521084</v>
      </c>
      <c r="G499" s="1">
        <v>101.20264176422626</v>
      </c>
      <c r="H499" s="1">
        <v>102.6264770510757</v>
      </c>
      <c r="I499" s="1">
        <v>97.347855390038021</v>
      </c>
      <c r="J499" s="1">
        <v>109.73261611443155</v>
      </c>
      <c r="K499" s="1">
        <v>106.16590636000029</v>
      </c>
      <c r="L499" s="1">
        <v>99.646298751507061</v>
      </c>
      <c r="M499" s="1">
        <v>96.715943522481638</v>
      </c>
      <c r="N499" s="1">
        <v>100.04773223105254</v>
      </c>
      <c r="O499" s="1">
        <v>75.131680864937195</v>
      </c>
      <c r="P499" s="1">
        <v>88.308166834935975</v>
      </c>
      <c r="Q499" s="1">
        <v>100</v>
      </c>
      <c r="R499" s="1">
        <v>96.683396186978783</v>
      </c>
      <c r="S499" s="1">
        <v>106.36200937579677</v>
      </c>
      <c r="T499" s="1">
        <v>99.118691551916584</v>
      </c>
      <c r="U499" s="1">
        <v>100.75492416935522</v>
      </c>
      <c r="V499" s="1">
        <v>101.78841483245603</v>
      </c>
      <c r="W499" s="1">
        <v>102.20284750979505</v>
      </c>
      <c r="X499" s="1">
        <v>98.938308797866256</v>
      </c>
      <c r="Y499" s="1">
        <v>96.08436590940407</v>
      </c>
      <c r="Z499" s="1">
        <v>88.223835716342776</v>
      </c>
      <c r="AA499" s="1">
        <v>98.266050774928644</v>
      </c>
      <c r="AB499" s="1">
        <v>81.492991903760696</v>
      </c>
      <c r="AC499" s="1">
        <v>102.12169819441469</v>
      </c>
      <c r="AD499" s="1">
        <v>124.54012374585781</v>
      </c>
      <c r="AE499" s="1">
        <v>96.477710238273431</v>
      </c>
      <c r="AF499" s="1">
        <v>105.42130178599372</v>
      </c>
      <c r="AG499" s="1">
        <v>98.032421129119911</v>
      </c>
      <c r="AH499" s="1">
        <v>98.975330692053802</v>
      </c>
      <c r="AI499" s="1">
        <v>109.16463458768133</v>
      </c>
      <c r="AJ499" s="1">
        <v>101.4355028770963</v>
      </c>
      <c r="AK499" s="1">
        <v>90.043430461731532</v>
      </c>
      <c r="AL499" s="1">
        <v>106.6990025678483</v>
      </c>
      <c r="AM499" s="1">
        <v>116.7028707921346</v>
      </c>
      <c r="AN499" s="1">
        <v>102.8225889582061</v>
      </c>
      <c r="AO499" s="1">
        <v>99.132751748821036</v>
      </c>
      <c r="AP499" s="1">
        <v>99.259488992076584</v>
      </c>
      <c r="AQ499" s="1">
        <v>93.558901743626024</v>
      </c>
      <c r="AR499" s="1">
        <v>103.07503787023374</v>
      </c>
      <c r="AS499" s="1">
        <v>98.6003422659997</v>
      </c>
      <c r="AT499" s="1">
        <v>110.98958600736641</v>
      </c>
      <c r="AU499" s="1">
        <v>92.683083360025861</v>
      </c>
      <c r="AV499" s="1">
        <v>99.900323214082661</v>
      </c>
      <c r="AW499" s="1">
        <v>100</v>
      </c>
      <c r="AX499" s="1">
        <v>100</v>
      </c>
      <c r="AY499" s="1">
        <v>100</v>
      </c>
      <c r="AZ499" s="1">
        <v>100</v>
      </c>
      <c r="BA499" s="1">
        <v>100</v>
      </c>
      <c r="BB499" s="1">
        <v>100</v>
      </c>
      <c r="BC499" s="1">
        <v>100</v>
      </c>
      <c r="BD499" s="1">
        <v>100</v>
      </c>
      <c r="BE499" s="1">
        <v>100</v>
      </c>
      <c r="BF499" s="1">
        <v>100</v>
      </c>
      <c r="BG499" s="1">
        <v>100</v>
      </c>
      <c r="BH499" s="1">
        <v>100</v>
      </c>
    </row>
    <row r="500" spans="1:60" x14ac:dyDescent="0.25">
      <c r="A500">
        <f t="shared" si="8"/>
        <v>487</v>
      </c>
      <c r="B500" s="1">
        <v>101.73311242433225</v>
      </c>
      <c r="C500" s="1">
        <v>94.533381955968821</v>
      </c>
      <c r="D500" s="1">
        <v>97.69521325787963</v>
      </c>
      <c r="E500" s="1">
        <v>113.80841523826528</v>
      </c>
      <c r="F500" s="1">
        <v>95.932799101521084</v>
      </c>
      <c r="G500" s="1">
        <v>101.20264176422626</v>
      </c>
      <c r="H500" s="1">
        <v>102.6264770510757</v>
      </c>
      <c r="I500" s="1">
        <v>97.181858294365341</v>
      </c>
      <c r="J500" s="1">
        <v>109.73261611443155</v>
      </c>
      <c r="K500" s="1">
        <v>106.16590636000029</v>
      </c>
      <c r="L500" s="1">
        <v>99.646298751507061</v>
      </c>
      <c r="M500" s="1">
        <v>96.715943522481638</v>
      </c>
      <c r="N500" s="1">
        <v>100.04773223105254</v>
      </c>
      <c r="O500" s="1">
        <v>75.131680864937195</v>
      </c>
      <c r="P500" s="1">
        <v>88.308166834935975</v>
      </c>
      <c r="Q500" s="1">
        <v>100</v>
      </c>
      <c r="R500" s="1">
        <v>96.683396186978783</v>
      </c>
      <c r="S500" s="1">
        <v>106.36200937579677</v>
      </c>
      <c r="T500" s="1">
        <v>99.118691551916584</v>
      </c>
      <c r="U500" s="1">
        <v>100.75492416935522</v>
      </c>
      <c r="V500" s="1">
        <v>101.61484571613995</v>
      </c>
      <c r="W500" s="1">
        <v>102.20284750979505</v>
      </c>
      <c r="X500" s="1">
        <v>98.938308797866256</v>
      </c>
      <c r="Y500" s="1">
        <v>96.08436590940407</v>
      </c>
      <c r="Z500" s="1">
        <v>88.223835716342776</v>
      </c>
      <c r="AA500" s="1">
        <v>98.266050774928644</v>
      </c>
      <c r="AB500" s="1">
        <v>81.492991903760696</v>
      </c>
      <c r="AC500" s="1">
        <v>102.12169819441469</v>
      </c>
      <c r="AD500" s="1">
        <v>124.54012374585781</v>
      </c>
      <c r="AE500" s="1">
        <v>96.477710238273431</v>
      </c>
      <c r="AF500" s="1">
        <v>105.42130178599372</v>
      </c>
      <c r="AG500" s="1">
        <v>98.032421129119911</v>
      </c>
      <c r="AH500" s="1">
        <v>98.975330692053802</v>
      </c>
      <c r="AI500" s="1">
        <v>109.16463458768133</v>
      </c>
      <c r="AJ500" s="1">
        <v>101.4355028770963</v>
      </c>
      <c r="AK500" s="1">
        <v>90.043430461731532</v>
      </c>
      <c r="AL500" s="1">
        <v>106.85835995593942</v>
      </c>
      <c r="AM500" s="1">
        <v>116.7028707921346</v>
      </c>
      <c r="AN500" s="1">
        <v>102.8225889582061</v>
      </c>
      <c r="AO500" s="1">
        <v>99.132751748821036</v>
      </c>
      <c r="AP500" s="1">
        <v>99.259488992076584</v>
      </c>
      <c r="AQ500" s="1">
        <v>93.558901743626024</v>
      </c>
      <c r="AR500" s="1">
        <v>103.07503787023374</v>
      </c>
      <c r="AS500" s="1">
        <v>98.6003422659997</v>
      </c>
      <c r="AT500" s="1">
        <v>110.98958600736641</v>
      </c>
      <c r="AU500" s="1">
        <v>92.683083360025861</v>
      </c>
      <c r="AV500" s="1">
        <v>99.900323214082661</v>
      </c>
      <c r="AW500" s="1">
        <v>100</v>
      </c>
      <c r="AX500" s="1">
        <v>100</v>
      </c>
      <c r="AY500" s="1">
        <v>100</v>
      </c>
      <c r="AZ500" s="1">
        <v>100</v>
      </c>
      <c r="BA500" s="1">
        <v>100</v>
      </c>
      <c r="BB500" s="1">
        <v>100</v>
      </c>
      <c r="BC500" s="1">
        <v>100</v>
      </c>
      <c r="BD500" s="1">
        <v>100</v>
      </c>
      <c r="BE500" s="1">
        <v>100</v>
      </c>
      <c r="BF500" s="1">
        <v>100</v>
      </c>
      <c r="BG500" s="1">
        <v>100</v>
      </c>
      <c r="BH500" s="1">
        <v>100</v>
      </c>
    </row>
    <row r="501" spans="1:60" x14ac:dyDescent="0.25">
      <c r="A501">
        <f t="shared" si="8"/>
        <v>488</v>
      </c>
      <c r="B501" s="1">
        <v>101.73311242433225</v>
      </c>
      <c r="C501" s="1">
        <v>95.535732339111306</v>
      </c>
      <c r="D501" s="1">
        <v>97.69521325787963</v>
      </c>
      <c r="E501" s="1">
        <v>113.80841523826528</v>
      </c>
      <c r="F501" s="1">
        <v>95.932799101521084</v>
      </c>
      <c r="G501" s="1">
        <v>101.20264176422626</v>
      </c>
      <c r="H501" s="1">
        <v>102.6264770510757</v>
      </c>
      <c r="I501" s="1">
        <v>96.258375657674023</v>
      </c>
      <c r="J501" s="1">
        <v>109.73261611443155</v>
      </c>
      <c r="K501" s="1">
        <v>106.16590636000029</v>
      </c>
      <c r="L501" s="1">
        <v>99.646298751507061</v>
      </c>
      <c r="M501" s="1">
        <v>96.715943522481638</v>
      </c>
      <c r="N501" s="1">
        <v>100.04773223105254</v>
      </c>
      <c r="O501" s="1">
        <v>75.131680864937195</v>
      </c>
      <c r="P501" s="1">
        <v>88.308166834935975</v>
      </c>
      <c r="Q501" s="1">
        <v>100</v>
      </c>
      <c r="R501" s="1">
        <v>96.683396186978783</v>
      </c>
      <c r="S501" s="1">
        <v>106.36200937579677</v>
      </c>
      <c r="T501" s="1">
        <v>99.118691551916584</v>
      </c>
      <c r="U501" s="1">
        <v>100.75492416935522</v>
      </c>
      <c r="V501" s="1">
        <v>100.64923806780006</v>
      </c>
      <c r="W501" s="1">
        <v>102.20284750979505</v>
      </c>
      <c r="X501" s="1">
        <v>98.938308797866256</v>
      </c>
      <c r="Y501" s="1">
        <v>96.08436590940407</v>
      </c>
      <c r="Z501" s="1">
        <v>88.223835716342776</v>
      </c>
      <c r="AA501" s="1">
        <v>98.266050774928644</v>
      </c>
      <c r="AB501" s="1">
        <v>81.492991903760696</v>
      </c>
      <c r="AC501" s="1">
        <v>102.12169819441469</v>
      </c>
      <c r="AD501" s="1">
        <v>124.54012374585781</v>
      </c>
      <c r="AE501" s="1">
        <v>96.477710238273431</v>
      </c>
      <c r="AF501" s="1">
        <v>105.42130178599372</v>
      </c>
      <c r="AG501" s="1">
        <v>98.032421129119911</v>
      </c>
      <c r="AH501" s="1">
        <v>98.975330692053802</v>
      </c>
      <c r="AI501" s="1">
        <v>109.16463458768133</v>
      </c>
      <c r="AJ501" s="1">
        <v>101.4355028770963</v>
      </c>
      <c r="AK501" s="1">
        <v>90.043430461731532</v>
      </c>
      <c r="AL501" s="1">
        <v>107.74509985782815</v>
      </c>
      <c r="AM501" s="1">
        <v>116.7028707921346</v>
      </c>
      <c r="AN501" s="1">
        <v>102.8225889582061</v>
      </c>
      <c r="AO501" s="1">
        <v>99.132751748821036</v>
      </c>
      <c r="AP501" s="1">
        <v>99.259488992076584</v>
      </c>
      <c r="AQ501" s="1">
        <v>93.558901743626024</v>
      </c>
      <c r="AR501" s="1">
        <v>103.07503787023374</v>
      </c>
      <c r="AS501" s="1">
        <v>98.6003422659997</v>
      </c>
      <c r="AT501" s="1">
        <v>110.98958600736641</v>
      </c>
      <c r="AU501" s="1">
        <v>92.683083360025861</v>
      </c>
      <c r="AV501" s="1">
        <v>99.900323214082661</v>
      </c>
      <c r="AW501" s="1">
        <v>100</v>
      </c>
      <c r="AX501" s="1">
        <v>100</v>
      </c>
      <c r="AY501" s="1">
        <v>100</v>
      </c>
      <c r="AZ501" s="1">
        <v>100</v>
      </c>
      <c r="BA501" s="1">
        <v>100</v>
      </c>
      <c r="BB501" s="1">
        <v>100</v>
      </c>
      <c r="BC501" s="1">
        <v>100</v>
      </c>
      <c r="BD501" s="1">
        <v>100</v>
      </c>
      <c r="BE501" s="1">
        <v>100</v>
      </c>
      <c r="BF501" s="1">
        <v>100</v>
      </c>
      <c r="BG501" s="1">
        <v>100</v>
      </c>
      <c r="BH501" s="1">
        <v>100</v>
      </c>
    </row>
    <row r="502" spans="1:60" x14ac:dyDescent="0.25">
      <c r="A502">
        <f t="shared" si="8"/>
        <v>489</v>
      </c>
      <c r="B502" s="1">
        <v>101.64089095348881</v>
      </c>
      <c r="C502" s="1">
        <v>95.535732339111306</v>
      </c>
      <c r="D502" s="1">
        <v>97.69521325787963</v>
      </c>
      <c r="E502" s="1">
        <v>113.80841523826528</v>
      </c>
      <c r="F502" s="1">
        <v>95.932799101521084</v>
      </c>
      <c r="G502" s="1">
        <v>101.20264176422626</v>
      </c>
      <c r="H502" s="1">
        <v>102.6264770510757</v>
      </c>
      <c r="I502" s="1">
        <v>96.258375657674023</v>
      </c>
      <c r="J502" s="1">
        <v>109.73261611443155</v>
      </c>
      <c r="K502" s="1">
        <v>106.16590636000029</v>
      </c>
      <c r="L502" s="1">
        <v>99.646298751507061</v>
      </c>
      <c r="M502" s="1">
        <v>96.715943522481638</v>
      </c>
      <c r="N502" s="1">
        <v>100.04773223105254</v>
      </c>
      <c r="O502" s="1">
        <v>75.131680864937195</v>
      </c>
      <c r="P502" s="1">
        <v>88.308166834935975</v>
      </c>
      <c r="Q502" s="1">
        <v>100</v>
      </c>
      <c r="R502" s="1">
        <v>96.683396186978783</v>
      </c>
      <c r="S502" s="1">
        <v>106.45821669058641</v>
      </c>
      <c r="T502" s="1">
        <v>99.118691551916584</v>
      </c>
      <c r="U502" s="1">
        <v>100.75492416935522</v>
      </c>
      <c r="V502" s="1">
        <v>100.64923806780006</v>
      </c>
      <c r="W502" s="1">
        <v>102.20284750979505</v>
      </c>
      <c r="X502" s="1">
        <v>98.938308797866256</v>
      </c>
      <c r="Y502" s="1">
        <v>96.08436590940407</v>
      </c>
      <c r="Z502" s="1">
        <v>88.223835716342776</v>
      </c>
      <c r="AA502" s="1">
        <v>98.266050774928644</v>
      </c>
      <c r="AB502" s="1">
        <v>81.492991903760696</v>
      </c>
      <c r="AC502" s="1">
        <v>102.12169819441469</v>
      </c>
      <c r="AD502" s="1">
        <v>124.54012374585781</v>
      </c>
      <c r="AE502" s="1">
        <v>96.477710238273431</v>
      </c>
      <c r="AF502" s="1">
        <v>105.42130178599372</v>
      </c>
      <c r="AG502" s="1">
        <v>98.032421129119911</v>
      </c>
      <c r="AH502" s="1">
        <v>98.975330692053802</v>
      </c>
      <c r="AI502" s="1">
        <v>109.06567641245347</v>
      </c>
      <c r="AJ502" s="1">
        <v>101.4355028770963</v>
      </c>
      <c r="AK502" s="1">
        <v>90.043430461731532</v>
      </c>
      <c r="AL502" s="1">
        <v>107.84007218910983</v>
      </c>
      <c r="AM502" s="1">
        <v>116.7028707921346</v>
      </c>
      <c r="AN502" s="1">
        <v>102.8225889582061</v>
      </c>
      <c r="AO502" s="1">
        <v>99.132751748821036</v>
      </c>
      <c r="AP502" s="1">
        <v>99.259488992076584</v>
      </c>
      <c r="AQ502" s="1">
        <v>93.558901743626024</v>
      </c>
      <c r="AR502" s="1">
        <v>103.07503787023374</v>
      </c>
      <c r="AS502" s="1">
        <v>98.6003422659997</v>
      </c>
      <c r="AT502" s="1">
        <v>110.98958600736641</v>
      </c>
      <c r="AU502" s="1">
        <v>92.683083360025861</v>
      </c>
      <c r="AV502" s="1">
        <v>99.900323214082661</v>
      </c>
      <c r="AW502" s="1">
        <v>100</v>
      </c>
      <c r="AX502" s="1">
        <v>100</v>
      </c>
      <c r="AY502" s="1">
        <v>100</v>
      </c>
      <c r="AZ502" s="1">
        <v>100</v>
      </c>
      <c r="BA502" s="1">
        <v>100</v>
      </c>
      <c r="BB502" s="1">
        <v>100</v>
      </c>
      <c r="BC502" s="1">
        <v>100</v>
      </c>
      <c r="BD502" s="1">
        <v>100</v>
      </c>
      <c r="BE502" s="1">
        <v>100</v>
      </c>
      <c r="BF502" s="1">
        <v>100</v>
      </c>
      <c r="BG502" s="1">
        <v>100</v>
      </c>
      <c r="BH502" s="1">
        <v>100</v>
      </c>
    </row>
    <row r="503" spans="1:60" x14ac:dyDescent="0.25">
      <c r="A503">
        <f t="shared" si="8"/>
        <v>490</v>
      </c>
      <c r="B503" s="1">
        <v>101.98773281897593</v>
      </c>
      <c r="C503" s="1">
        <v>95.535732339111306</v>
      </c>
      <c r="D503" s="1">
        <v>97.69521325787963</v>
      </c>
      <c r="E503" s="1">
        <v>113.80841523826528</v>
      </c>
      <c r="F503" s="1">
        <v>95.932799101521084</v>
      </c>
      <c r="G503" s="1">
        <v>101.20264176422626</v>
      </c>
      <c r="H503" s="1">
        <v>102.6264770510757</v>
      </c>
      <c r="I503" s="1">
        <v>96.258375657674023</v>
      </c>
      <c r="J503" s="1">
        <v>109.73261611443155</v>
      </c>
      <c r="K503" s="1">
        <v>106.16590636000029</v>
      </c>
      <c r="L503" s="1">
        <v>99.646298751507061</v>
      </c>
      <c r="M503" s="1">
        <v>96.715943522481638</v>
      </c>
      <c r="N503" s="1">
        <v>100.04773223105254</v>
      </c>
      <c r="O503" s="1">
        <v>75.131680864937195</v>
      </c>
      <c r="P503" s="1">
        <v>88.308166834935975</v>
      </c>
      <c r="Q503" s="1">
        <v>100</v>
      </c>
      <c r="R503" s="1">
        <v>96.683396186978783</v>
      </c>
      <c r="S503" s="1">
        <v>106.12534108319474</v>
      </c>
      <c r="T503" s="1">
        <v>99.118691551916584</v>
      </c>
      <c r="U503" s="1">
        <v>100.75492416935522</v>
      </c>
      <c r="V503" s="1">
        <v>100.64923806780006</v>
      </c>
      <c r="W503" s="1">
        <v>102.20284750979505</v>
      </c>
      <c r="X503" s="1">
        <v>98.938308797866256</v>
      </c>
      <c r="Y503" s="1">
        <v>96.08436590940407</v>
      </c>
      <c r="Z503" s="1">
        <v>88.223835716342776</v>
      </c>
      <c r="AA503" s="1">
        <v>98.266050774928644</v>
      </c>
      <c r="AB503" s="1">
        <v>81.492991903760696</v>
      </c>
      <c r="AC503" s="1">
        <v>102.12169819441469</v>
      </c>
      <c r="AD503" s="1">
        <v>124.54012374585781</v>
      </c>
      <c r="AE503" s="1">
        <v>96.477710238273431</v>
      </c>
      <c r="AF503" s="1">
        <v>105.42130178599372</v>
      </c>
      <c r="AG503" s="1">
        <v>98.032421129119911</v>
      </c>
      <c r="AH503" s="1">
        <v>98.975330692053802</v>
      </c>
      <c r="AI503" s="1">
        <v>109.38890657420265</v>
      </c>
      <c r="AJ503" s="1">
        <v>101.4355028770963</v>
      </c>
      <c r="AK503" s="1">
        <v>90.043430461731532</v>
      </c>
      <c r="AL503" s="1">
        <v>107.50287576926519</v>
      </c>
      <c r="AM503" s="1">
        <v>116.7028707921346</v>
      </c>
      <c r="AN503" s="1">
        <v>102.8225889582061</v>
      </c>
      <c r="AO503" s="1">
        <v>99.132751748821036</v>
      </c>
      <c r="AP503" s="1">
        <v>99.259488992076584</v>
      </c>
      <c r="AQ503" s="1">
        <v>93.558901743626024</v>
      </c>
      <c r="AR503" s="1">
        <v>103.07503787023374</v>
      </c>
      <c r="AS503" s="1">
        <v>98.6003422659997</v>
      </c>
      <c r="AT503" s="1">
        <v>110.98958600736641</v>
      </c>
      <c r="AU503" s="1">
        <v>92.683083360025861</v>
      </c>
      <c r="AV503" s="1">
        <v>99.900323214082661</v>
      </c>
      <c r="AW503" s="1">
        <v>100</v>
      </c>
      <c r="AX503" s="1">
        <v>100</v>
      </c>
      <c r="AY503" s="1">
        <v>100</v>
      </c>
      <c r="AZ503" s="1">
        <v>100</v>
      </c>
      <c r="BA503" s="1">
        <v>100</v>
      </c>
      <c r="BB503" s="1">
        <v>100</v>
      </c>
      <c r="BC503" s="1">
        <v>100</v>
      </c>
      <c r="BD503" s="1">
        <v>100</v>
      </c>
      <c r="BE503" s="1">
        <v>100</v>
      </c>
      <c r="BF503" s="1">
        <v>100</v>
      </c>
      <c r="BG503" s="1">
        <v>100</v>
      </c>
      <c r="BH503" s="1">
        <v>100</v>
      </c>
    </row>
    <row r="504" spans="1:60" x14ac:dyDescent="0.25">
      <c r="A504">
        <f t="shared" si="8"/>
        <v>491</v>
      </c>
      <c r="B504" s="1">
        <v>101.98773281897593</v>
      </c>
      <c r="C504" s="1">
        <v>95.535732339111306</v>
      </c>
      <c r="D504" s="1">
        <v>97.69521325787963</v>
      </c>
      <c r="E504" s="1">
        <v>113.80841523826528</v>
      </c>
      <c r="F504" s="1">
        <v>95.932799101521084</v>
      </c>
      <c r="G504" s="1">
        <v>101.20264176422626</v>
      </c>
      <c r="H504" s="1">
        <v>102.6264770510757</v>
      </c>
      <c r="I504" s="1">
        <v>96.258375657674023</v>
      </c>
      <c r="J504" s="1">
        <v>109.73261611443155</v>
      </c>
      <c r="K504" s="1">
        <v>106.16590636000029</v>
      </c>
      <c r="L504" s="1">
        <v>99.646298751507061</v>
      </c>
      <c r="M504" s="1">
        <v>96.715943522481638</v>
      </c>
      <c r="N504" s="1">
        <v>100.04773223105254</v>
      </c>
      <c r="O504" s="1">
        <v>75.131680864937195</v>
      </c>
      <c r="P504" s="1">
        <v>88.673918334767762</v>
      </c>
      <c r="Q504" s="1">
        <v>100</v>
      </c>
      <c r="R504" s="1">
        <v>96.683396186978783</v>
      </c>
      <c r="S504" s="1">
        <v>106.12534108319474</v>
      </c>
      <c r="T504" s="1">
        <v>99.118691551916584</v>
      </c>
      <c r="U504" s="1">
        <v>100.75492416935522</v>
      </c>
      <c r="V504" s="1">
        <v>100.30841015330651</v>
      </c>
      <c r="W504" s="1">
        <v>102.20284750979505</v>
      </c>
      <c r="X504" s="1">
        <v>98.938308797866256</v>
      </c>
      <c r="Y504" s="1">
        <v>95.758995994270919</v>
      </c>
      <c r="Z504" s="1">
        <v>88.223835716342776</v>
      </c>
      <c r="AA504" s="1">
        <v>98.266050774928644</v>
      </c>
      <c r="AB504" s="1">
        <v>81.492991903760696</v>
      </c>
      <c r="AC504" s="1">
        <v>102.12169819441469</v>
      </c>
      <c r="AD504" s="1">
        <v>124.54012374585781</v>
      </c>
      <c r="AE504" s="1">
        <v>96.477710238273431</v>
      </c>
      <c r="AF504" s="1">
        <v>105.42130178599372</v>
      </c>
      <c r="AG504" s="1">
        <v>98.032421129119911</v>
      </c>
      <c r="AH504" s="1">
        <v>98.975330692053802</v>
      </c>
      <c r="AI504" s="1">
        <v>109.38890657420265</v>
      </c>
      <c r="AJ504" s="1">
        <v>101.4355028770963</v>
      </c>
      <c r="AK504" s="1">
        <v>90.043430461731532</v>
      </c>
      <c r="AL504" s="1">
        <v>107.8033220990601</v>
      </c>
      <c r="AM504" s="1">
        <v>116.7028707921346</v>
      </c>
      <c r="AN504" s="1">
        <v>102.8225889582061</v>
      </c>
      <c r="AO504" s="1">
        <v>99.132751748821036</v>
      </c>
      <c r="AP504" s="1">
        <v>99.259488992076584</v>
      </c>
      <c r="AQ504" s="1">
        <v>93.558901743626024</v>
      </c>
      <c r="AR504" s="1">
        <v>103.07503787023374</v>
      </c>
      <c r="AS504" s="1">
        <v>98.6003422659997</v>
      </c>
      <c r="AT504" s="1">
        <v>110.98958600736641</v>
      </c>
      <c r="AU504" s="1">
        <v>92.683083360025861</v>
      </c>
      <c r="AV504" s="1">
        <v>99.900323214082661</v>
      </c>
      <c r="AW504" s="1">
        <v>100</v>
      </c>
      <c r="AX504" s="1">
        <v>100</v>
      </c>
      <c r="AY504" s="1">
        <v>100</v>
      </c>
      <c r="AZ504" s="1">
        <v>100</v>
      </c>
      <c r="BA504" s="1">
        <v>100</v>
      </c>
      <c r="BB504" s="1">
        <v>100</v>
      </c>
      <c r="BC504" s="1">
        <v>100</v>
      </c>
      <c r="BD504" s="1">
        <v>100</v>
      </c>
      <c r="BE504" s="1">
        <v>100</v>
      </c>
      <c r="BF504" s="1">
        <v>100</v>
      </c>
      <c r="BG504" s="1">
        <v>100</v>
      </c>
      <c r="BH504" s="1">
        <v>100</v>
      </c>
    </row>
    <row r="505" spans="1:60" x14ac:dyDescent="0.25">
      <c r="A505">
        <f t="shared" si="8"/>
        <v>492</v>
      </c>
      <c r="B505" s="1">
        <v>101.98773281897593</v>
      </c>
      <c r="C505" s="1">
        <v>95.535732339111306</v>
      </c>
      <c r="D505" s="1">
        <v>97.69521325787963</v>
      </c>
      <c r="E505" s="1">
        <v>113.80841523826528</v>
      </c>
      <c r="F505" s="1">
        <v>95.932799101521084</v>
      </c>
      <c r="G505" s="1">
        <v>101.20264176422626</v>
      </c>
      <c r="H505" s="1">
        <v>102.6264770510757</v>
      </c>
      <c r="I505" s="1">
        <v>96.258375657674023</v>
      </c>
      <c r="J505" s="1">
        <v>109.73261611443155</v>
      </c>
      <c r="K505" s="1">
        <v>106.16590636000029</v>
      </c>
      <c r="L505" s="1">
        <v>99.646298751507061</v>
      </c>
      <c r="M505" s="1">
        <v>96.715943522481638</v>
      </c>
      <c r="N505" s="1">
        <v>100.04773223105254</v>
      </c>
      <c r="O505" s="1">
        <v>75.131680864937195</v>
      </c>
      <c r="P505" s="1">
        <v>87.984671797367014</v>
      </c>
      <c r="Q505" s="1">
        <v>100</v>
      </c>
      <c r="R505" s="1">
        <v>96.683396186978783</v>
      </c>
      <c r="S505" s="1">
        <v>106.12534108319474</v>
      </c>
      <c r="T505" s="1">
        <v>99.118691551916584</v>
      </c>
      <c r="U505" s="1">
        <v>100.75492416935522</v>
      </c>
      <c r="V505" s="1">
        <v>101.05428356103843</v>
      </c>
      <c r="W505" s="1">
        <v>102.20284750979505</v>
      </c>
      <c r="X505" s="1">
        <v>98.938308797866256</v>
      </c>
      <c r="Y505" s="1">
        <v>96.540305101873642</v>
      </c>
      <c r="Z505" s="1">
        <v>88.223835716342776</v>
      </c>
      <c r="AA505" s="1">
        <v>98.266050774928644</v>
      </c>
      <c r="AB505" s="1">
        <v>81.492991903760696</v>
      </c>
      <c r="AC505" s="1">
        <v>102.12169819441469</v>
      </c>
      <c r="AD505" s="1">
        <v>124.54012374585781</v>
      </c>
      <c r="AE505" s="1">
        <v>96.477710238273431</v>
      </c>
      <c r="AF505" s="1">
        <v>105.42130178599372</v>
      </c>
      <c r="AG505" s="1">
        <v>98.032421129119911</v>
      </c>
      <c r="AH505" s="1">
        <v>98.975330692053802</v>
      </c>
      <c r="AI505" s="1">
        <v>109.38890657420265</v>
      </c>
      <c r="AJ505" s="1">
        <v>101.4355028770963</v>
      </c>
      <c r="AK505" s="1">
        <v>90.043430461731532</v>
      </c>
      <c r="AL505" s="1">
        <v>106.9653861211262</v>
      </c>
      <c r="AM505" s="1">
        <v>116.7028707921346</v>
      </c>
      <c r="AN505" s="1">
        <v>102.8225889582061</v>
      </c>
      <c r="AO505" s="1">
        <v>99.132751748821036</v>
      </c>
      <c r="AP505" s="1">
        <v>99.259488992076584</v>
      </c>
      <c r="AQ505" s="1">
        <v>93.558901743626024</v>
      </c>
      <c r="AR505" s="1">
        <v>103.07503787023374</v>
      </c>
      <c r="AS505" s="1">
        <v>98.6003422659997</v>
      </c>
      <c r="AT505" s="1">
        <v>110.98958600736641</v>
      </c>
      <c r="AU505" s="1">
        <v>92.683083360025861</v>
      </c>
      <c r="AV505" s="1">
        <v>99.900323214082661</v>
      </c>
      <c r="AW505" s="1">
        <v>100</v>
      </c>
      <c r="AX505" s="1">
        <v>100</v>
      </c>
      <c r="AY505" s="1">
        <v>100</v>
      </c>
      <c r="AZ505" s="1">
        <v>100</v>
      </c>
      <c r="BA505" s="1">
        <v>100</v>
      </c>
      <c r="BB505" s="1">
        <v>100</v>
      </c>
      <c r="BC505" s="1">
        <v>100</v>
      </c>
      <c r="BD505" s="1">
        <v>100</v>
      </c>
      <c r="BE505" s="1">
        <v>100</v>
      </c>
      <c r="BF505" s="1">
        <v>100</v>
      </c>
      <c r="BG505" s="1">
        <v>100</v>
      </c>
      <c r="BH505" s="1">
        <v>100</v>
      </c>
    </row>
    <row r="506" spans="1:60" x14ac:dyDescent="0.25">
      <c r="A506">
        <f t="shared" si="8"/>
        <v>493</v>
      </c>
      <c r="B506" s="1">
        <v>101.98773281897593</v>
      </c>
      <c r="C506" s="1">
        <v>95.535732339111306</v>
      </c>
      <c r="D506" s="1">
        <v>97.69521325787963</v>
      </c>
      <c r="E506" s="1">
        <v>115.29212135691897</v>
      </c>
      <c r="F506" s="1">
        <v>95.932799101521084</v>
      </c>
      <c r="G506" s="1">
        <v>101.20264176422626</v>
      </c>
      <c r="H506" s="1">
        <v>102.6264770510757</v>
      </c>
      <c r="I506" s="1">
        <v>94.603461596859816</v>
      </c>
      <c r="J506" s="1">
        <v>109.73261611443155</v>
      </c>
      <c r="K506" s="1">
        <v>106.16590636000029</v>
      </c>
      <c r="L506" s="1">
        <v>99.646298751507061</v>
      </c>
      <c r="M506" s="1">
        <v>96.715943522481638</v>
      </c>
      <c r="N506" s="1">
        <v>100.04773223105254</v>
      </c>
      <c r="O506" s="1">
        <v>75.131680864937195</v>
      </c>
      <c r="P506" s="1">
        <v>87.984671797367014</v>
      </c>
      <c r="Q506" s="1">
        <v>100</v>
      </c>
      <c r="R506" s="1">
        <v>96.683396186978783</v>
      </c>
      <c r="S506" s="1">
        <v>106.12534108319474</v>
      </c>
      <c r="T506" s="1">
        <v>97.414601749673011</v>
      </c>
      <c r="U506" s="1">
        <v>100.75492416935522</v>
      </c>
      <c r="V506" s="1">
        <v>101.05428356103843</v>
      </c>
      <c r="W506" s="1">
        <v>102.20284750979505</v>
      </c>
      <c r="X506" s="1">
        <v>98.938308797866256</v>
      </c>
      <c r="Y506" s="1">
        <v>96.540305101873642</v>
      </c>
      <c r="Z506" s="1">
        <v>88.223835716342776</v>
      </c>
      <c r="AA506" s="1">
        <v>98.266050774928644</v>
      </c>
      <c r="AB506" s="1">
        <v>81.492991903760696</v>
      </c>
      <c r="AC506" s="1">
        <v>102.12169819441469</v>
      </c>
      <c r="AD506" s="1">
        <v>124.54012374585781</v>
      </c>
      <c r="AE506" s="1">
        <v>96.477710238273431</v>
      </c>
      <c r="AF506" s="1">
        <v>105.42130178599372</v>
      </c>
      <c r="AG506" s="1">
        <v>98.032421129119911</v>
      </c>
      <c r="AH506" s="1">
        <v>98.975330692053802</v>
      </c>
      <c r="AI506" s="1">
        <v>109.38890657420265</v>
      </c>
      <c r="AJ506" s="1">
        <v>101.4355028770963</v>
      </c>
      <c r="AK506" s="1">
        <v>91.91872820613564</v>
      </c>
      <c r="AL506" s="1">
        <v>106.9653861211262</v>
      </c>
      <c r="AM506" s="1">
        <v>116.7028707921346</v>
      </c>
      <c r="AN506" s="1">
        <v>102.8225889582061</v>
      </c>
      <c r="AO506" s="1">
        <v>99.132751748821036</v>
      </c>
      <c r="AP506" s="1">
        <v>99.259488992076584</v>
      </c>
      <c r="AQ506" s="1">
        <v>93.558901743626024</v>
      </c>
      <c r="AR506" s="1">
        <v>103.07503787023374</v>
      </c>
      <c r="AS506" s="1">
        <v>98.6003422659997</v>
      </c>
      <c r="AT506" s="1">
        <v>110.98958600736641</v>
      </c>
      <c r="AU506" s="1">
        <v>92.683083360025861</v>
      </c>
      <c r="AV506" s="1">
        <v>99.900323214082661</v>
      </c>
      <c r="AW506" s="1">
        <v>100</v>
      </c>
      <c r="AX506" s="1">
        <v>100</v>
      </c>
      <c r="AY506" s="1">
        <v>100</v>
      </c>
      <c r="AZ506" s="1">
        <v>100</v>
      </c>
      <c r="BA506" s="1">
        <v>100</v>
      </c>
      <c r="BB506" s="1">
        <v>100</v>
      </c>
      <c r="BC506" s="1">
        <v>100</v>
      </c>
      <c r="BD506" s="1">
        <v>100</v>
      </c>
      <c r="BE506" s="1">
        <v>100</v>
      </c>
      <c r="BF506" s="1">
        <v>100</v>
      </c>
      <c r="BG506" s="1">
        <v>100</v>
      </c>
      <c r="BH506" s="1">
        <v>100</v>
      </c>
    </row>
    <row r="507" spans="1:60" x14ac:dyDescent="0.25">
      <c r="A507">
        <f t="shared" si="8"/>
        <v>494</v>
      </c>
      <c r="B507" s="1">
        <v>101.98773281897593</v>
      </c>
      <c r="C507" s="1">
        <v>95.535732339111306</v>
      </c>
      <c r="D507" s="1">
        <v>97.69521325787963</v>
      </c>
      <c r="E507" s="1">
        <v>114.88672284814943</v>
      </c>
      <c r="F507" s="1">
        <v>95.932799101521084</v>
      </c>
      <c r="G507" s="1">
        <v>101.20264176422626</v>
      </c>
      <c r="H507" s="1">
        <v>102.6264770510757</v>
      </c>
      <c r="I507" s="1">
        <v>94.973099912141222</v>
      </c>
      <c r="J507" s="1">
        <v>109.73261611443155</v>
      </c>
      <c r="K507" s="1">
        <v>106.16590636000029</v>
      </c>
      <c r="L507" s="1">
        <v>99.646298751507061</v>
      </c>
      <c r="M507" s="1">
        <v>96.715943522481638</v>
      </c>
      <c r="N507" s="1">
        <v>100.04773223105254</v>
      </c>
      <c r="O507" s="1">
        <v>75.131680864937195</v>
      </c>
      <c r="P507" s="1">
        <v>87.984671797367014</v>
      </c>
      <c r="Q507" s="1">
        <v>100</v>
      </c>
      <c r="R507" s="1">
        <v>96.683396186978783</v>
      </c>
      <c r="S507" s="1">
        <v>106.12534108319474</v>
      </c>
      <c r="T507" s="1">
        <v>97.77357323378699</v>
      </c>
      <c r="U507" s="1">
        <v>100.75492416935522</v>
      </c>
      <c r="V507" s="1">
        <v>101.05428356103843</v>
      </c>
      <c r="W507" s="1">
        <v>102.20284750979505</v>
      </c>
      <c r="X507" s="1">
        <v>98.938308797866256</v>
      </c>
      <c r="Y507" s="1">
        <v>96.540305101873642</v>
      </c>
      <c r="Z507" s="1">
        <v>88.223835716342776</v>
      </c>
      <c r="AA507" s="1">
        <v>98.266050774928644</v>
      </c>
      <c r="AB507" s="1">
        <v>81.492991903760696</v>
      </c>
      <c r="AC507" s="1">
        <v>102.12169819441469</v>
      </c>
      <c r="AD507" s="1">
        <v>124.54012374585781</v>
      </c>
      <c r="AE507" s="1">
        <v>96.477710238273431</v>
      </c>
      <c r="AF507" s="1">
        <v>105.42130178599372</v>
      </c>
      <c r="AG507" s="1">
        <v>98.032421129119911</v>
      </c>
      <c r="AH507" s="1">
        <v>98.975330692053802</v>
      </c>
      <c r="AI507" s="1">
        <v>109.38890657420265</v>
      </c>
      <c r="AJ507" s="1">
        <v>101.4355028770963</v>
      </c>
      <c r="AK507" s="1">
        <v>91.595516915509805</v>
      </c>
      <c r="AL507" s="1">
        <v>106.9653861211262</v>
      </c>
      <c r="AM507" s="1">
        <v>116.7028707921346</v>
      </c>
      <c r="AN507" s="1">
        <v>102.8225889582061</v>
      </c>
      <c r="AO507" s="1">
        <v>99.132751748821036</v>
      </c>
      <c r="AP507" s="1">
        <v>99.259488992076584</v>
      </c>
      <c r="AQ507" s="1">
        <v>93.558901743626024</v>
      </c>
      <c r="AR507" s="1">
        <v>103.07503787023374</v>
      </c>
      <c r="AS507" s="1">
        <v>98.6003422659997</v>
      </c>
      <c r="AT507" s="1">
        <v>110.98958600736641</v>
      </c>
      <c r="AU507" s="1">
        <v>92.683083360025861</v>
      </c>
      <c r="AV507" s="1">
        <v>99.900323214082661</v>
      </c>
      <c r="AW507" s="1">
        <v>100</v>
      </c>
      <c r="AX507" s="1">
        <v>100</v>
      </c>
      <c r="AY507" s="1">
        <v>100</v>
      </c>
      <c r="AZ507" s="1">
        <v>100</v>
      </c>
      <c r="BA507" s="1">
        <v>100</v>
      </c>
      <c r="BB507" s="1">
        <v>100</v>
      </c>
      <c r="BC507" s="1">
        <v>100</v>
      </c>
      <c r="BD507" s="1">
        <v>100</v>
      </c>
      <c r="BE507" s="1">
        <v>100</v>
      </c>
      <c r="BF507" s="1">
        <v>100</v>
      </c>
      <c r="BG507" s="1">
        <v>100</v>
      </c>
      <c r="BH507" s="1">
        <v>100</v>
      </c>
    </row>
    <row r="508" spans="1:60" x14ac:dyDescent="0.25">
      <c r="A508">
        <f t="shared" si="8"/>
        <v>495</v>
      </c>
      <c r="B508" s="1">
        <v>101.98773281897593</v>
      </c>
      <c r="C508" s="1">
        <v>95.535732339111306</v>
      </c>
      <c r="D508" s="1">
        <v>97.69521325787963</v>
      </c>
      <c r="E508" s="1">
        <v>116.62559904711564</v>
      </c>
      <c r="F508" s="1">
        <v>95.932799101521084</v>
      </c>
      <c r="G508" s="1">
        <v>101.20264176422626</v>
      </c>
      <c r="H508" s="1">
        <v>102.6264770510757</v>
      </c>
      <c r="I508" s="1">
        <v>94.973099912141222</v>
      </c>
      <c r="J508" s="1">
        <v>109.73261611443155</v>
      </c>
      <c r="K508" s="1">
        <v>106.16590636000029</v>
      </c>
      <c r="L508" s="1">
        <v>99.646298751507061</v>
      </c>
      <c r="M508" s="1">
        <v>96.715943522481638</v>
      </c>
      <c r="N508" s="1">
        <v>100.04773223105254</v>
      </c>
      <c r="O508" s="1">
        <v>75.131680864937195</v>
      </c>
      <c r="P508" s="1">
        <v>87.984671797367014</v>
      </c>
      <c r="Q508" s="1">
        <v>100</v>
      </c>
      <c r="R508" s="1">
        <v>96.683396186978783</v>
      </c>
      <c r="S508" s="1">
        <v>106.12534108319474</v>
      </c>
      <c r="T508" s="1">
        <v>97.77357323378699</v>
      </c>
      <c r="U508" s="1">
        <v>100.75492416935522</v>
      </c>
      <c r="V508" s="1">
        <v>99.055987885661608</v>
      </c>
      <c r="W508" s="1">
        <v>102.20284750979505</v>
      </c>
      <c r="X508" s="1">
        <v>98.938308797866256</v>
      </c>
      <c r="Y508" s="1">
        <v>96.540305101873642</v>
      </c>
      <c r="Z508" s="1">
        <v>88.223835716342776</v>
      </c>
      <c r="AA508" s="1">
        <v>98.266050774928644</v>
      </c>
      <c r="AB508" s="1">
        <v>81.492991903760696</v>
      </c>
      <c r="AC508" s="1">
        <v>102.12169819441469</v>
      </c>
      <c r="AD508" s="1">
        <v>124.54012374585781</v>
      </c>
      <c r="AE508" s="1">
        <v>98.548383220089519</v>
      </c>
      <c r="AF508" s="1">
        <v>105.42130178599372</v>
      </c>
      <c r="AG508" s="1">
        <v>98.032421129119911</v>
      </c>
      <c r="AH508" s="1">
        <v>98.975330692053802</v>
      </c>
      <c r="AI508" s="1">
        <v>109.38890657420265</v>
      </c>
      <c r="AJ508" s="1">
        <v>101.4355028770963</v>
      </c>
      <c r="AK508" s="1">
        <v>89.784263410104344</v>
      </c>
      <c r="AL508" s="1">
        <v>106.9653861211262</v>
      </c>
      <c r="AM508" s="1">
        <v>116.7028707921346</v>
      </c>
      <c r="AN508" s="1">
        <v>102.8225889582061</v>
      </c>
      <c r="AO508" s="1">
        <v>99.132751748821036</v>
      </c>
      <c r="AP508" s="1">
        <v>99.259488992076584</v>
      </c>
      <c r="AQ508" s="1">
        <v>93.558901743626024</v>
      </c>
      <c r="AR508" s="1">
        <v>103.07503787023374</v>
      </c>
      <c r="AS508" s="1">
        <v>98.6003422659997</v>
      </c>
      <c r="AT508" s="1">
        <v>110.98958600736641</v>
      </c>
      <c r="AU508" s="1">
        <v>92.683083360025861</v>
      </c>
      <c r="AV508" s="1">
        <v>99.900323214082661</v>
      </c>
      <c r="AW508" s="1">
        <v>100</v>
      </c>
      <c r="AX508" s="1">
        <v>100</v>
      </c>
      <c r="AY508" s="1">
        <v>100</v>
      </c>
      <c r="AZ508" s="1">
        <v>100</v>
      </c>
      <c r="BA508" s="1">
        <v>100</v>
      </c>
      <c r="BB508" s="1">
        <v>100</v>
      </c>
      <c r="BC508" s="1">
        <v>100</v>
      </c>
      <c r="BD508" s="1">
        <v>100</v>
      </c>
      <c r="BE508" s="1">
        <v>100</v>
      </c>
      <c r="BF508" s="1">
        <v>100</v>
      </c>
      <c r="BG508" s="1">
        <v>100</v>
      </c>
      <c r="BH508" s="1">
        <v>100</v>
      </c>
    </row>
    <row r="509" spans="1:60" x14ac:dyDescent="0.25">
      <c r="A509">
        <f t="shared" si="8"/>
        <v>496</v>
      </c>
      <c r="B509" s="1">
        <v>101.98773281897593</v>
      </c>
      <c r="C509" s="1">
        <v>95.535732339111306</v>
      </c>
      <c r="D509" s="1">
        <v>97.69521325787963</v>
      </c>
      <c r="E509" s="1">
        <v>115.67422313435212</v>
      </c>
      <c r="F509" s="1">
        <v>95.932799101521084</v>
      </c>
      <c r="G509" s="1">
        <v>101.20264176422626</v>
      </c>
      <c r="H509" s="1">
        <v>102.6264770510757</v>
      </c>
      <c r="I509" s="1">
        <v>94.973099912141222</v>
      </c>
      <c r="J509" s="1">
        <v>109.73261611443155</v>
      </c>
      <c r="K509" s="1">
        <v>106.16590636000029</v>
      </c>
      <c r="L509" s="1">
        <v>99.646298751507061</v>
      </c>
      <c r="M509" s="1">
        <v>96.715943522481638</v>
      </c>
      <c r="N509" s="1">
        <v>100.04773223105254</v>
      </c>
      <c r="O509" s="1">
        <v>75.131680864937195</v>
      </c>
      <c r="P509" s="1">
        <v>87.984671797367014</v>
      </c>
      <c r="Q509" s="1">
        <v>100</v>
      </c>
      <c r="R509" s="1">
        <v>96.683396186978783</v>
      </c>
      <c r="S509" s="1">
        <v>106.12534108319474</v>
      </c>
      <c r="T509" s="1">
        <v>97.77357323378699</v>
      </c>
      <c r="U509" s="1">
        <v>100.75492416935522</v>
      </c>
      <c r="V509" s="1">
        <v>99.890540411640856</v>
      </c>
      <c r="W509" s="1">
        <v>102.20284750979505</v>
      </c>
      <c r="X509" s="1">
        <v>98.938308797866256</v>
      </c>
      <c r="Y509" s="1">
        <v>96.540305101873642</v>
      </c>
      <c r="Z509" s="1">
        <v>88.223835716342776</v>
      </c>
      <c r="AA509" s="1">
        <v>98.266050774928644</v>
      </c>
      <c r="AB509" s="1">
        <v>81.492991903760696</v>
      </c>
      <c r="AC509" s="1">
        <v>102.12169819441469</v>
      </c>
      <c r="AD509" s="1">
        <v>124.54012374585781</v>
      </c>
      <c r="AE509" s="1">
        <v>97.744472596663641</v>
      </c>
      <c r="AF509" s="1">
        <v>105.42130178599372</v>
      </c>
      <c r="AG509" s="1">
        <v>98.032421129119911</v>
      </c>
      <c r="AH509" s="1">
        <v>98.975330692053802</v>
      </c>
      <c r="AI509" s="1">
        <v>109.38890657420265</v>
      </c>
      <c r="AJ509" s="1">
        <v>101.4355028770963</v>
      </c>
      <c r="AK509" s="1">
        <v>90.704997420314484</v>
      </c>
      <c r="AL509" s="1">
        <v>106.9653861211262</v>
      </c>
      <c r="AM509" s="1">
        <v>116.7028707921346</v>
      </c>
      <c r="AN509" s="1">
        <v>102.8225889582061</v>
      </c>
      <c r="AO509" s="1">
        <v>99.132751748821036</v>
      </c>
      <c r="AP509" s="1">
        <v>99.259488992076584</v>
      </c>
      <c r="AQ509" s="1">
        <v>93.558901743626024</v>
      </c>
      <c r="AR509" s="1">
        <v>103.07503787023374</v>
      </c>
      <c r="AS509" s="1">
        <v>98.6003422659997</v>
      </c>
      <c r="AT509" s="1">
        <v>110.98958600736641</v>
      </c>
      <c r="AU509" s="1">
        <v>92.683083360025861</v>
      </c>
      <c r="AV509" s="1">
        <v>99.900323214082661</v>
      </c>
      <c r="AW509" s="1">
        <v>100</v>
      </c>
      <c r="AX509" s="1">
        <v>100</v>
      </c>
      <c r="AY509" s="1">
        <v>100</v>
      </c>
      <c r="AZ509" s="1">
        <v>100</v>
      </c>
      <c r="BA509" s="1">
        <v>100</v>
      </c>
      <c r="BB509" s="1">
        <v>100</v>
      </c>
      <c r="BC509" s="1">
        <v>100</v>
      </c>
      <c r="BD509" s="1">
        <v>100</v>
      </c>
      <c r="BE509" s="1">
        <v>100</v>
      </c>
      <c r="BF509" s="1">
        <v>100</v>
      </c>
      <c r="BG509" s="1">
        <v>100</v>
      </c>
      <c r="BH509" s="1">
        <v>100</v>
      </c>
    </row>
    <row r="510" spans="1:60" x14ac:dyDescent="0.25">
      <c r="A510">
        <f t="shared" si="8"/>
        <v>497</v>
      </c>
      <c r="B510" s="1">
        <v>101.98773281897593</v>
      </c>
      <c r="C510" s="1">
        <v>95.535732339111306</v>
      </c>
      <c r="D510" s="1">
        <v>97.69521325787963</v>
      </c>
      <c r="E510" s="1">
        <v>116.4794523887409</v>
      </c>
      <c r="F510" s="1">
        <v>95.932799101521084</v>
      </c>
      <c r="G510" s="1">
        <v>101.20264176422626</v>
      </c>
      <c r="H510" s="1">
        <v>102.6264770510757</v>
      </c>
      <c r="I510" s="1">
        <v>95.953843602013848</v>
      </c>
      <c r="J510" s="1">
        <v>109.73261611443155</v>
      </c>
      <c r="K510" s="1">
        <v>106.16590636000029</v>
      </c>
      <c r="L510" s="1">
        <v>99.646298751507061</v>
      </c>
      <c r="M510" s="1">
        <v>96.715943522481638</v>
      </c>
      <c r="N510" s="1">
        <v>100.04773223105254</v>
      </c>
      <c r="O510" s="1">
        <v>75.131680864937195</v>
      </c>
      <c r="P510" s="1">
        <v>87.984671797367014</v>
      </c>
      <c r="Q510" s="1">
        <v>100</v>
      </c>
      <c r="R510" s="1">
        <v>96.683396186978783</v>
      </c>
      <c r="S510" s="1">
        <v>106.12534108319474</v>
      </c>
      <c r="T510" s="1">
        <v>97.77357323378699</v>
      </c>
      <c r="U510" s="1">
        <v>100.75492416935522</v>
      </c>
      <c r="V510" s="1">
        <v>99.890540411640856</v>
      </c>
      <c r="W510" s="1">
        <v>102.20284750979505</v>
      </c>
      <c r="X510" s="1">
        <v>98.938308797866256</v>
      </c>
      <c r="Y510" s="1">
        <v>96.540305101873642</v>
      </c>
      <c r="Z510" s="1">
        <v>88.223835716342776</v>
      </c>
      <c r="AA510" s="1">
        <v>98.266050774928644</v>
      </c>
      <c r="AB510" s="1">
        <v>81.492991903760696</v>
      </c>
      <c r="AC510" s="1">
        <v>102.12169819441469</v>
      </c>
      <c r="AD510" s="1">
        <v>124.54012374585781</v>
      </c>
      <c r="AE510" s="1">
        <v>97.744472596663641</v>
      </c>
      <c r="AF510" s="1">
        <v>105.42130178599372</v>
      </c>
      <c r="AG510" s="1">
        <v>98.032421129119911</v>
      </c>
      <c r="AH510" s="1">
        <v>98.975330692053802</v>
      </c>
      <c r="AI510" s="1">
        <v>109.38890657420265</v>
      </c>
      <c r="AJ510" s="1">
        <v>101.4355028770963</v>
      </c>
      <c r="AK510" s="1">
        <v>90.704997420314484</v>
      </c>
      <c r="AL510" s="1">
        <v>106.08888725661679</v>
      </c>
      <c r="AM510" s="1">
        <v>116.7028707921346</v>
      </c>
      <c r="AN510" s="1">
        <v>102.8225889582061</v>
      </c>
      <c r="AO510" s="1">
        <v>99.132751748821036</v>
      </c>
      <c r="AP510" s="1">
        <v>99.259488992076584</v>
      </c>
      <c r="AQ510" s="1">
        <v>93.558901743626024</v>
      </c>
      <c r="AR510" s="1">
        <v>103.07503787023374</v>
      </c>
      <c r="AS510" s="1">
        <v>98.6003422659997</v>
      </c>
      <c r="AT510" s="1">
        <v>110.08011192761444</v>
      </c>
      <c r="AU510" s="1">
        <v>92.683083360025861</v>
      </c>
      <c r="AV510" s="1">
        <v>99.900323214082661</v>
      </c>
      <c r="AW510" s="1">
        <v>100</v>
      </c>
      <c r="AX510" s="1">
        <v>100</v>
      </c>
      <c r="AY510" s="1">
        <v>100</v>
      </c>
      <c r="AZ510" s="1">
        <v>100</v>
      </c>
      <c r="BA510" s="1">
        <v>100</v>
      </c>
      <c r="BB510" s="1">
        <v>100</v>
      </c>
      <c r="BC510" s="1">
        <v>100</v>
      </c>
      <c r="BD510" s="1">
        <v>100</v>
      </c>
      <c r="BE510" s="1">
        <v>100</v>
      </c>
      <c r="BF510" s="1">
        <v>100</v>
      </c>
      <c r="BG510" s="1">
        <v>100</v>
      </c>
      <c r="BH510" s="1">
        <v>100</v>
      </c>
    </row>
    <row r="511" spans="1:60" x14ac:dyDescent="0.25">
      <c r="A511">
        <f t="shared" si="8"/>
        <v>498</v>
      </c>
      <c r="B511" s="1">
        <v>101.98773281897593</v>
      </c>
      <c r="C511" s="1">
        <v>95.535732339111306</v>
      </c>
      <c r="D511" s="1">
        <v>97.69521325787963</v>
      </c>
      <c r="E511" s="1">
        <v>112.48310679834741</v>
      </c>
      <c r="F511" s="1">
        <v>95.932799101521084</v>
      </c>
      <c r="G511" s="1">
        <v>101.20264176422626</v>
      </c>
      <c r="H511" s="1">
        <v>102.6264770510757</v>
      </c>
      <c r="I511" s="1">
        <v>92.661720297034435</v>
      </c>
      <c r="J511" s="1">
        <v>109.73261611443155</v>
      </c>
      <c r="K511" s="1">
        <v>106.16590636000029</v>
      </c>
      <c r="L511" s="1">
        <v>99.646298751507061</v>
      </c>
      <c r="M511" s="1">
        <v>96.715943522481638</v>
      </c>
      <c r="N511" s="1">
        <v>100.04773223105254</v>
      </c>
      <c r="O511" s="1">
        <v>75.131680864937195</v>
      </c>
      <c r="P511" s="1">
        <v>87.984671797367014</v>
      </c>
      <c r="Q511" s="1">
        <v>100</v>
      </c>
      <c r="R511" s="1">
        <v>96.683396186978783</v>
      </c>
      <c r="S511" s="1">
        <v>106.12534108319474</v>
      </c>
      <c r="T511" s="1">
        <v>97.77357323378699</v>
      </c>
      <c r="U511" s="1">
        <v>100.75492416935522</v>
      </c>
      <c r="V511" s="1">
        <v>99.890540411640856</v>
      </c>
      <c r="W511" s="1">
        <v>102.20284750979505</v>
      </c>
      <c r="X511" s="1">
        <v>98.938308797866256</v>
      </c>
      <c r="Y511" s="1">
        <v>96.540305101873642</v>
      </c>
      <c r="Z511" s="1">
        <v>88.223835716342776</v>
      </c>
      <c r="AA511" s="1">
        <v>98.266050774928644</v>
      </c>
      <c r="AB511" s="1">
        <v>81.492991903760696</v>
      </c>
      <c r="AC511" s="1">
        <v>102.12169819441469</v>
      </c>
      <c r="AD511" s="1">
        <v>124.54012374585781</v>
      </c>
      <c r="AE511" s="1">
        <v>97.744472596663641</v>
      </c>
      <c r="AF511" s="1">
        <v>105.42130178599372</v>
      </c>
      <c r="AG511" s="1">
        <v>98.032421129119911</v>
      </c>
      <c r="AH511" s="1">
        <v>98.975330692053802</v>
      </c>
      <c r="AI511" s="1">
        <v>109.38890657420265</v>
      </c>
      <c r="AJ511" s="1">
        <v>101.4355028770963</v>
      </c>
      <c r="AK511" s="1">
        <v>90.704997420314484</v>
      </c>
      <c r="AL511" s="1">
        <v>109.80040683070617</v>
      </c>
      <c r="AM511" s="1">
        <v>116.7028707921346</v>
      </c>
      <c r="AN511" s="1">
        <v>102.8225889582061</v>
      </c>
      <c r="AO511" s="1">
        <v>99.132751748821036</v>
      </c>
      <c r="AP511" s="1">
        <v>99.259488992076584</v>
      </c>
      <c r="AQ511" s="1">
        <v>93.558901743626024</v>
      </c>
      <c r="AR511" s="1">
        <v>103.07503787023374</v>
      </c>
      <c r="AS511" s="1">
        <v>98.6003422659997</v>
      </c>
      <c r="AT511" s="1">
        <v>113.65706124889796</v>
      </c>
      <c r="AU511" s="1">
        <v>92.683083360025861</v>
      </c>
      <c r="AV511" s="1">
        <v>99.900323214082661</v>
      </c>
      <c r="AW511" s="1">
        <v>100</v>
      </c>
      <c r="AX511" s="1">
        <v>100</v>
      </c>
      <c r="AY511" s="1">
        <v>100</v>
      </c>
      <c r="AZ511" s="1">
        <v>100</v>
      </c>
      <c r="BA511" s="1">
        <v>100</v>
      </c>
      <c r="BB511" s="1">
        <v>100</v>
      </c>
      <c r="BC511" s="1">
        <v>100</v>
      </c>
      <c r="BD511" s="1">
        <v>100</v>
      </c>
      <c r="BE511" s="1">
        <v>100</v>
      </c>
      <c r="BF511" s="1">
        <v>100</v>
      </c>
      <c r="BG511" s="1">
        <v>100</v>
      </c>
      <c r="BH511" s="1">
        <v>100</v>
      </c>
    </row>
    <row r="512" spans="1:60" x14ac:dyDescent="0.25">
      <c r="A512">
        <f t="shared" si="8"/>
        <v>499</v>
      </c>
      <c r="B512" s="1">
        <v>102.18888546326778</v>
      </c>
      <c r="C512" s="1">
        <v>95.535732339111306</v>
      </c>
      <c r="D512" s="1">
        <v>97.69521325787963</v>
      </c>
      <c r="E512" s="1">
        <v>112.48310679834741</v>
      </c>
      <c r="F512" s="1">
        <v>95.932799101521084</v>
      </c>
      <c r="G512" s="1">
        <v>101.20264176422626</v>
      </c>
      <c r="H512" s="1">
        <v>102.6264770510757</v>
      </c>
      <c r="I512" s="1">
        <v>92.661720297034435</v>
      </c>
      <c r="J512" s="1">
        <v>109.73261611443155</v>
      </c>
      <c r="K512" s="1">
        <v>106.16590636000029</v>
      </c>
      <c r="L512" s="1">
        <v>99.852177970292971</v>
      </c>
      <c r="M512" s="1">
        <v>96.715943522481638</v>
      </c>
      <c r="N512" s="1">
        <v>100.04773223105254</v>
      </c>
      <c r="O512" s="1">
        <v>75.131680864937195</v>
      </c>
      <c r="P512" s="1">
        <v>87.984671797367014</v>
      </c>
      <c r="Q512" s="1">
        <v>100</v>
      </c>
      <c r="R512" s="1">
        <v>96.683396186978783</v>
      </c>
      <c r="S512" s="1">
        <v>106.12534108319474</v>
      </c>
      <c r="T512" s="1">
        <v>97.77357323378699</v>
      </c>
      <c r="U512" s="1">
        <v>100.75492416935522</v>
      </c>
      <c r="V512" s="1">
        <v>99.890540411640856</v>
      </c>
      <c r="W512" s="1">
        <v>102.20284750979505</v>
      </c>
      <c r="X512" s="1">
        <v>98.938308797866256</v>
      </c>
      <c r="Y512" s="1">
        <v>96.540305101873642</v>
      </c>
      <c r="Z512" s="1">
        <v>88.223835716342776</v>
      </c>
      <c r="AA512" s="1">
        <v>98.266050774928644</v>
      </c>
      <c r="AB512" s="1">
        <v>81.492991903760696</v>
      </c>
      <c r="AC512" s="1">
        <v>102.12169819441469</v>
      </c>
      <c r="AD512" s="1">
        <v>124.54012374585781</v>
      </c>
      <c r="AE512" s="1">
        <v>97.542391757100617</v>
      </c>
      <c r="AF512" s="1">
        <v>105.42130178599372</v>
      </c>
      <c r="AG512" s="1">
        <v>98.032421129119911</v>
      </c>
      <c r="AH512" s="1">
        <v>98.975330692053802</v>
      </c>
      <c r="AI512" s="1">
        <v>109.38890657420265</v>
      </c>
      <c r="AJ512" s="1">
        <v>101.4355028770963</v>
      </c>
      <c r="AK512" s="1">
        <v>90.704997420314484</v>
      </c>
      <c r="AL512" s="1">
        <v>109.80040683070617</v>
      </c>
      <c r="AM512" s="1">
        <v>116.7028707921346</v>
      </c>
      <c r="AN512" s="1">
        <v>102.8225889582061</v>
      </c>
      <c r="AO512" s="1">
        <v>98.927800725306298</v>
      </c>
      <c r="AP512" s="1">
        <v>99.259488992076584</v>
      </c>
      <c r="AQ512" s="1">
        <v>93.558901743626024</v>
      </c>
      <c r="AR512" s="1">
        <v>103.07503787023374</v>
      </c>
      <c r="AS512" s="1">
        <v>98.6003422659997</v>
      </c>
      <c r="AT512" s="1">
        <v>113.65706124889796</v>
      </c>
      <c r="AU512" s="1">
        <v>92.683083360025861</v>
      </c>
      <c r="AV512" s="1">
        <v>99.900323214082661</v>
      </c>
      <c r="AW512" s="1">
        <v>100</v>
      </c>
      <c r="AX512" s="1">
        <v>100</v>
      </c>
      <c r="AY512" s="1">
        <v>100</v>
      </c>
      <c r="AZ512" s="1">
        <v>100</v>
      </c>
      <c r="BA512" s="1">
        <v>100</v>
      </c>
      <c r="BB512" s="1">
        <v>100</v>
      </c>
      <c r="BC512" s="1">
        <v>100</v>
      </c>
      <c r="BD512" s="1">
        <v>100</v>
      </c>
      <c r="BE512" s="1">
        <v>100</v>
      </c>
      <c r="BF512" s="1">
        <v>100</v>
      </c>
      <c r="BG512" s="1">
        <v>100</v>
      </c>
      <c r="BH512" s="1">
        <v>100</v>
      </c>
    </row>
    <row r="513" spans="1:60" x14ac:dyDescent="0.25">
      <c r="A513">
        <f t="shared" si="8"/>
        <v>500</v>
      </c>
      <c r="B513" s="1">
        <v>102.60507792994918</v>
      </c>
      <c r="C513" s="1">
        <v>95.535732339111306</v>
      </c>
      <c r="D513" s="1">
        <v>97.69521325787963</v>
      </c>
      <c r="E513" s="1">
        <v>112.48310679834741</v>
      </c>
      <c r="F513" s="1">
        <v>95.932799101521084</v>
      </c>
      <c r="G513" s="1">
        <v>101.20264176422626</v>
      </c>
      <c r="H513" s="1">
        <v>102.6264770510757</v>
      </c>
      <c r="I513" s="1">
        <v>92.661720297034435</v>
      </c>
      <c r="J513" s="1">
        <v>109.73261611443155</v>
      </c>
      <c r="K513" s="1">
        <v>106.16590636000029</v>
      </c>
      <c r="L513" s="1">
        <v>100.2781100347997</v>
      </c>
      <c r="M513" s="1">
        <v>96.715943522481638</v>
      </c>
      <c r="N513" s="1">
        <v>100.04773223105254</v>
      </c>
      <c r="O513" s="1">
        <v>75.131680864937195</v>
      </c>
      <c r="P513" s="1">
        <v>87.984671797367014</v>
      </c>
      <c r="Q513" s="1">
        <v>100</v>
      </c>
      <c r="R513" s="1">
        <v>96.683396186978783</v>
      </c>
      <c r="S513" s="1">
        <v>106.12534108319474</v>
      </c>
      <c r="T513" s="1">
        <v>97.77357323378699</v>
      </c>
      <c r="U513" s="1">
        <v>100.75492416935522</v>
      </c>
      <c r="V513" s="1">
        <v>99.890540411640856</v>
      </c>
      <c r="W513" s="1">
        <v>102.20284750979505</v>
      </c>
      <c r="X513" s="1">
        <v>98.938308797866256</v>
      </c>
      <c r="Y513" s="1">
        <v>96.540305101873642</v>
      </c>
      <c r="Z513" s="1">
        <v>88.223835716342776</v>
      </c>
      <c r="AA513" s="1">
        <v>98.266050774928644</v>
      </c>
      <c r="AB513" s="1">
        <v>81.492991903760696</v>
      </c>
      <c r="AC513" s="1">
        <v>102.12169819441469</v>
      </c>
      <c r="AD513" s="1">
        <v>124.54012374585781</v>
      </c>
      <c r="AE513" s="1">
        <v>97.124298610799187</v>
      </c>
      <c r="AF513" s="1">
        <v>105.42130178599372</v>
      </c>
      <c r="AG513" s="1">
        <v>98.032421129119911</v>
      </c>
      <c r="AH513" s="1">
        <v>98.975330692053802</v>
      </c>
      <c r="AI513" s="1">
        <v>109.38890657420265</v>
      </c>
      <c r="AJ513" s="1">
        <v>101.4355028770963</v>
      </c>
      <c r="AK513" s="1">
        <v>90.704997420314484</v>
      </c>
      <c r="AL513" s="1">
        <v>109.80040683070617</v>
      </c>
      <c r="AM513" s="1">
        <v>116.7028707921346</v>
      </c>
      <c r="AN513" s="1">
        <v>102.8225889582061</v>
      </c>
      <c r="AO513" s="1">
        <v>98.503769340419595</v>
      </c>
      <c r="AP513" s="1">
        <v>99.259488992076584</v>
      </c>
      <c r="AQ513" s="1">
        <v>93.558901743626024</v>
      </c>
      <c r="AR513" s="1">
        <v>103.07503787023374</v>
      </c>
      <c r="AS513" s="1">
        <v>98.6003422659997</v>
      </c>
      <c r="AT513" s="1">
        <v>113.65706124889796</v>
      </c>
      <c r="AU513" s="1">
        <v>92.683083360025861</v>
      </c>
      <c r="AV513" s="1">
        <v>99.900323214082661</v>
      </c>
      <c r="AW513" s="1">
        <v>100</v>
      </c>
      <c r="AX513" s="1">
        <v>100</v>
      </c>
      <c r="AY513" s="1">
        <v>100</v>
      </c>
      <c r="AZ513" s="1">
        <v>100</v>
      </c>
      <c r="BA513" s="1">
        <v>100</v>
      </c>
      <c r="BB513" s="1">
        <v>100</v>
      </c>
      <c r="BC513" s="1">
        <v>100</v>
      </c>
      <c r="BD513" s="1">
        <v>100</v>
      </c>
      <c r="BE513" s="1">
        <v>100</v>
      </c>
      <c r="BF513" s="1">
        <v>100</v>
      </c>
      <c r="BG513" s="1">
        <v>100</v>
      </c>
      <c r="BH513" s="1">
        <v>100</v>
      </c>
    </row>
    <row r="514" spans="1:60" x14ac:dyDescent="0.25">
      <c r="A514">
        <f t="shared" si="8"/>
        <v>501</v>
      </c>
      <c r="B514" s="1">
        <f>IF(IFERROR(MATCH(Tabelle11[[#Headers],[Aleix_V]],Spielauswertung!$B502:$E502,0),0)=0,B513,INDEX(Spielauswertung!$AB502:$AE502,MATCH(Tabelle11[[#Headers],[Aleix_V]],Spielauswertung!$B502:$E502,0))+B513)</f>
        <v>103.41093576709842</v>
      </c>
      <c r="C514" s="1">
        <f>IF(IFERROR(MATCH(Tabelle11[[#Headers],[Andres_H]],Spielauswertung!$B502:$E502,0),0)=0,C513,INDEX(Spielauswertung!$AB502:$AE502,MATCH(Tabelle11[[#Headers],[Andres_H]],Spielauswertung!$B502:$E502,0))+C513)</f>
        <v>95.535732339111306</v>
      </c>
      <c r="D514" s="1">
        <f>IF(IFERROR(MATCH(Tabelle11[[#Headers],[Anton_K]],Spielauswertung!$B502:$E502,0),0)=0,D513,INDEX(Spielauswertung!$AB502:$AE502,MATCH(Tabelle11[[#Headers],[Anton_K]],Spielauswertung!$B502:$E502,0))+D513)</f>
        <v>97.69521325787963</v>
      </c>
      <c r="E514" s="1">
        <f>IF(IFERROR(MATCH(Tabelle11[[#Headers],[Bastian_G]],Spielauswertung!$B502:$E502,0),0)=0,E513,INDEX(Spielauswertung!$AB502:$AE502,MATCH(Tabelle11[[#Headers],[Bastian_G]],Spielauswertung!$B502:$E502,0))+E513)</f>
        <v>112.48310679834741</v>
      </c>
      <c r="F514" s="1">
        <f>IF(IFERROR(MATCH(Tabelle11[[#Headers],[Ben_S]],Spielauswertung!$B502:$E502,0),0)=0,F513,INDEX(Spielauswertung!$AB502:$AE502,MATCH(Tabelle11[[#Headers],[Ben_S]],Spielauswertung!$B502:$E502,0))+F513)</f>
        <v>95.932799101521084</v>
      </c>
      <c r="G514" s="1">
        <f>IF(IFERROR(MATCH(Tabelle11[[#Headers],[Benedikt_K]],Spielauswertung!$B502:$E502,0),0)=0,G513,INDEX(Spielauswertung!$AB502:$AE502,MATCH(Tabelle11[[#Headers],[Benedikt_K]],Spielauswertung!$B502:$E502,0))+G513)</f>
        <v>101.20264176422626</v>
      </c>
      <c r="H514" s="1">
        <f>IF(IFERROR(MATCH(Tabelle11[[#Headers],[Benedikt_R]],Spielauswertung!$B502:$E502,0),0)=0,H513,INDEX(Spielauswertung!$AB502:$AE502,MATCH(Tabelle11[[#Headers],[Benedikt_R]],Spielauswertung!$B502:$E502,0))+H513)</f>
        <v>102.6264770510757</v>
      </c>
      <c r="I514" s="1">
        <f>IF(IFERROR(MATCH(Tabelle11[[#Headers],[Carsten_H]],Spielauswertung!$B502:$E502,0),0)=0,I513,INDEX(Spielauswertung!$AB502:$AE502,MATCH(Tabelle11[[#Headers],[Carsten_H]],Spielauswertung!$B502:$E502,0))+I513)</f>
        <v>92.661720297034435</v>
      </c>
      <c r="J514" s="1">
        <f>IF(IFERROR(MATCH(Tabelle11[[#Headers],[Christoph_R]],Spielauswertung!$B502:$E502,0),0)=0,J513,INDEX(Spielauswertung!$AB502:$AE502,MATCH(Tabelle11[[#Headers],[Christoph_R]],Spielauswertung!$B502:$E502,0))+J513)</f>
        <v>109.73261611443155</v>
      </c>
      <c r="K514" s="1">
        <f>IF(IFERROR(MATCH(Tabelle11[[#Headers],[Claudius_J]],Spielauswertung!$B502:$E502,0),0)=0,K513,INDEX(Spielauswertung!$AB502:$AE502,MATCH(Tabelle11[[#Headers],[Claudius_J]],Spielauswertung!$B502:$E502,0))+K513)</f>
        <v>106.16590636000029</v>
      </c>
      <c r="L514" s="1">
        <f>IF(IFERROR(MATCH(Tabelle11[[#Headers],[Daniel_D]],Spielauswertung!$B502:$E502,0),0)=0,L513,INDEX(Spielauswertung!$AB502:$AE502,MATCH(Tabelle11[[#Headers],[Daniel_D]],Spielauswertung!$B502:$E502,0))+L513)</f>
        <v>101.10266791839427</v>
      </c>
      <c r="M514" s="1">
        <f>IF(IFERROR(MATCH(Tabelle11[[#Headers],[David_R]],Spielauswertung!$B502:$E502,0),0)=0,M513,INDEX(Spielauswertung!$AB502:$AE502,MATCH(Tabelle11[[#Headers],[David_R]],Spielauswertung!$B502:$E502,0))+M513)</f>
        <v>96.715943522481638</v>
      </c>
      <c r="N514" s="1">
        <f>IF(IFERROR(MATCH(Tabelle11[[#Headers],[Dennis_P]],Spielauswertung!$B502:$E502,0),0)=0,N513,INDEX(Spielauswertung!$AB502:$AE502,MATCH(Tabelle11[[#Headers],[Dennis_P]],Spielauswertung!$B502:$E502,0))+N513)</f>
        <v>100.04773223105254</v>
      </c>
      <c r="O514" s="1">
        <f>IF(IFERROR(MATCH(Tabelle11[[#Headers],[Dennis_R]],Spielauswertung!$B502:$E502,0),0)=0,O513,INDEX(Spielauswertung!$AB502:$AE502,MATCH(Tabelle11[[#Headers],[Dennis_R]],Spielauswertung!$B502:$E502,0))+O513)</f>
        <v>75.131680864937195</v>
      </c>
      <c r="P514" s="1">
        <f>IF(IFERROR(MATCH(Tabelle11[[#Headers],[Detlef_R]],Spielauswertung!$B502:$E502,0),0)=0,P513,INDEX(Spielauswertung!$AB502:$AE502,MATCH(Tabelle11[[#Headers],[Detlef_R]],Spielauswertung!$B502:$E502,0))+P513)</f>
        <v>87.984671797367014</v>
      </c>
      <c r="Q514" s="1">
        <f>IF(IFERROR(MATCH(Tabelle11[[#Headers],[Dmitrij_M]],Spielauswertung!$B502:$E502,0),0)=0,Q513,INDEX(Spielauswertung!$AB502:$AE502,MATCH(Tabelle11[[#Headers],[Dmitrij_M]],Spielauswertung!$B502:$E502,0))+Q513)</f>
        <v>100</v>
      </c>
      <c r="R514" s="1">
        <f>IF(IFERROR(MATCH(Tabelle11[[#Headers],[Fabian_M]],Spielauswertung!$B502:$E502,0),0)=0,R513,INDEX(Spielauswertung!$AB502:$AE502,MATCH(Tabelle11[[#Headers],[Fabian_M]],Spielauswertung!$B502:$E502,0))+R513)</f>
        <v>96.683396186978783</v>
      </c>
      <c r="S514" s="1">
        <f>IF(IFERROR(MATCH(Tabelle11[[#Headers],[Hannes_S]],Spielauswertung!$B502:$E502,0),0)=0,S513,INDEX(Spielauswertung!$AB502:$AE502,MATCH(Tabelle11[[#Headers],[Hannes_S]],Spielauswertung!$B502:$E502,0))+S513)</f>
        <v>106.12534108319474</v>
      </c>
      <c r="T514" s="1">
        <f>IF(IFERROR(MATCH(Tabelle11[[#Headers],[Jan_B]],Spielauswertung!$B502:$E502,0),0)=0,T513,INDEX(Spielauswertung!$AB502:$AE502,MATCH(Tabelle11[[#Headers],[Jan_B]],Spielauswertung!$B502:$E502,0))+T513)</f>
        <v>97.77357323378699</v>
      </c>
      <c r="U514" s="1">
        <f>IF(IFERROR(MATCH(Tabelle11[[#Headers],[Jan_Hendrik_B]],Spielauswertung!$B502:$E502,0),0)=0,U513,INDEX(Spielauswertung!$AB502:$AE502,MATCH(Tabelle11[[#Headers],[Jan_Hendrik_B]],Spielauswertung!$B502:$E502,0))+U513)</f>
        <v>100.75492416935522</v>
      </c>
      <c r="V514" s="1">
        <f>IF(IFERROR(MATCH(Tabelle11[[#Headers],[Jens_N]],Spielauswertung!$B502:$E502,0),0)=0,V513,INDEX(Spielauswertung!$AB502:$AE502,MATCH(Tabelle11[[#Headers],[Jens_N]],Spielauswertung!$B502:$E502,0))+V513)</f>
        <v>99.890540411640856</v>
      </c>
      <c r="W514" s="1">
        <f>IF(IFERROR(MATCH(Tabelle11[[#Headers],[Johannes_S]],Spielauswertung!$B502:$E502,0),0)=0,W513,INDEX(Spielauswertung!$AB502:$AE502,MATCH(Tabelle11[[#Headers],[Johannes_S]],Spielauswertung!$B502:$E502,0))+W513)</f>
        <v>102.20284750979505</v>
      </c>
      <c r="X514" s="1">
        <f>IF(IFERROR(MATCH(Tabelle11[[#Headers],[Jonathan_F]],Spielauswertung!$B502:$E502,0),0)=0,X513,INDEX(Spielauswertung!$AB502:$AE502,MATCH(Tabelle11[[#Headers],[Jonathan_F]],Spielauswertung!$B502:$E502,0))+X513)</f>
        <v>98.938308797866256</v>
      </c>
      <c r="Y514" s="1">
        <f>IF(IFERROR(MATCH(Tabelle11[[#Headers],[Julius_P]],Spielauswertung!$B502:$E502,0),0)=0,Y513,INDEX(Spielauswertung!$AB502:$AE502,MATCH(Tabelle11[[#Headers],[Julius_P]],Spielauswertung!$B502:$E502,0))+Y513)</f>
        <v>96.540305101873642</v>
      </c>
      <c r="Z514" s="1">
        <f>IF(IFERROR(MATCH(Tabelle11[[#Headers],[Louis_W]],Spielauswertung!$B502:$E502,0),0)=0,Z513,INDEX(Spielauswertung!$AB502:$AE502,MATCH(Tabelle11[[#Headers],[Louis_W]],Spielauswertung!$B502:$E502,0))+Z513)</f>
        <v>87.497452285475362</v>
      </c>
      <c r="AA514" s="1">
        <f>IF(IFERROR(MATCH(Tabelle11[[#Headers],[Lukas_L]],Spielauswertung!$B502:$E502,0),0)=0,AA513,INDEX(Spielauswertung!$AB502:$AE502,MATCH(Tabelle11[[#Headers],[Lukas_L]],Spielauswertung!$B502:$E502,0))+AA513)</f>
        <v>98.266050774928644</v>
      </c>
      <c r="AB514" s="1">
        <f>IF(IFERROR(MATCH(Tabelle11[[#Headers],[Marcin_S]],Spielauswertung!$B502:$E502,0),0)=0,AB513,INDEX(Spielauswertung!$AB502:$AE502,MATCH(Tabelle11[[#Headers],[Marcin_S]],Spielauswertung!$B502:$E502,0))+AB513)</f>
        <v>81.492991903760696</v>
      </c>
      <c r="AC514" s="1">
        <f>IF(IFERROR(MATCH(Tabelle11[[#Headers],[Marco_K]],Spielauswertung!$B502:$E502,0),0)=0,AC513,INDEX(Spielauswertung!$AB502:$AE502,MATCH(Tabelle11[[#Headers],[Marco_K]],Spielauswertung!$B502:$E502,0))+AC513)</f>
        <v>102.12169819441469</v>
      </c>
      <c r="AD514" s="1">
        <f>IF(IFERROR(MATCH(Tabelle11[[#Headers],[Marius_M]],Spielauswertung!$B502:$E502,0),0)=0,AD513,INDEX(Spielauswertung!$AB502:$AE502,MATCH(Tabelle11[[#Headers],[Marius_M]],Spielauswertung!$B502:$E502,0))+AD513)</f>
        <v>124.54012374585781</v>
      </c>
      <c r="AE514" s="1">
        <f>IF(IFERROR(MATCH(Tabelle11[[#Headers],[Marvin_W]],Spielauswertung!$B502:$E502,0),0)=0,AE513,INDEX(Spielauswertung!$AB502:$AE502,MATCH(Tabelle11[[#Headers],[Marvin_W]],Spielauswertung!$B502:$E502,0))+AE513)</f>
        <v>97.124298610799187</v>
      </c>
      <c r="AF514" s="1">
        <f>IF(IFERROR(MATCH(Tabelle11[[#Headers],[Matthias_H]],Spielauswertung!$B502:$E502,0),0)=0,AF513,INDEX(Spielauswertung!$AB502:$AE502,MATCH(Tabelle11[[#Headers],[Matthias_H]],Spielauswertung!$B502:$E502,0))+AF513)</f>
        <v>105.42130178599372</v>
      </c>
      <c r="AG514" s="1">
        <f>IF(IFERROR(MATCH(Tabelle11[[#Headers],[Michael_D]],Spielauswertung!$B502:$E502,0),0)=0,AG513,INDEX(Spielauswertung!$AB502:$AE502,MATCH(Tabelle11[[#Headers],[Michael_D]],Spielauswertung!$B502:$E502,0))+AG513)</f>
        <v>98.032421129119911</v>
      </c>
      <c r="AH514" s="1">
        <f>IF(IFERROR(MATCH(Tabelle11[[#Headers],[Patrick_S]],Spielauswertung!$B502:$E502,0),0)=0,AH513,INDEX(Spielauswertung!$AB502:$AE502,MATCH(Tabelle11[[#Headers],[Patrick_S]],Spielauswertung!$B502:$E502,0))+AH513)</f>
        <v>98.975330692053802</v>
      </c>
      <c r="AI514" s="1">
        <f>IF(IFERROR(MATCH(Tabelle11[[#Headers],[Rano_M]],Spielauswertung!$B502:$E502,0),0)=0,AI513,INDEX(Spielauswertung!$AB502:$AE502,MATCH(Tabelle11[[#Headers],[Rano_M]],Spielauswertung!$B502:$E502,0))+AI513)</f>
        <v>109.38890657420265</v>
      </c>
      <c r="AJ514" s="1">
        <f>IF(IFERROR(MATCH(Tabelle11[[#Headers],[Rene_N]],Spielauswertung!$B502:$E502,0),0)=0,AJ513,INDEX(Spielauswertung!$AB502:$AE502,MATCH(Tabelle11[[#Headers],[Rene_N]],Spielauswertung!$B502:$E502,0))+AJ513)</f>
        <v>101.4355028770963</v>
      </c>
      <c r="AK514" s="1">
        <f>IF(IFERROR(MATCH(Tabelle11[[#Headers],[Rene_P]],Spielauswertung!$B502:$E502,0),0)=0,AK513,INDEX(Spielauswertung!$AB502:$AE502,MATCH(Tabelle11[[#Headers],[Rene_P]],Spielauswertung!$B502:$E502,0))+AK513)</f>
        <v>90.704997420314484</v>
      </c>
      <c r="AL514" s="1">
        <f>IF(IFERROR(MATCH(Tabelle11[[#Headers],[Richard_D]],Spielauswertung!$B502:$E502,0),0)=0,AL513,INDEX(Spielauswertung!$AB502:$AE502,MATCH(Tabelle11[[#Headers],[Richard_D]],Spielauswertung!$B502:$E502,0))+AL513)</f>
        <v>108.89637454082975</v>
      </c>
      <c r="AM514" s="1">
        <f>IF(IFERROR(MATCH(Tabelle11[[#Headers],[Rodrigo_R]],Spielauswertung!$B502:$E502,0),0)=0,AM513,INDEX(Spielauswertung!$AB502:$AE502,MATCH(Tabelle11[[#Headers],[Rodrigo_R]],Spielauswertung!$B502:$E502,0))+AM513)</f>
        <v>116.7028707921346</v>
      </c>
      <c r="AN514" s="1">
        <f>IF(IFERROR(MATCH(Tabelle11[[#Headers],[Sebastian_A]],Spielauswertung!$B502:$E502,0),0)=0,AN513,INDEX(Spielauswertung!$AB502:$AE502,MATCH(Tabelle11[[#Headers],[Sebastian_A]],Spielauswertung!$B502:$E502,0))+AN513)</f>
        <v>102.8225889582061</v>
      </c>
      <c r="AO514" s="1">
        <f>IF(IFERROR(MATCH(Tabelle11[[#Headers],[Sebastian_St]],Spielauswertung!$B502:$E502,0),0)=0,AO513,INDEX(Spielauswertung!$AB502:$AE502,MATCH(Tabelle11[[#Headers],[Sebastian_St]],Spielauswertung!$B502:$E502,0))+AO513)</f>
        <v>98.503769340419595</v>
      </c>
      <c r="AP514" s="1">
        <f>IF(IFERROR(MATCH(Tabelle11[[#Headers],[Simon_U]],Spielauswertung!$B502:$E502,0),0)=0,AP513,INDEX(Spielauswertung!$AB502:$AE502,MATCH(Tabelle11[[#Headers],[Simon_U]],Spielauswertung!$B502:$E502,0))+AP513)</f>
        <v>99.259488992076584</v>
      </c>
      <c r="AQ514" s="1">
        <f>IF(IFERROR(MATCH(Tabelle11[[#Headers],[Steffen_R]],Spielauswertung!$B502:$E502,0),0)=0,AQ513,INDEX(Spielauswertung!$AB502:$AE502,MATCH(Tabelle11[[#Headers],[Steffen_R]],Spielauswertung!$B502:$E502,0))+AQ513)</f>
        <v>93.558901743626024</v>
      </c>
      <c r="AR514" s="1">
        <f>IF(IFERROR(MATCH(Tabelle11[[#Headers],[Tim_R]],Spielauswertung!$B502:$E502,0),0)=0,AR513,INDEX(Spielauswertung!$AB502:$AE502,MATCH(Tabelle11[[#Headers],[Tim_R]],Spielauswertung!$B502:$E502,0))+AR513)</f>
        <v>103.07503787023374</v>
      </c>
      <c r="AS514" s="1">
        <f>IF(IFERROR(MATCH(Tabelle11[[#Headers],[Tobias_S]],Spielauswertung!$B502:$E502,0),0)=0,AS513,INDEX(Spielauswertung!$AB502:$AE502,MATCH(Tabelle11[[#Headers],[Tobias_S]],Spielauswertung!$B502:$E502,0))+AS513)</f>
        <v>98.6003422659997</v>
      </c>
      <c r="AT514" s="1">
        <f>IF(IFERROR(MATCH(Tabelle11[[#Headers],[Tom_R]],Spielauswertung!$B502:$E502,0),0)=0,AT513,INDEX(Spielauswertung!$AB502:$AE502,MATCH(Tabelle11[[#Headers],[Tom_R]],Spielauswertung!$B502:$E502,0))+AT513)</f>
        <v>113.65706124889796</v>
      </c>
      <c r="AU514" s="1">
        <f>IF(IFERROR(MATCH(Tabelle11[[#Headers],[Ton_L]],Spielauswertung!$B502:$E502,0),0)=0,AU513,INDEX(Spielauswertung!$AB502:$AE502,MATCH(Tabelle11[[#Headers],[Ton_L]],Spielauswertung!$B502:$E502,0))+AU513)</f>
        <v>92.683083360025861</v>
      </c>
      <c r="AV514" s="1">
        <f>IF(IFERROR(MATCH(Tabelle11[[#Headers],[Yixin_G]],Spielauswertung!$B502:$E502,0),0)=0,AV513,INDEX(Spielauswertung!$AB502:$AE502,MATCH(Tabelle11[[#Headers],[Yixin_G]],Spielauswertung!$B502:$E502,0))+AV513)</f>
        <v>99.900323214082661</v>
      </c>
      <c r="AW514" s="1">
        <f>IF(IFERROR(MATCH(Tabelle11[[#Headers],[Spalte36]],Spielauswertung!$B502:$E502,0),0)=0,AW513,INDEX(Spielauswertung!$AB502:$AE502,MATCH(Tabelle11[[#Headers],[Spalte36]],Spielauswertung!$B502:$E502,0))+AW513)</f>
        <v>100</v>
      </c>
      <c r="AX514" s="1">
        <f>IF(IFERROR(MATCH(Tabelle11[[#Headers],[Spalte37]],Spielauswertung!$B502:$E502,0),0)=0,AX513,INDEX(Spielauswertung!$AB502:$AE502,MATCH(Tabelle11[[#Headers],[Spalte37]],Spielauswertung!$B502:$E502,0))+AX513)</f>
        <v>100</v>
      </c>
      <c r="AY514" s="1">
        <f>IF(IFERROR(MATCH(Tabelle11[[#Headers],[Spalte38]],Spielauswertung!$B502:$E502,0),0)=0,AY513,INDEX(Spielauswertung!$AB502:$AE502,MATCH(Tabelle11[[#Headers],[Spalte38]],Spielauswertung!$B502:$E502,0))+AY513)</f>
        <v>100</v>
      </c>
      <c r="AZ514" s="1">
        <f>IF(IFERROR(MATCH(Tabelle11[[#Headers],[Spalte39]],Spielauswertung!$B502:$E502,0),0)=0,AZ513,INDEX(Spielauswertung!$AB502:$AE502,MATCH(Tabelle11[[#Headers],[Spalte39]],Spielauswertung!$B502:$E502,0))+AZ513)</f>
        <v>100</v>
      </c>
      <c r="BA514" s="1">
        <f>IF(IFERROR(MATCH(Tabelle11[[#Headers],[Spalte40]],Spielauswertung!$B502:$E502,0),0)=0,BA513,INDEX(Spielauswertung!$AB502:$AE502,MATCH(Tabelle11[[#Headers],[Spalte40]],Spielauswertung!$B502:$E502,0))+BA513)</f>
        <v>100</v>
      </c>
      <c r="BB514" s="1">
        <f>IF(IFERROR(MATCH(Tabelle11[[#Headers],[Spalte41]],Spielauswertung!$B502:$E502,0),0)=0,BB513,INDEX(Spielauswertung!$AB502:$AE502,MATCH(Tabelle11[[#Headers],[Spalte41]],Spielauswertung!$B502:$E502,0))+BB513)</f>
        <v>100</v>
      </c>
      <c r="BC514" s="1">
        <f>IF(IFERROR(MATCH(Tabelle11[[#Headers],[Spalte42]],Spielauswertung!$B502:$E502,0),0)=0,BC513,INDEX(Spielauswertung!$AB502:$AE502,MATCH(Tabelle11[[#Headers],[Spalte42]],Spielauswertung!$B502:$E502,0))+BC513)</f>
        <v>100</v>
      </c>
      <c r="BD514" s="1">
        <f>IF(IFERROR(MATCH(Tabelle11[[#Headers],[Spalte43]],Spielauswertung!$B502:$E502,0),0)=0,BD513,INDEX(Spielauswertung!$AB502:$AE502,MATCH(Tabelle11[[#Headers],[Spalte43]],Spielauswertung!$B502:$E502,0))+BD513)</f>
        <v>100</v>
      </c>
      <c r="BE514" s="1">
        <f>IF(IFERROR(MATCH(Tabelle11[[#Headers],[Spalte44]],Spielauswertung!$B502:$E502,0),0)=0,BE513,INDEX(Spielauswertung!$AB502:$AE502,MATCH(Tabelle11[[#Headers],[Spalte44]],Spielauswertung!$B502:$E502,0))+BE513)</f>
        <v>100</v>
      </c>
      <c r="BF514" s="1">
        <f>IF(IFERROR(MATCH(Tabelle11[[#Headers],[Spalte45]],Spielauswertung!$B502:$E502,0),0)=0,BF513,INDEX(Spielauswertung!$AB502:$AE502,MATCH(Tabelle11[[#Headers],[Spalte45]],Spielauswertung!$B502:$E502,0))+BF513)</f>
        <v>100</v>
      </c>
      <c r="BG514" s="1">
        <f>IF(IFERROR(MATCH(Tabelle11[[#Headers],[Spalte46]],Spielauswertung!$B502:$E502,0),0)=0,BG513,INDEX(Spielauswertung!$AB502:$AE502,MATCH(Tabelle11[[#Headers],[Spalte46]],Spielauswertung!$B502:$E502,0))+BG513)</f>
        <v>100</v>
      </c>
      <c r="BH514" s="1">
        <f>IF(IFERROR(MATCH(Tabelle11[[#Headers],[Spalte47]],Spielauswertung!$B502:$E502,0),0)=0,BH513,INDEX(Spielauswertung!$AB502:$AE502,MATCH(Tabelle11[[#Headers],[Spalte47]],Spielauswertung!$B502:$E502,0))+BH513)</f>
        <v>100</v>
      </c>
    </row>
    <row r="515" spans="1:60" x14ac:dyDescent="0.25">
      <c r="A515">
        <f t="shared" si="8"/>
        <v>502</v>
      </c>
      <c r="B515" s="1">
        <f>IF(IFERROR(MATCH(Tabelle11[[#Headers],[Aleix_V]],Spielauswertung!$B503:$E503,0),0)=0,B514,INDEX(Spielauswertung!$AB503:$AE503,MATCH(Tabelle11[[#Headers],[Aleix_V]],Spielauswertung!$B503:$E503,0))+B514)</f>
        <v>103.41093576709842</v>
      </c>
      <c r="C515" s="1">
        <f>IF(IFERROR(MATCH(Tabelle11[[#Headers],[Andres_H]],Spielauswertung!$B503:$E503,0),0)=0,C514,INDEX(Spielauswertung!$AB503:$AE503,MATCH(Tabelle11[[#Headers],[Andres_H]],Spielauswertung!$B503:$E503,0))+C514)</f>
        <v>95.535732339111306</v>
      </c>
      <c r="D515" s="1">
        <f>IF(IFERROR(MATCH(Tabelle11[[#Headers],[Anton_K]],Spielauswertung!$B503:$E503,0),0)=0,D514,INDEX(Spielauswertung!$AB503:$AE503,MATCH(Tabelle11[[#Headers],[Anton_K]],Spielauswertung!$B503:$E503,0))+D514)</f>
        <v>97.69521325787963</v>
      </c>
      <c r="E515" s="1">
        <f>IF(IFERROR(MATCH(Tabelle11[[#Headers],[Bastian_G]],Spielauswertung!$B503:$E503,0),0)=0,E514,INDEX(Spielauswertung!$AB503:$AE503,MATCH(Tabelle11[[#Headers],[Bastian_G]],Spielauswertung!$B503:$E503,0))+E514)</f>
        <v>112.48310679834741</v>
      </c>
      <c r="F515" s="1">
        <f>IF(IFERROR(MATCH(Tabelle11[[#Headers],[Ben_S]],Spielauswertung!$B503:$E503,0),0)=0,F514,INDEX(Spielauswertung!$AB503:$AE503,MATCH(Tabelle11[[#Headers],[Ben_S]],Spielauswertung!$B503:$E503,0))+F514)</f>
        <v>95.932799101521084</v>
      </c>
      <c r="G515" s="1">
        <f>IF(IFERROR(MATCH(Tabelle11[[#Headers],[Benedikt_K]],Spielauswertung!$B503:$E503,0),0)=0,G514,INDEX(Spielauswertung!$AB503:$AE503,MATCH(Tabelle11[[#Headers],[Benedikt_K]],Spielauswertung!$B503:$E503,0))+G514)</f>
        <v>101.20264176422626</v>
      </c>
      <c r="H515" s="1">
        <f>IF(IFERROR(MATCH(Tabelle11[[#Headers],[Benedikt_R]],Spielauswertung!$B503:$E503,0),0)=0,H514,INDEX(Spielauswertung!$AB503:$AE503,MATCH(Tabelle11[[#Headers],[Benedikt_R]],Spielauswertung!$B503:$E503,0))+H514)</f>
        <v>102.6264770510757</v>
      </c>
      <c r="I515" s="1">
        <f>IF(IFERROR(MATCH(Tabelle11[[#Headers],[Carsten_H]],Spielauswertung!$B503:$E503,0),0)=0,I514,INDEX(Spielauswertung!$AB503:$AE503,MATCH(Tabelle11[[#Headers],[Carsten_H]],Spielauswertung!$B503:$E503,0))+I514)</f>
        <v>92.661720297034435</v>
      </c>
      <c r="J515" s="1">
        <f>IF(IFERROR(MATCH(Tabelle11[[#Headers],[Christoph_R]],Spielauswertung!$B503:$E503,0),0)=0,J514,INDEX(Spielauswertung!$AB503:$AE503,MATCH(Tabelle11[[#Headers],[Christoph_R]],Spielauswertung!$B503:$E503,0))+J514)</f>
        <v>109.73261611443155</v>
      </c>
      <c r="K515" s="1">
        <f>IF(IFERROR(MATCH(Tabelle11[[#Headers],[Claudius_J]],Spielauswertung!$B503:$E503,0),0)=0,K514,INDEX(Spielauswertung!$AB503:$AE503,MATCH(Tabelle11[[#Headers],[Claudius_J]],Spielauswertung!$B503:$E503,0))+K514)</f>
        <v>106.16590636000029</v>
      </c>
      <c r="L515" s="1">
        <f>IF(IFERROR(MATCH(Tabelle11[[#Headers],[Daniel_D]],Spielauswertung!$B503:$E503,0),0)=0,L514,INDEX(Spielauswertung!$AB503:$AE503,MATCH(Tabelle11[[#Headers],[Daniel_D]],Spielauswertung!$B503:$E503,0))+L514)</f>
        <v>102.62931229713953</v>
      </c>
      <c r="M515" s="1">
        <f>IF(IFERROR(MATCH(Tabelle11[[#Headers],[David_R]],Spielauswertung!$B503:$E503,0),0)=0,M514,INDEX(Spielauswertung!$AB503:$AE503,MATCH(Tabelle11[[#Headers],[David_R]],Spielauswertung!$B503:$E503,0))+M514)</f>
        <v>96.715943522481638</v>
      </c>
      <c r="N515" s="1">
        <f>IF(IFERROR(MATCH(Tabelle11[[#Headers],[Dennis_P]],Spielauswertung!$B503:$E503,0),0)=0,N514,INDEX(Spielauswertung!$AB503:$AE503,MATCH(Tabelle11[[#Headers],[Dennis_P]],Spielauswertung!$B503:$E503,0))+N514)</f>
        <v>100.04773223105254</v>
      </c>
      <c r="O515" s="1">
        <f>IF(IFERROR(MATCH(Tabelle11[[#Headers],[Dennis_R]],Spielauswertung!$B503:$E503,0),0)=0,O514,INDEX(Spielauswertung!$AB503:$AE503,MATCH(Tabelle11[[#Headers],[Dennis_R]],Spielauswertung!$B503:$E503,0))+O514)</f>
        <v>75.131680864937195</v>
      </c>
      <c r="P515" s="1">
        <f>IF(IFERROR(MATCH(Tabelle11[[#Headers],[Detlef_R]],Spielauswertung!$B503:$E503,0),0)=0,P514,INDEX(Spielauswertung!$AB503:$AE503,MATCH(Tabelle11[[#Headers],[Detlef_R]],Spielauswertung!$B503:$E503,0))+P514)</f>
        <v>87.984671797367014</v>
      </c>
      <c r="Q515" s="1">
        <f>IF(IFERROR(MATCH(Tabelle11[[#Headers],[Dmitrij_M]],Spielauswertung!$B503:$E503,0),0)=0,Q514,INDEX(Spielauswertung!$AB503:$AE503,MATCH(Tabelle11[[#Headers],[Dmitrij_M]],Spielauswertung!$B503:$E503,0))+Q514)</f>
        <v>100</v>
      </c>
      <c r="R515" s="1">
        <f>IF(IFERROR(MATCH(Tabelle11[[#Headers],[Fabian_M]],Spielauswertung!$B503:$E503,0),0)=0,R514,INDEX(Spielauswertung!$AB503:$AE503,MATCH(Tabelle11[[#Headers],[Fabian_M]],Spielauswertung!$B503:$E503,0))+R514)</f>
        <v>96.683396186978783</v>
      </c>
      <c r="S515" s="1">
        <f>IF(IFERROR(MATCH(Tabelle11[[#Headers],[Hannes_S]],Spielauswertung!$B503:$E503,0),0)=0,S514,INDEX(Spielauswertung!$AB503:$AE503,MATCH(Tabelle11[[#Headers],[Hannes_S]],Spielauswertung!$B503:$E503,0))+S514)</f>
        <v>107.57973282486903</v>
      </c>
      <c r="T515" s="1">
        <f>IF(IFERROR(MATCH(Tabelle11[[#Headers],[Jan_B]],Spielauswertung!$B503:$E503,0),0)=0,T514,INDEX(Spielauswertung!$AB503:$AE503,MATCH(Tabelle11[[#Headers],[Jan_B]],Spielauswertung!$B503:$E503,0))+T514)</f>
        <v>97.77357323378699</v>
      </c>
      <c r="U515" s="1">
        <f>IF(IFERROR(MATCH(Tabelle11[[#Headers],[Jan_Hendrik_B]],Spielauswertung!$B503:$E503,0),0)=0,U514,INDEX(Spielauswertung!$AB503:$AE503,MATCH(Tabelle11[[#Headers],[Jan_Hendrik_B]],Spielauswertung!$B503:$E503,0))+U514)</f>
        <v>100.75492416935522</v>
      </c>
      <c r="V515" s="1">
        <f>IF(IFERROR(MATCH(Tabelle11[[#Headers],[Jens_N]],Spielauswertung!$B503:$E503,0),0)=0,V514,INDEX(Spielauswertung!$AB503:$AE503,MATCH(Tabelle11[[#Headers],[Jens_N]],Spielauswertung!$B503:$E503,0))+V514)</f>
        <v>99.890540411640856</v>
      </c>
      <c r="W515" s="1">
        <f>IF(IFERROR(MATCH(Tabelle11[[#Headers],[Johannes_S]],Spielauswertung!$B503:$E503,0),0)=0,W514,INDEX(Spielauswertung!$AB503:$AE503,MATCH(Tabelle11[[#Headers],[Johannes_S]],Spielauswertung!$B503:$E503,0))+W514)</f>
        <v>102.20284750979505</v>
      </c>
      <c r="X515" s="1">
        <f>IF(IFERROR(MATCH(Tabelle11[[#Headers],[Jonathan_F]],Spielauswertung!$B503:$E503,0),0)=0,X514,INDEX(Spielauswertung!$AB503:$AE503,MATCH(Tabelle11[[#Headers],[Jonathan_F]],Spielauswertung!$B503:$E503,0))+X514)</f>
        <v>98.938308797866256</v>
      </c>
      <c r="Y515" s="1">
        <f>IF(IFERROR(MATCH(Tabelle11[[#Headers],[Julius_P]],Spielauswertung!$B503:$E503,0),0)=0,Y514,INDEX(Spielauswertung!$AB503:$AE503,MATCH(Tabelle11[[#Headers],[Julius_P]],Spielauswertung!$B503:$E503,0))+Y514)</f>
        <v>96.540305101873642</v>
      </c>
      <c r="Z515" s="1">
        <f>IF(IFERROR(MATCH(Tabelle11[[#Headers],[Louis_W]],Spielauswertung!$B503:$E503,0),0)=0,Z514,INDEX(Spielauswertung!$AB503:$AE503,MATCH(Tabelle11[[#Headers],[Louis_W]],Spielauswertung!$B503:$E503,0))+Z514)</f>
        <v>87.497452285475362</v>
      </c>
      <c r="AA515" s="1">
        <f>IF(IFERROR(MATCH(Tabelle11[[#Headers],[Lukas_L]],Spielauswertung!$B503:$E503,0),0)=0,AA514,INDEX(Spielauswertung!$AB503:$AE503,MATCH(Tabelle11[[#Headers],[Lukas_L]],Spielauswertung!$B503:$E503,0))+AA514)</f>
        <v>98.266050774928644</v>
      </c>
      <c r="AB515" s="1">
        <f>IF(IFERROR(MATCH(Tabelle11[[#Headers],[Marcin_S]],Spielauswertung!$B503:$E503,0),0)=0,AB514,INDEX(Spielauswertung!$AB503:$AE503,MATCH(Tabelle11[[#Headers],[Marcin_S]],Spielauswertung!$B503:$E503,0))+AB514)</f>
        <v>81.492991903760696</v>
      </c>
      <c r="AC515" s="1">
        <f>IF(IFERROR(MATCH(Tabelle11[[#Headers],[Marco_K]],Spielauswertung!$B503:$E503,0),0)=0,AC514,INDEX(Spielauswertung!$AB503:$AE503,MATCH(Tabelle11[[#Headers],[Marco_K]],Spielauswertung!$B503:$E503,0))+AC514)</f>
        <v>102.12169819441469</v>
      </c>
      <c r="AD515" s="1">
        <f>IF(IFERROR(MATCH(Tabelle11[[#Headers],[Marius_M]],Spielauswertung!$B503:$E503,0),0)=0,AD514,INDEX(Spielauswertung!$AB503:$AE503,MATCH(Tabelle11[[#Headers],[Marius_M]],Spielauswertung!$B503:$E503,0))+AD514)</f>
        <v>124.54012374585781</v>
      </c>
      <c r="AE515" s="1">
        <f>IF(IFERROR(MATCH(Tabelle11[[#Headers],[Marvin_W]],Spielauswertung!$B503:$E503,0),0)=0,AE514,INDEX(Spielauswertung!$AB503:$AE503,MATCH(Tabelle11[[#Headers],[Marvin_W]],Spielauswertung!$B503:$E503,0))+AE514)</f>
        <v>95.718949148048353</v>
      </c>
      <c r="AF515" s="1">
        <f>IF(IFERROR(MATCH(Tabelle11[[#Headers],[Matthias_H]],Spielauswertung!$B503:$E503,0),0)=0,AF514,INDEX(Spielauswertung!$AB503:$AE503,MATCH(Tabelle11[[#Headers],[Matthias_H]],Spielauswertung!$B503:$E503,0))+AF514)</f>
        <v>105.42130178599372</v>
      </c>
      <c r="AG515" s="1">
        <f>IF(IFERROR(MATCH(Tabelle11[[#Headers],[Michael_D]],Spielauswertung!$B503:$E503,0),0)=0,AG514,INDEX(Spielauswertung!$AB503:$AE503,MATCH(Tabelle11[[#Headers],[Michael_D]],Spielauswertung!$B503:$E503,0))+AG514)</f>
        <v>98.032421129119911</v>
      </c>
      <c r="AH515" s="1">
        <f>IF(IFERROR(MATCH(Tabelle11[[#Headers],[Patrick_S]],Spielauswertung!$B503:$E503,0),0)=0,AH514,INDEX(Spielauswertung!$AB503:$AE503,MATCH(Tabelle11[[#Headers],[Patrick_S]],Spielauswertung!$B503:$E503,0))+AH514)</f>
        <v>98.975330692053802</v>
      </c>
      <c r="AI515" s="1">
        <f>IF(IFERROR(MATCH(Tabelle11[[#Headers],[Rano_M]],Spielauswertung!$B503:$E503,0),0)=0,AI514,INDEX(Spielauswertung!$AB503:$AE503,MATCH(Tabelle11[[#Headers],[Rano_M]],Spielauswertung!$B503:$E503,0))+AI514)</f>
        <v>109.38890657420265</v>
      </c>
      <c r="AJ515" s="1">
        <f>IF(IFERROR(MATCH(Tabelle11[[#Headers],[Rene_N]],Spielauswertung!$B503:$E503,0),0)=0,AJ514,INDEX(Spielauswertung!$AB503:$AE503,MATCH(Tabelle11[[#Headers],[Rene_N]],Spielauswertung!$B503:$E503,0))+AJ514)</f>
        <v>101.4355028770963</v>
      </c>
      <c r="AK515" s="1">
        <f>IF(IFERROR(MATCH(Tabelle11[[#Headers],[Rene_P]],Spielauswertung!$B503:$E503,0),0)=0,AK514,INDEX(Spielauswertung!$AB503:$AE503,MATCH(Tabelle11[[#Headers],[Rene_P]],Spielauswertung!$B503:$E503,0))+AK514)</f>
        <v>90.704997420314484</v>
      </c>
      <c r="AL515" s="1">
        <f>IF(IFERROR(MATCH(Tabelle11[[#Headers],[Richard_D]],Spielauswertung!$B503:$E503,0),0)=0,AL514,INDEX(Spielauswertung!$AB503:$AE503,MATCH(Tabelle11[[#Headers],[Richard_D]],Spielauswertung!$B503:$E503,0))+AL514)</f>
        <v>107.32068788316104</v>
      </c>
      <c r="AM515" s="1">
        <f>IF(IFERROR(MATCH(Tabelle11[[#Headers],[Rodrigo_R]],Spielauswertung!$B503:$E503,0),0)=0,AM514,INDEX(Spielauswertung!$AB503:$AE503,MATCH(Tabelle11[[#Headers],[Rodrigo_R]],Spielauswertung!$B503:$E503,0))+AM514)</f>
        <v>116.7028707921346</v>
      </c>
      <c r="AN515" s="1">
        <f>IF(IFERROR(MATCH(Tabelle11[[#Headers],[Sebastian_A]],Spielauswertung!$B503:$E503,0),0)=0,AN514,INDEX(Spielauswertung!$AB503:$AE503,MATCH(Tabelle11[[#Headers],[Sebastian_A]],Spielauswertung!$B503:$E503,0))+AN514)</f>
        <v>102.8225889582061</v>
      </c>
      <c r="AO515" s="1">
        <f>IF(IFERROR(MATCH(Tabelle11[[#Headers],[Sebastian_St]],Spielauswertung!$B503:$E503,0),0)=0,AO514,INDEX(Spielauswertung!$AB503:$AE503,MATCH(Tabelle11[[#Headers],[Sebastian_St]],Spielauswertung!$B503:$E503,0))+AO514)</f>
        <v>98.503769340419595</v>
      </c>
      <c r="AP515" s="1">
        <f>IF(IFERROR(MATCH(Tabelle11[[#Headers],[Simon_U]],Spielauswertung!$B503:$E503,0),0)=0,AP514,INDEX(Spielauswertung!$AB503:$AE503,MATCH(Tabelle11[[#Headers],[Simon_U]],Spielauswertung!$B503:$E503,0))+AP514)</f>
        <v>99.259488992076584</v>
      </c>
      <c r="AQ515" s="1">
        <f>IF(IFERROR(MATCH(Tabelle11[[#Headers],[Steffen_R]],Spielauswertung!$B503:$E503,0),0)=0,AQ514,INDEX(Spielauswertung!$AB503:$AE503,MATCH(Tabelle11[[#Headers],[Steffen_R]],Spielauswertung!$B503:$E503,0))+AQ514)</f>
        <v>93.558901743626024</v>
      </c>
      <c r="AR515" s="1">
        <f>IF(IFERROR(MATCH(Tabelle11[[#Headers],[Tim_R]],Spielauswertung!$B503:$E503,0),0)=0,AR514,INDEX(Spielauswertung!$AB503:$AE503,MATCH(Tabelle11[[#Headers],[Tim_R]],Spielauswertung!$B503:$E503,0))+AR514)</f>
        <v>103.07503787023374</v>
      </c>
      <c r="AS515" s="1">
        <f>IF(IFERROR(MATCH(Tabelle11[[#Headers],[Tobias_S]],Spielauswertung!$B503:$E503,0),0)=0,AS514,INDEX(Spielauswertung!$AB503:$AE503,MATCH(Tabelle11[[#Headers],[Tobias_S]],Spielauswertung!$B503:$E503,0))+AS514)</f>
        <v>98.6003422659997</v>
      </c>
      <c r="AT515" s="1">
        <f>IF(IFERROR(MATCH(Tabelle11[[#Headers],[Tom_R]],Spielauswertung!$B503:$E503,0),0)=0,AT514,INDEX(Spielauswertung!$AB503:$AE503,MATCH(Tabelle11[[#Headers],[Tom_R]],Spielauswertung!$B503:$E503,0))+AT514)</f>
        <v>113.65706124889796</v>
      </c>
      <c r="AU515" s="1">
        <f>IF(IFERROR(MATCH(Tabelle11[[#Headers],[Ton_L]],Spielauswertung!$B503:$E503,0),0)=0,AU514,INDEX(Spielauswertung!$AB503:$AE503,MATCH(Tabelle11[[#Headers],[Ton_L]],Spielauswertung!$B503:$E503,0))+AU514)</f>
        <v>92.683083360025861</v>
      </c>
      <c r="AV515" s="1">
        <f>IF(IFERROR(MATCH(Tabelle11[[#Headers],[Yixin_G]],Spielauswertung!$B503:$E503,0),0)=0,AV514,INDEX(Spielauswertung!$AB503:$AE503,MATCH(Tabelle11[[#Headers],[Yixin_G]],Spielauswertung!$B503:$E503,0))+AV514)</f>
        <v>99.900323214082661</v>
      </c>
      <c r="AW515" s="1">
        <f>IF(IFERROR(MATCH(Tabelle11[[#Headers],[Spalte36]],Spielauswertung!$B503:$E503,0),0)=0,AW514,INDEX(Spielauswertung!$AB503:$AE503,MATCH(Tabelle11[[#Headers],[Spalte36]],Spielauswertung!$B503:$E503,0))+AW514)</f>
        <v>100</v>
      </c>
      <c r="AX515" s="1">
        <f>IF(IFERROR(MATCH(Tabelle11[[#Headers],[Spalte37]],Spielauswertung!$B503:$E503,0),0)=0,AX514,INDEX(Spielauswertung!$AB503:$AE503,MATCH(Tabelle11[[#Headers],[Spalte37]],Spielauswertung!$B503:$E503,0))+AX514)</f>
        <v>100</v>
      </c>
      <c r="AY515" s="1">
        <f>IF(IFERROR(MATCH(Tabelle11[[#Headers],[Spalte38]],Spielauswertung!$B503:$E503,0),0)=0,AY514,INDEX(Spielauswertung!$AB503:$AE503,MATCH(Tabelle11[[#Headers],[Spalte38]],Spielauswertung!$B503:$E503,0))+AY514)</f>
        <v>100</v>
      </c>
      <c r="AZ515" s="1">
        <f>IF(IFERROR(MATCH(Tabelle11[[#Headers],[Spalte39]],Spielauswertung!$B503:$E503,0),0)=0,AZ514,INDEX(Spielauswertung!$AB503:$AE503,MATCH(Tabelle11[[#Headers],[Spalte39]],Spielauswertung!$B503:$E503,0))+AZ514)</f>
        <v>100</v>
      </c>
      <c r="BA515" s="1">
        <f>IF(IFERROR(MATCH(Tabelle11[[#Headers],[Spalte40]],Spielauswertung!$B503:$E503,0),0)=0,BA514,INDEX(Spielauswertung!$AB503:$AE503,MATCH(Tabelle11[[#Headers],[Spalte40]],Spielauswertung!$B503:$E503,0))+BA514)</f>
        <v>100</v>
      </c>
      <c r="BB515" s="1">
        <f>IF(IFERROR(MATCH(Tabelle11[[#Headers],[Spalte41]],Spielauswertung!$B503:$E503,0),0)=0,BB514,INDEX(Spielauswertung!$AB503:$AE503,MATCH(Tabelle11[[#Headers],[Spalte41]],Spielauswertung!$B503:$E503,0))+BB514)</f>
        <v>100</v>
      </c>
      <c r="BC515" s="1">
        <f>IF(IFERROR(MATCH(Tabelle11[[#Headers],[Spalte42]],Spielauswertung!$B503:$E503,0),0)=0,BC514,INDEX(Spielauswertung!$AB503:$AE503,MATCH(Tabelle11[[#Headers],[Spalte42]],Spielauswertung!$B503:$E503,0))+BC514)</f>
        <v>100</v>
      </c>
      <c r="BD515" s="1">
        <f>IF(IFERROR(MATCH(Tabelle11[[#Headers],[Spalte43]],Spielauswertung!$B503:$E503,0),0)=0,BD514,INDEX(Spielauswertung!$AB503:$AE503,MATCH(Tabelle11[[#Headers],[Spalte43]],Spielauswertung!$B503:$E503,0))+BD514)</f>
        <v>100</v>
      </c>
      <c r="BE515" s="1">
        <f>IF(IFERROR(MATCH(Tabelle11[[#Headers],[Spalte44]],Spielauswertung!$B503:$E503,0),0)=0,BE514,INDEX(Spielauswertung!$AB503:$AE503,MATCH(Tabelle11[[#Headers],[Spalte44]],Spielauswertung!$B503:$E503,0))+BE514)</f>
        <v>100</v>
      </c>
      <c r="BF515" s="1">
        <f>IF(IFERROR(MATCH(Tabelle11[[#Headers],[Spalte45]],Spielauswertung!$B503:$E503,0),0)=0,BF514,INDEX(Spielauswertung!$AB503:$AE503,MATCH(Tabelle11[[#Headers],[Spalte45]],Spielauswertung!$B503:$E503,0))+BF514)</f>
        <v>100</v>
      </c>
      <c r="BG515" s="1">
        <f>IF(IFERROR(MATCH(Tabelle11[[#Headers],[Spalte46]],Spielauswertung!$B503:$E503,0),0)=0,BG514,INDEX(Spielauswertung!$AB503:$AE503,MATCH(Tabelle11[[#Headers],[Spalte46]],Spielauswertung!$B503:$E503,0))+BG514)</f>
        <v>100</v>
      </c>
      <c r="BH515" s="1">
        <f>IF(IFERROR(MATCH(Tabelle11[[#Headers],[Spalte47]],Spielauswertung!$B503:$E503,0),0)=0,BH514,INDEX(Spielauswertung!$AB503:$AE503,MATCH(Tabelle11[[#Headers],[Spalte47]],Spielauswertung!$B503:$E503,0))+BH514)</f>
        <v>100</v>
      </c>
    </row>
    <row r="516" spans="1:60" x14ac:dyDescent="0.25">
      <c r="A516">
        <f t="shared" si="8"/>
        <v>503</v>
      </c>
      <c r="B516" s="1">
        <f>IF(IFERROR(MATCH(Tabelle11[[#Headers],[Aleix_V]],Spielauswertung!$B504:$E504,0),0)=0,B515,INDEX(Spielauswertung!$AB504:$AE504,MATCH(Tabelle11[[#Headers],[Aleix_V]],Spielauswertung!$B504:$E504,0))+B515)</f>
        <v>103.41093576709842</v>
      </c>
      <c r="C516" s="1">
        <f>IF(IFERROR(MATCH(Tabelle11[[#Headers],[Andres_H]],Spielauswertung!$B504:$E504,0),0)=0,C515,INDEX(Spielauswertung!$AB504:$AE504,MATCH(Tabelle11[[#Headers],[Andres_H]],Spielauswertung!$B504:$E504,0))+C515)</f>
        <v>95.535732339111306</v>
      </c>
      <c r="D516" s="1">
        <f>IF(IFERROR(MATCH(Tabelle11[[#Headers],[Anton_K]],Spielauswertung!$B504:$E504,0),0)=0,D515,INDEX(Spielauswertung!$AB504:$AE504,MATCH(Tabelle11[[#Headers],[Anton_K]],Spielauswertung!$B504:$E504,0))+D515)</f>
        <v>97.69521325787963</v>
      </c>
      <c r="E516" s="1">
        <f>IF(IFERROR(MATCH(Tabelle11[[#Headers],[Bastian_G]],Spielauswertung!$B504:$E504,0),0)=0,E515,INDEX(Spielauswertung!$AB504:$AE504,MATCH(Tabelle11[[#Headers],[Bastian_G]],Spielauswertung!$B504:$E504,0))+E515)</f>
        <v>112.48310679834741</v>
      </c>
      <c r="F516" s="1">
        <f>IF(IFERROR(MATCH(Tabelle11[[#Headers],[Ben_S]],Spielauswertung!$B504:$E504,0),0)=0,F515,INDEX(Spielauswertung!$AB504:$AE504,MATCH(Tabelle11[[#Headers],[Ben_S]],Spielauswertung!$B504:$E504,0))+F515)</f>
        <v>95.932799101521084</v>
      </c>
      <c r="G516" s="1">
        <f>IF(IFERROR(MATCH(Tabelle11[[#Headers],[Benedikt_K]],Spielauswertung!$B504:$E504,0),0)=0,G515,INDEX(Spielauswertung!$AB504:$AE504,MATCH(Tabelle11[[#Headers],[Benedikt_K]],Spielauswertung!$B504:$E504,0))+G515)</f>
        <v>101.20264176422626</v>
      </c>
      <c r="H516" s="1">
        <f>IF(IFERROR(MATCH(Tabelle11[[#Headers],[Benedikt_R]],Spielauswertung!$B504:$E504,0),0)=0,H515,INDEX(Spielauswertung!$AB504:$AE504,MATCH(Tabelle11[[#Headers],[Benedikt_R]],Spielauswertung!$B504:$E504,0))+H515)</f>
        <v>102.6264770510757</v>
      </c>
      <c r="I516" s="1">
        <f>IF(IFERROR(MATCH(Tabelle11[[#Headers],[Carsten_H]],Spielauswertung!$B504:$E504,0),0)=0,I515,INDEX(Spielauswertung!$AB504:$AE504,MATCH(Tabelle11[[#Headers],[Carsten_H]],Spielauswertung!$B504:$E504,0))+I515)</f>
        <v>92.661720297034435</v>
      </c>
      <c r="J516" s="1">
        <f>IF(IFERROR(MATCH(Tabelle11[[#Headers],[Christoph_R]],Spielauswertung!$B504:$E504,0),0)=0,J515,INDEX(Spielauswertung!$AB504:$AE504,MATCH(Tabelle11[[#Headers],[Christoph_R]],Spielauswertung!$B504:$E504,0))+J515)</f>
        <v>109.73261611443155</v>
      </c>
      <c r="K516" s="1">
        <f>IF(IFERROR(MATCH(Tabelle11[[#Headers],[Claudius_J]],Spielauswertung!$B504:$E504,0),0)=0,K515,INDEX(Spielauswertung!$AB504:$AE504,MATCH(Tabelle11[[#Headers],[Claudius_J]],Spielauswertung!$B504:$E504,0))+K515)</f>
        <v>106.16590636000029</v>
      </c>
      <c r="L516" s="1">
        <f>IF(IFERROR(MATCH(Tabelle11[[#Headers],[Daniel_D]],Spielauswertung!$B504:$E504,0),0)=0,L515,INDEX(Spielauswertung!$AB504:$AE504,MATCH(Tabelle11[[#Headers],[Daniel_D]],Spielauswertung!$B504:$E504,0))+L515)</f>
        <v>100.70668639950003</v>
      </c>
      <c r="M516" s="1">
        <f>IF(IFERROR(MATCH(Tabelle11[[#Headers],[David_R]],Spielauswertung!$B504:$E504,0),0)=0,M515,INDEX(Spielauswertung!$AB504:$AE504,MATCH(Tabelle11[[#Headers],[David_R]],Spielauswertung!$B504:$E504,0))+M515)</f>
        <v>96.715943522481638</v>
      </c>
      <c r="N516" s="1">
        <f>IF(IFERROR(MATCH(Tabelle11[[#Headers],[Dennis_P]],Spielauswertung!$B504:$E504,0),0)=0,N515,INDEX(Spielauswertung!$AB504:$AE504,MATCH(Tabelle11[[#Headers],[Dennis_P]],Spielauswertung!$B504:$E504,0))+N515)</f>
        <v>100.04773223105254</v>
      </c>
      <c r="O516" s="1">
        <f>IF(IFERROR(MATCH(Tabelle11[[#Headers],[Dennis_R]],Spielauswertung!$B504:$E504,0),0)=0,O515,INDEX(Spielauswertung!$AB504:$AE504,MATCH(Tabelle11[[#Headers],[Dennis_R]],Spielauswertung!$B504:$E504,0))+O515)</f>
        <v>75.131680864937195</v>
      </c>
      <c r="P516" s="1">
        <f>IF(IFERROR(MATCH(Tabelle11[[#Headers],[Detlef_R]],Spielauswertung!$B504:$E504,0),0)=0,P515,INDEX(Spielauswertung!$AB504:$AE504,MATCH(Tabelle11[[#Headers],[Detlef_R]],Spielauswertung!$B504:$E504,0))+P515)</f>
        <v>87.984671797367014</v>
      </c>
      <c r="Q516" s="1">
        <f>IF(IFERROR(MATCH(Tabelle11[[#Headers],[Dmitrij_M]],Spielauswertung!$B504:$E504,0),0)=0,Q515,INDEX(Spielauswertung!$AB504:$AE504,MATCH(Tabelle11[[#Headers],[Dmitrij_M]],Spielauswertung!$B504:$E504,0))+Q515)</f>
        <v>100</v>
      </c>
      <c r="R516" s="1">
        <f>IF(IFERROR(MATCH(Tabelle11[[#Headers],[Fabian_M]],Spielauswertung!$B504:$E504,0),0)=0,R515,INDEX(Spielauswertung!$AB504:$AE504,MATCH(Tabelle11[[#Headers],[Fabian_M]],Spielauswertung!$B504:$E504,0))+R515)</f>
        <v>96.683396186978783</v>
      </c>
      <c r="S516" s="1">
        <f>IF(IFERROR(MATCH(Tabelle11[[#Headers],[Hannes_S]],Spielauswertung!$B504:$E504,0),0)=0,S515,INDEX(Spielauswertung!$AB504:$AE504,MATCH(Tabelle11[[#Headers],[Hannes_S]],Spielauswertung!$B504:$E504,0))+S515)</f>
        <v>105.56436727519656</v>
      </c>
      <c r="T516" s="1">
        <f>IF(IFERROR(MATCH(Tabelle11[[#Headers],[Jan_B]],Spielauswertung!$B504:$E504,0),0)=0,T515,INDEX(Spielauswertung!$AB504:$AE504,MATCH(Tabelle11[[#Headers],[Jan_B]],Spielauswertung!$B504:$E504,0))+T515)</f>
        <v>97.77357323378699</v>
      </c>
      <c r="U516" s="1">
        <f>IF(IFERROR(MATCH(Tabelle11[[#Headers],[Jan_Hendrik_B]],Spielauswertung!$B504:$E504,0),0)=0,U515,INDEX(Spielauswertung!$AB504:$AE504,MATCH(Tabelle11[[#Headers],[Jan_Hendrik_B]],Spielauswertung!$B504:$E504,0))+U515)</f>
        <v>100.75492416935522</v>
      </c>
      <c r="V516" s="1">
        <f>IF(IFERROR(MATCH(Tabelle11[[#Headers],[Jens_N]],Spielauswertung!$B504:$E504,0),0)=0,V515,INDEX(Spielauswertung!$AB504:$AE504,MATCH(Tabelle11[[#Headers],[Jens_N]],Spielauswertung!$B504:$E504,0))+V515)</f>
        <v>99.890540411640856</v>
      </c>
      <c r="W516" s="1">
        <f>IF(IFERROR(MATCH(Tabelle11[[#Headers],[Johannes_S]],Spielauswertung!$B504:$E504,0),0)=0,W515,INDEX(Spielauswertung!$AB504:$AE504,MATCH(Tabelle11[[#Headers],[Johannes_S]],Spielauswertung!$B504:$E504,0))+W515)</f>
        <v>102.20284750979505</v>
      </c>
      <c r="X516" s="1">
        <f>IF(IFERROR(MATCH(Tabelle11[[#Headers],[Jonathan_F]],Spielauswertung!$B504:$E504,0),0)=0,X515,INDEX(Spielauswertung!$AB504:$AE504,MATCH(Tabelle11[[#Headers],[Jonathan_F]],Spielauswertung!$B504:$E504,0))+X515)</f>
        <v>98.938308797866256</v>
      </c>
      <c r="Y516" s="1">
        <f>IF(IFERROR(MATCH(Tabelle11[[#Headers],[Julius_P]],Spielauswertung!$B504:$E504,0),0)=0,Y515,INDEX(Spielauswertung!$AB504:$AE504,MATCH(Tabelle11[[#Headers],[Julius_P]],Spielauswertung!$B504:$E504,0))+Y515)</f>
        <v>96.540305101873642</v>
      </c>
      <c r="Z516" s="1">
        <f>IF(IFERROR(MATCH(Tabelle11[[#Headers],[Louis_W]],Spielauswertung!$B504:$E504,0),0)=0,Z515,INDEX(Spielauswertung!$AB504:$AE504,MATCH(Tabelle11[[#Headers],[Louis_W]],Spielauswertung!$B504:$E504,0))+Z515)</f>
        <v>87.497452285475362</v>
      </c>
      <c r="AA516" s="1">
        <f>IF(IFERROR(MATCH(Tabelle11[[#Headers],[Lukas_L]],Spielauswertung!$B504:$E504,0),0)=0,AA515,INDEX(Spielauswertung!$AB504:$AE504,MATCH(Tabelle11[[#Headers],[Lukas_L]],Spielauswertung!$B504:$E504,0))+AA515)</f>
        <v>98.266050774928644</v>
      </c>
      <c r="AB516" s="1">
        <f>IF(IFERROR(MATCH(Tabelle11[[#Headers],[Marcin_S]],Spielauswertung!$B504:$E504,0),0)=0,AB515,INDEX(Spielauswertung!$AB504:$AE504,MATCH(Tabelle11[[#Headers],[Marcin_S]],Spielauswertung!$B504:$E504,0))+AB515)</f>
        <v>81.492991903760696</v>
      </c>
      <c r="AC516" s="1">
        <f>IF(IFERROR(MATCH(Tabelle11[[#Headers],[Marco_K]],Spielauswertung!$B504:$E504,0),0)=0,AC515,INDEX(Spielauswertung!$AB504:$AE504,MATCH(Tabelle11[[#Headers],[Marco_K]],Spielauswertung!$B504:$E504,0))+AC515)</f>
        <v>102.12169819441469</v>
      </c>
      <c r="AD516" s="1">
        <f>IF(IFERROR(MATCH(Tabelle11[[#Headers],[Marius_M]],Spielauswertung!$B504:$E504,0),0)=0,AD515,INDEX(Spielauswertung!$AB504:$AE504,MATCH(Tabelle11[[#Headers],[Marius_M]],Spielauswertung!$B504:$E504,0))+AD515)</f>
        <v>124.54012374585781</v>
      </c>
      <c r="AE516" s="1">
        <f>IF(IFERROR(MATCH(Tabelle11[[#Headers],[Marvin_W]],Spielauswertung!$B504:$E504,0),0)=0,AE515,INDEX(Spielauswertung!$AB504:$AE504,MATCH(Tabelle11[[#Headers],[Marvin_W]],Spielauswertung!$B504:$E504,0))+AE515)</f>
        <v>97.800453809813305</v>
      </c>
      <c r="AF516" s="1">
        <f>IF(IFERROR(MATCH(Tabelle11[[#Headers],[Matthias_H]],Spielauswertung!$B504:$E504,0),0)=0,AF515,INDEX(Spielauswertung!$AB504:$AE504,MATCH(Tabelle11[[#Headers],[Matthias_H]],Spielauswertung!$B504:$E504,0))+AF515)</f>
        <v>105.42130178599372</v>
      </c>
      <c r="AG516" s="1">
        <f>IF(IFERROR(MATCH(Tabelle11[[#Headers],[Michael_D]],Spielauswertung!$B504:$E504,0),0)=0,AG515,INDEX(Spielauswertung!$AB504:$AE504,MATCH(Tabelle11[[#Headers],[Michael_D]],Spielauswertung!$B504:$E504,0))+AG515)</f>
        <v>98.032421129119911</v>
      </c>
      <c r="AH516" s="1">
        <f>IF(IFERROR(MATCH(Tabelle11[[#Headers],[Patrick_S]],Spielauswertung!$B504:$E504,0),0)=0,AH515,INDEX(Spielauswertung!$AB504:$AE504,MATCH(Tabelle11[[#Headers],[Patrick_S]],Spielauswertung!$B504:$E504,0))+AH515)</f>
        <v>98.975330692053802</v>
      </c>
      <c r="AI516" s="1">
        <f>IF(IFERROR(MATCH(Tabelle11[[#Headers],[Rano_M]],Spielauswertung!$B504:$E504,0),0)=0,AI515,INDEX(Spielauswertung!$AB504:$AE504,MATCH(Tabelle11[[#Headers],[Rano_M]],Spielauswertung!$B504:$E504,0))+AI515)</f>
        <v>109.38890657420265</v>
      </c>
      <c r="AJ516" s="1">
        <f>IF(IFERROR(MATCH(Tabelle11[[#Headers],[Rene_N]],Spielauswertung!$B504:$E504,0),0)=0,AJ515,INDEX(Spielauswertung!$AB504:$AE504,MATCH(Tabelle11[[#Headers],[Rene_N]],Spielauswertung!$B504:$E504,0))+AJ515)</f>
        <v>101.4355028770963</v>
      </c>
      <c r="AK516" s="1">
        <f>IF(IFERROR(MATCH(Tabelle11[[#Headers],[Rene_P]],Spielauswertung!$B504:$E504,0),0)=0,AK515,INDEX(Spielauswertung!$AB504:$AE504,MATCH(Tabelle11[[#Headers],[Rene_P]],Spielauswertung!$B504:$E504,0))+AK515)</f>
        <v>90.704997420314484</v>
      </c>
      <c r="AL516" s="1">
        <f>IF(IFERROR(MATCH(Tabelle11[[#Headers],[Richard_D]],Spielauswertung!$B504:$E504,0),0)=0,AL515,INDEX(Spielauswertung!$AB504:$AE504,MATCH(Tabelle11[[#Headers],[Richard_D]],Spielauswertung!$B504:$E504,0))+AL515)</f>
        <v>109.17717466870806</v>
      </c>
      <c r="AM516" s="1">
        <f>IF(IFERROR(MATCH(Tabelle11[[#Headers],[Rodrigo_R]],Spielauswertung!$B504:$E504,0),0)=0,AM515,INDEX(Spielauswertung!$AB504:$AE504,MATCH(Tabelle11[[#Headers],[Rodrigo_R]],Spielauswertung!$B504:$E504,0))+AM515)</f>
        <v>116.7028707921346</v>
      </c>
      <c r="AN516" s="1">
        <f>IF(IFERROR(MATCH(Tabelle11[[#Headers],[Sebastian_A]],Spielauswertung!$B504:$E504,0),0)=0,AN515,INDEX(Spielauswertung!$AB504:$AE504,MATCH(Tabelle11[[#Headers],[Sebastian_A]],Spielauswertung!$B504:$E504,0))+AN515)</f>
        <v>102.8225889582061</v>
      </c>
      <c r="AO516" s="1">
        <f>IF(IFERROR(MATCH(Tabelle11[[#Headers],[Sebastian_St]],Spielauswertung!$B504:$E504,0),0)=0,AO515,INDEX(Spielauswertung!$AB504:$AE504,MATCH(Tabelle11[[#Headers],[Sebastian_St]],Spielauswertung!$B504:$E504,0))+AO515)</f>
        <v>98.503769340419595</v>
      </c>
      <c r="AP516" s="1">
        <f>IF(IFERROR(MATCH(Tabelle11[[#Headers],[Simon_U]],Spielauswertung!$B504:$E504,0),0)=0,AP515,INDEX(Spielauswertung!$AB504:$AE504,MATCH(Tabelle11[[#Headers],[Simon_U]],Spielauswertung!$B504:$E504,0))+AP515)</f>
        <v>99.259488992076584</v>
      </c>
      <c r="AQ516" s="1">
        <f>IF(IFERROR(MATCH(Tabelle11[[#Headers],[Steffen_R]],Spielauswertung!$B504:$E504,0),0)=0,AQ515,INDEX(Spielauswertung!$AB504:$AE504,MATCH(Tabelle11[[#Headers],[Steffen_R]],Spielauswertung!$B504:$E504,0))+AQ515)</f>
        <v>93.558901743626024</v>
      </c>
      <c r="AR516" s="1">
        <f>IF(IFERROR(MATCH(Tabelle11[[#Headers],[Tim_R]],Spielauswertung!$B504:$E504,0),0)=0,AR515,INDEX(Spielauswertung!$AB504:$AE504,MATCH(Tabelle11[[#Headers],[Tim_R]],Spielauswertung!$B504:$E504,0))+AR515)</f>
        <v>103.07503787023374</v>
      </c>
      <c r="AS516" s="1">
        <f>IF(IFERROR(MATCH(Tabelle11[[#Headers],[Tobias_S]],Spielauswertung!$B504:$E504,0),0)=0,AS515,INDEX(Spielauswertung!$AB504:$AE504,MATCH(Tabelle11[[#Headers],[Tobias_S]],Spielauswertung!$B504:$E504,0))+AS515)</f>
        <v>98.6003422659997</v>
      </c>
      <c r="AT516" s="1">
        <f>IF(IFERROR(MATCH(Tabelle11[[#Headers],[Tom_R]],Spielauswertung!$B504:$E504,0),0)=0,AT515,INDEX(Spielauswertung!$AB504:$AE504,MATCH(Tabelle11[[#Headers],[Tom_R]],Spielauswertung!$B504:$E504,0))+AT515)</f>
        <v>113.65706124889796</v>
      </c>
      <c r="AU516" s="1">
        <f>IF(IFERROR(MATCH(Tabelle11[[#Headers],[Ton_L]],Spielauswertung!$B504:$E504,0),0)=0,AU515,INDEX(Spielauswertung!$AB504:$AE504,MATCH(Tabelle11[[#Headers],[Ton_L]],Spielauswertung!$B504:$E504,0))+AU515)</f>
        <v>92.683083360025861</v>
      </c>
      <c r="AV516" s="1">
        <f>IF(IFERROR(MATCH(Tabelle11[[#Headers],[Yixin_G]],Spielauswertung!$B504:$E504,0),0)=0,AV515,INDEX(Spielauswertung!$AB504:$AE504,MATCH(Tabelle11[[#Headers],[Yixin_G]],Spielauswertung!$B504:$E504,0))+AV515)</f>
        <v>99.900323214082661</v>
      </c>
      <c r="AW516" s="1">
        <f>IF(IFERROR(MATCH(Tabelle11[[#Headers],[Spalte36]],Spielauswertung!$B504:$E504,0),0)=0,AW515,INDEX(Spielauswertung!$AB504:$AE504,MATCH(Tabelle11[[#Headers],[Spalte36]],Spielauswertung!$B504:$E504,0))+AW515)</f>
        <v>100</v>
      </c>
      <c r="AX516" s="1">
        <f>IF(IFERROR(MATCH(Tabelle11[[#Headers],[Spalte37]],Spielauswertung!$B504:$E504,0),0)=0,AX515,INDEX(Spielauswertung!$AB504:$AE504,MATCH(Tabelle11[[#Headers],[Spalte37]],Spielauswertung!$B504:$E504,0))+AX515)</f>
        <v>100</v>
      </c>
      <c r="AY516" s="1">
        <f>IF(IFERROR(MATCH(Tabelle11[[#Headers],[Spalte38]],Spielauswertung!$B504:$E504,0),0)=0,AY515,INDEX(Spielauswertung!$AB504:$AE504,MATCH(Tabelle11[[#Headers],[Spalte38]],Spielauswertung!$B504:$E504,0))+AY515)</f>
        <v>100</v>
      </c>
      <c r="AZ516" s="1">
        <f>IF(IFERROR(MATCH(Tabelle11[[#Headers],[Spalte39]],Spielauswertung!$B504:$E504,0),0)=0,AZ515,INDEX(Spielauswertung!$AB504:$AE504,MATCH(Tabelle11[[#Headers],[Spalte39]],Spielauswertung!$B504:$E504,0))+AZ515)</f>
        <v>100</v>
      </c>
      <c r="BA516" s="1">
        <f>IF(IFERROR(MATCH(Tabelle11[[#Headers],[Spalte40]],Spielauswertung!$B504:$E504,0),0)=0,BA515,INDEX(Spielauswertung!$AB504:$AE504,MATCH(Tabelle11[[#Headers],[Spalte40]],Spielauswertung!$B504:$E504,0))+BA515)</f>
        <v>100</v>
      </c>
      <c r="BB516" s="1">
        <f>IF(IFERROR(MATCH(Tabelle11[[#Headers],[Spalte41]],Spielauswertung!$B504:$E504,0),0)=0,BB515,INDEX(Spielauswertung!$AB504:$AE504,MATCH(Tabelle11[[#Headers],[Spalte41]],Spielauswertung!$B504:$E504,0))+BB515)</f>
        <v>100</v>
      </c>
      <c r="BC516" s="1">
        <f>IF(IFERROR(MATCH(Tabelle11[[#Headers],[Spalte42]],Spielauswertung!$B504:$E504,0),0)=0,BC515,INDEX(Spielauswertung!$AB504:$AE504,MATCH(Tabelle11[[#Headers],[Spalte42]],Spielauswertung!$B504:$E504,0))+BC515)</f>
        <v>100</v>
      </c>
      <c r="BD516" s="1">
        <f>IF(IFERROR(MATCH(Tabelle11[[#Headers],[Spalte43]],Spielauswertung!$B504:$E504,0),0)=0,BD515,INDEX(Spielauswertung!$AB504:$AE504,MATCH(Tabelle11[[#Headers],[Spalte43]],Spielauswertung!$B504:$E504,0))+BD515)</f>
        <v>100</v>
      </c>
      <c r="BE516" s="1">
        <f>IF(IFERROR(MATCH(Tabelle11[[#Headers],[Spalte44]],Spielauswertung!$B504:$E504,0),0)=0,BE515,INDEX(Spielauswertung!$AB504:$AE504,MATCH(Tabelle11[[#Headers],[Spalte44]],Spielauswertung!$B504:$E504,0))+BE515)</f>
        <v>100</v>
      </c>
      <c r="BF516" s="1">
        <f>IF(IFERROR(MATCH(Tabelle11[[#Headers],[Spalte45]],Spielauswertung!$B504:$E504,0),0)=0,BF515,INDEX(Spielauswertung!$AB504:$AE504,MATCH(Tabelle11[[#Headers],[Spalte45]],Spielauswertung!$B504:$E504,0))+BF515)</f>
        <v>100</v>
      </c>
      <c r="BG516" s="1">
        <f>IF(IFERROR(MATCH(Tabelle11[[#Headers],[Spalte46]],Spielauswertung!$B504:$E504,0),0)=0,BG515,INDEX(Spielauswertung!$AB504:$AE504,MATCH(Tabelle11[[#Headers],[Spalte46]],Spielauswertung!$B504:$E504,0))+BG515)</f>
        <v>100</v>
      </c>
      <c r="BH516" s="1">
        <f>IF(IFERROR(MATCH(Tabelle11[[#Headers],[Spalte47]],Spielauswertung!$B504:$E504,0),0)=0,BH515,INDEX(Spielauswertung!$AB504:$AE504,MATCH(Tabelle11[[#Headers],[Spalte47]],Spielauswertung!$B504:$E504,0))+BH515)</f>
        <v>100</v>
      </c>
    </row>
    <row r="517" spans="1:60" x14ac:dyDescent="0.25">
      <c r="A517">
        <f t="shared" si="8"/>
        <v>504</v>
      </c>
      <c r="B517" s="1">
        <f>IF(IFERROR(MATCH(Tabelle11[[#Headers],[Aleix_V]],Spielauswertung!$B505:$E505,0),0)=0,B516,INDEX(Spielauswertung!$AB505:$AE505,MATCH(Tabelle11[[#Headers],[Aleix_V]],Spielauswertung!$B505:$E505,0))+B516)</f>
        <v>103.41093576709842</v>
      </c>
      <c r="C517" s="1">
        <f>IF(IFERROR(MATCH(Tabelle11[[#Headers],[Andres_H]],Spielauswertung!$B505:$E505,0),0)=0,C516,INDEX(Spielauswertung!$AB505:$AE505,MATCH(Tabelle11[[#Headers],[Andres_H]],Spielauswertung!$B505:$E505,0))+C516)</f>
        <v>95.535732339111306</v>
      </c>
      <c r="D517" s="1">
        <f>IF(IFERROR(MATCH(Tabelle11[[#Headers],[Anton_K]],Spielauswertung!$B505:$E505,0),0)=0,D516,INDEX(Spielauswertung!$AB505:$AE505,MATCH(Tabelle11[[#Headers],[Anton_K]],Spielauswertung!$B505:$E505,0))+D516)</f>
        <v>98.36252816497904</v>
      </c>
      <c r="E517" s="1">
        <f>IF(IFERROR(MATCH(Tabelle11[[#Headers],[Bastian_G]],Spielauswertung!$B505:$E505,0),0)=0,E516,INDEX(Spielauswertung!$AB505:$AE505,MATCH(Tabelle11[[#Headers],[Bastian_G]],Spielauswertung!$B505:$E505,0))+E516)</f>
        <v>112.48310679834741</v>
      </c>
      <c r="F517" s="1">
        <f>IF(IFERROR(MATCH(Tabelle11[[#Headers],[Ben_S]],Spielauswertung!$B505:$E505,0),0)=0,F516,INDEX(Spielauswertung!$AB505:$AE505,MATCH(Tabelle11[[#Headers],[Ben_S]],Spielauswertung!$B505:$E505,0))+F516)</f>
        <v>95.932799101521084</v>
      </c>
      <c r="G517" s="1">
        <f>IF(IFERROR(MATCH(Tabelle11[[#Headers],[Benedikt_K]],Spielauswertung!$B505:$E505,0),0)=0,G516,INDEX(Spielauswertung!$AB505:$AE505,MATCH(Tabelle11[[#Headers],[Benedikt_K]],Spielauswertung!$B505:$E505,0))+G516)</f>
        <v>101.20264176422626</v>
      </c>
      <c r="H517" s="1">
        <f>IF(IFERROR(MATCH(Tabelle11[[#Headers],[Benedikt_R]],Spielauswertung!$B505:$E505,0),0)=0,H516,INDEX(Spielauswertung!$AB505:$AE505,MATCH(Tabelle11[[#Headers],[Benedikt_R]],Spielauswertung!$B505:$E505,0))+H516)</f>
        <v>102.6264770510757</v>
      </c>
      <c r="I517" s="1">
        <f>IF(IFERROR(MATCH(Tabelle11[[#Headers],[Carsten_H]],Spielauswertung!$B505:$E505,0),0)=0,I516,INDEX(Spielauswertung!$AB505:$AE505,MATCH(Tabelle11[[#Headers],[Carsten_H]],Spielauswertung!$B505:$E505,0))+I516)</f>
        <v>92.661720297034435</v>
      </c>
      <c r="J517" s="1">
        <f>IF(IFERROR(MATCH(Tabelle11[[#Headers],[Christoph_R]],Spielauswertung!$B505:$E505,0),0)=0,J516,INDEX(Spielauswertung!$AB505:$AE505,MATCH(Tabelle11[[#Headers],[Christoph_R]],Spielauswertung!$B505:$E505,0))+J516)</f>
        <v>109.73261611443155</v>
      </c>
      <c r="K517" s="1">
        <f>IF(IFERROR(MATCH(Tabelle11[[#Headers],[Claudius_J]],Spielauswertung!$B505:$E505,0),0)=0,K516,INDEX(Spielauswertung!$AB505:$AE505,MATCH(Tabelle11[[#Headers],[Claudius_J]],Spielauswertung!$B505:$E505,0))+K516)</f>
        <v>106.16590636000029</v>
      </c>
      <c r="L517" s="1">
        <f>IF(IFERROR(MATCH(Tabelle11[[#Headers],[Daniel_D]],Spielauswertung!$B505:$E505,0),0)=0,L516,INDEX(Spielauswertung!$AB505:$AE505,MATCH(Tabelle11[[#Headers],[Daniel_D]],Spielauswertung!$B505:$E505,0))+L516)</f>
        <v>100.70668639950003</v>
      </c>
      <c r="M517" s="1">
        <f>IF(IFERROR(MATCH(Tabelle11[[#Headers],[David_R]],Spielauswertung!$B505:$E505,0),0)=0,M516,INDEX(Spielauswertung!$AB505:$AE505,MATCH(Tabelle11[[#Headers],[David_R]],Spielauswertung!$B505:$E505,0))+M516)</f>
        <v>96.715943522481638</v>
      </c>
      <c r="N517" s="1">
        <f>IF(IFERROR(MATCH(Tabelle11[[#Headers],[Dennis_P]],Spielauswertung!$B505:$E505,0),0)=0,N516,INDEX(Spielauswertung!$AB505:$AE505,MATCH(Tabelle11[[#Headers],[Dennis_P]],Spielauswertung!$B505:$E505,0))+N516)</f>
        <v>100.04773223105254</v>
      </c>
      <c r="O517" s="1">
        <f>IF(IFERROR(MATCH(Tabelle11[[#Headers],[Dennis_R]],Spielauswertung!$B505:$E505,0),0)=0,O516,INDEX(Spielauswertung!$AB505:$AE505,MATCH(Tabelle11[[#Headers],[Dennis_R]],Spielauswertung!$B505:$E505,0))+O516)</f>
        <v>75.131680864937195</v>
      </c>
      <c r="P517" s="1">
        <f>IF(IFERROR(MATCH(Tabelle11[[#Headers],[Detlef_R]],Spielauswertung!$B505:$E505,0),0)=0,P516,INDEX(Spielauswertung!$AB505:$AE505,MATCH(Tabelle11[[#Headers],[Detlef_R]],Spielauswertung!$B505:$E505,0))+P516)</f>
        <v>87.984671797367014</v>
      </c>
      <c r="Q517" s="1">
        <f>IF(IFERROR(MATCH(Tabelle11[[#Headers],[Dmitrij_M]],Spielauswertung!$B505:$E505,0),0)=0,Q516,INDEX(Spielauswertung!$AB505:$AE505,MATCH(Tabelle11[[#Headers],[Dmitrij_M]],Spielauswertung!$B505:$E505,0))+Q516)</f>
        <v>100.6519347215924</v>
      </c>
      <c r="R517" s="1">
        <f>IF(IFERROR(MATCH(Tabelle11[[#Headers],[Fabian_M]],Spielauswertung!$B505:$E505,0),0)=0,R516,INDEX(Spielauswertung!$AB505:$AE505,MATCH(Tabelle11[[#Headers],[Fabian_M]],Spielauswertung!$B505:$E505,0))+R516)</f>
        <v>96.683396186978783</v>
      </c>
      <c r="S517" s="1">
        <f>IF(IFERROR(MATCH(Tabelle11[[#Headers],[Hannes_S]],Spielauswertung!$B505:$E505,0),0)=0,S516,INDEX(Spielauswertung!$AB505:$AE505,MATCH(Tabelle11[[#Headers],[Hannes_S]],Spielauswertung!$B505:$E505,0))+S516)</f>
        <v>105.56436727519656</v>
      </c>
      <c r="T517" s="1">
        <f>IF(IFERROR(MATCH(Tabelle11[[#Headers],[Jan_B]],Spielauswertung!$B505:$E505,0),0)=0,T516,INDEX(Spielauswertung!$AB505:$AE505,MATCH(Tabelle11[[#Headers],[Jan_B]],Spielauswertung!$B505:$E505,0))+T516)</f>
        <v>97.77357323378699</v>
      </c>
      <c r="U517" s="1">
        <f>IF(IFERROR(MATCH(Tabelle11[[#Headers],[Jan_Hendrik_B]],Spielauswertung!$B505:$E505,0),0)=0,U516,INDEX(Spielauswertung!$AB505:$AE505,MATCH(Tabelle11[[#Headers],[Jan_Hendrik_B]],Spielauswertung!$B505:$E505,0))+U516)</f>
        <v>100.75492416935522</v>
      </c>
      <c r="V517" s="1">
        <f>IF(IFERROR(MATCH(Tabelle11[[#Headers],[Jens_N]],Spielauswertung!$B505:$E505,0),0)=0,V516,INDEX(Spielauswertung!$AB505:$AE505,MATCH(Tabelle11[[#Headers],[Jens_N]],Spielauswertung!$B505:$E505,0))+V516)</f>
        <v>99.890540411640856</v>
      </c>
      <c r="W517" s="1">
        <f>IF(IFERROR(MATCH(Tabelle11[[#Headers],[Johannes_S]],Spielauswertung!$B505:$E505,0),0)=0,W516,INDEX(Spielauswertung!$AB505:$AE505,MATCH(Tabelle11[[#Headers],[Johannes_S]],Spielauswertung!$B505:$E505,0))+W516)</f>
        <v>102.20284750979505</v>
      </c>
      <c r="X517" s="1">
        <f>IF(IFERROR(MATCH(Tabelle11[[#Headers],[Jonathan_F]],Spielauswertung!$B505:$E505,0),0)=0,X516,INDEX(Spielauswertung!$AB505:$AE505,MATCH(Tabelle11[[#Headers],[Jonathan_F]],Spielauswertung!$B505:$E505,0))+X516)</f>
        <v>98.938308797866256</v>
      </c>
      <c r="Y517" s="1">
        <f>IF(IFERROR(MATCH(Tabelle11[[#Headers],[Julius_P]],Spielauswertung!$B505:$E505,0),0)=0,Y516,INDEX(Spielauswertung!$AB505:$AE505,MATCH(Tabelle11[[#Headers],[Julius_P]],Spielauswertung!$B505:$E505,0))+Y516)</f>
        <v>96.540305101873642</v>
      </c>
      <c r="Z517" s="1">
        <f>IF(IFERROR(MATCH(Tabelle11[[#Headers],[Louis_W]],Spielauswertung!$B505:$E505,0),0)=0,Z516,INDEX(Spielauswertung!$AB505:$AE505,MATCH(Tabelle11[[#Headers],[Louis_W]],Spielauswertung!$B505:$E505,0))+Z516)</f>
        <v>87.497452285475362</v>
      </c>
      <c r="AA517" s="1">
        <f>IF(IFERROR(MATCH(Tabelle11[[#Headers],[Lukas_L]],Spielauswertung!$B505:$E505,0),0)=0,AA516,INDEX(Spielauswertung!$AB505:$AE505,MATCH(Tabelle11[[#Headers],[Lukas_L]],Spielauswertung!$B505:$E505,0))+AA516)</f>
        <v>97.605640891242928</v>
      </c>
      <c r="AB517" s="1">
        <f>IF(IFERROR(MATCH(Tabelle11[[#Headers],[Marcin_S]],Spielauswertung!$B505:$E505,0),0)=0,AB516,INDEX(Spielauswertung!$AB505:$AE505,MATCH(Tabelle11[[#Headers],[Marcin_S]],Spielauswertung!$B505:$E505,0))+AB516)</f>
        <v>81.492991903760696</v>
      </c>
      <c r="AC517" s="1">
        <f>IF(IFERROR(MATCH(Tabelle11[[#Headers],[Marco_K]],Spielauswertung!$B505:$E505,0),0)=0,AC516,INDEX(Spielauswertung!$AB505:$AE505,MATCH(Tabelle11[[#Headers],[Marco_K]],Spielauswertung!$B505:$E505,0))+AC516)</f>
        <v>102.12169819441469</v>
      </c>
      <c r="AD517" s="1">
        <f>IF(IFERROR(MATCH(Tabelle11[[#Headers],[Marius_M]],Spielauswertung!$B505:$E505,0),0)=0,AD516,INDEX(Spielauswertung!$AB505:$AE505,MATCH(Tabelle11[[#Headers],[Marius_M]],Spielauswertung!$B505:$E505,0))+AD516)</f>
        <v>124.54012374585781</v>
      </c>
      <c r="AE517" s="1">
        <f>IF(IFERROR(MATCH(Tabelle11[[#Headers],[Marvin_W]],Spielauswertung!$B505:$E505,0),0)=0,AE516,INDEX(Spielauswertung!$AB505:$AE505,MATCH(Tabelle11[[#Headers],[Marvin_W]],Spielauswertung!$B505:$E505,0))+AE516)</f>
        <v>97.800453809813305</v>
      </c>
      <c r="AF517" s="1">
        <f>IF(IFERROR(MATCH(Tabelle11[[#Headers],[Matthias_H]],Spielauswertung!$B505:$E505,0),0)=0,AF516,INDEX(Spielauswertung!$AB505:$AE505,MATCH(Tabelle11[[#Headers],[Matthias_H]],Spielauswertung!$B505:$E505,0))+AF516)</f>
        <v>105.42130178599372</v>
      </c>
      <c r="AG517" s="1">
        <f>IF(IFERROR(MATCH(Tabelle11[[#Headers],[Michael_D]],Spielauswertung!$B505:$E505,0),0)=0,AG516,INDEX(Spielauswertung!$AB505:$AE505,MATCH(Tabelle11[[#Headers],[Michael_D]],Spielauswertung!$B505:$E505,0))+AG516)</f>
        <v>97.373581384113805</v>
      </c>
      <c r="AH517" s="1">
        <f>IF(IFERROR(MATCH(Tabelle11[[#Headers],[Patrick_S]],Spielauswertung!$B505:$E505,0),0)=0,AH516,INDEX(Spielauswertung!$AB505:$AE505,MATCH(Tabelle11[[#Headers],[Patrick_S]],Spielauswertung!$B505:$E505,0))+AH516)</f>
        <v>98.975330692053802</v>
      </c>
      <c r="AI517" s="1">
        <f>IF(IFERROR(MATCH(Tabelle11[[#Headers],[Rano_M]],Spielauswertung!$B505:$E505,0),0)=0,AI516,INDEX(Spielauswertung!$AB505:$AE505,MATCH(Tabelle11[[#Headers],[Rano_M]],Spielauswertung!$B505:$E505,0))+AI516)</f>
        <v>109.38890657420265</v>
      </c>
      <c r="AJ517" s="1">
        <f>IF(IFERROR(MATCH(Tabelle11[[#Headers],[Rene_N]],Spielauswertung!$B505:$E505,0),0)=0,AJ516,INDEX(Spielauswertung!$AB505:$AE505,MATCH(Tabelle11[[#Headers],[Rene_N]],Spielauswertung!$B505:$E505,0))+AJ516)</f>
        <v>101.4355028770963</v>
      </c>
      <c r="AK517" s="1">
        <f>IF(IFERROR(MATCH(Tabelle11[[#Headers],[Rene_P]],Spielauswertung!$B505:$E505,0),0)=0,AK516,INDEX(Spielauswertung!$AB505:$AE505,MATCH(Tabelle11[[#Headers],[Rene_P]],Spielauswertung!$B505:$E505,0))+AK516)</f>
        <v>90.704997420314484</v>
      </c>
      <c r="AL517" s="1">
        <f>IF(IFERROR(MATCH(Tabelle11[[#Headers],[Richard_D]],Spielauswertung!$B505:$E505,0),0)=0,AL516,INDEX(Spielauswertung!$AB505:$AE505,MATCH(Tabelle11[[#Headers],[Richard_D]],Spielauswertung!$B505:$E505,0))+AL516)</f>
        <v>109.17717466870806</v>
      </c>
      <c r="AM517" s="1">
        <f>IF(IFERROR(MATCH(Tabelle11[[#Headers],[Rodrigo_R]],Spielauswertung!$B505:$E505,0),0)=0,AM516,INDEX(Spielauswertung!$AB505:$AE505,MATCH(Tabelle11[[#Headers],[Rodrigo_R]],Spielauswertung!$B505:$E505,0))+AM516)</f>
        <v>116.7028707921346</v>
      </c>
      <c r="AN517" s="1">
        <f>IF(IFERROR(MATCH(Tabelle11[[#Headers],[Sebastian_A]],Spielauswertung!$B505:$E505,0),0)=0,AN516,INDEX(Spielauswertung!$AB505:$AE505,MATCH(Tabelle11[[#Headers],[Sebastian_A]],Spielauswertung!$B505:$E505,0))+AN516)</f>
        <v>102.8225889582061</v>
      </c>
      <c r="AO517" s="1">
        <f>IF(IFERROR(MATCH(Tabelle11[[#Headers],[Sebastian_St]],Spielauswertung!$B505:$E505,0),0)=0,AO516,INDEX(Spielauswertung!$AB505:$AE505,MATCH(Tabelle11[[#Headers],[Sebastian_St]],Spielauswertung!$B505:$E505,0))+AO516)</f>
        <v>98.503769340419595</v>
      </c>
      <c r="AP517" s="1">
        <f>IF(IFERROR(MATCH(Tabelle11[[#Headers],[Simon_U]],Spielauswertung!$B505:$E505,0),0)=0,AP516,INDEX(Spielauswertung!$AB505:$AE505,MATCH(Tabelle11[[#Headers],[Simon_U]],Spielauswertung!$B505:$E505,0))+AP516)</f>
        <v>99.259488992076584</v>
      </c>
      <c r="AQ517" s="1">
        <f>IF(IFERROR(MATCH(Tabelle11[[#Headers],[Steffen_R]],Spielauswertung!$B505:$E505,0),0)=0,AQ516,INDEX(Spielauswertung!$AB505:$AE505,MATCH(Tabelle11[[#Headers],[Steffen_R]],Spielauswertung!$B505:$E505,0))+AQ516)</f>
        <v>93.558901743626024</v>
      </c>
      <c r="AR517" s="1">
        <f>IF(IFERROR(MATCH(Tabelle11[[#Headers],[Tim_R]],Spielauswertung!$B505:$E505,0),0)=0,AR516,INDEX(Spielauswertung!$AB505:$AE505,MATCH(Tabelle11[[#Headers],[Tim_R]],Spielauswertung!$B505:$E505,0))+AR516)</f>
        <v>103.07503787023374</v>
      </c>
      <c r="AS517" s="1">
        <f>IF(IFERROR(MATCH(Tabelle11[[#Headers],[Tobias_S]],Spielauswertung!$B505:$E505,0),0)=0,AS516,INDEX(Spielauswertung!$AB505:$AE505,MATCH(Tabelle11[[#Headers],[Tobias_S]],Spielauswertung!$B505:$E505,0))+AS516)</f>
        <v>98.6003422659997</v>
      </c>
      <c r="AT517" s="1">
        <f>IF(IFERROR(MATCH(Tabelle11[[#Headers],[Tom_R]],Spielauswertung!$B505:$E505,0),0)=0,AT516,INDEX(Spielauswertung!$AB505:$AE505,MATCH(Tabelle11[[#Headers],[Tom_R]],Spielauswertung!$B505:$E505,0))+AT516)</f>
        <v>113.65706124889796</v>
      </c>
      <c r="AU517" s="1">
        <f>IF(IFERROR(MATCH(Tabelle11[[#Headers],[Ton_L]],Spielauswertung!$B505:$E505,0),0)=0,AU516,INDEX(Spielauswertung!$AB505:$AE505,MATCH(Tabelle11[[#Headers],[Ton_L]],Spielauswertung!$B505:$E505,0))+AU516)</f>
        <v>92.683083360025861</v>
      </c>
      <c r="AV517" s="1">
        <f>IF(IFERROR(MATCH(Tabelle11[[#Headers],[Yixin_G]],Spielauswertung!$B505:$E505,0),0)=0,AV516,INDEX(Spielauswertung!$AB505:$AE505,MATCH(Tabelle11[[#Headers],[Yixin_G]],Spielauswertung!$B505:$E505,0))+AV516)</f>
        <v>99.900323214082661</v>
      </c>
      <c r="AW517" s="1">
        <f>IF(IFERROR(MATCH(Tabelle11[[#Headers],[Spalte36]],Spielauswertung!$B505:$E505,0),0)=0,AW516,INDEX(Spielauswertung!$AB505:$AE505,MATCH(Tabelle11[[#Headers],[Spalte36]],Spielauswertung!$B505:$E505,0))+AW516)</f>
        <v>100</v>
      </c>
      <c r="AX517" s="1">
        <f>IF(IFERROR(MATCH(Tabelle11[[#Headers],[Spalte37]],Spielauswertung!$B505:$E505,0),0)=0,AX516,INDEX(Spielauswertung!$AB505:$AE505,MATCH(Tabelle11[[#Headers],[Spalte37]],Spielauswertung!$B505:$E505,0))+AX516)</f>
        <v>100</v>
      </c>
      <c r="AY517" s="1">
        <f>IF(IFERROR(MATCH(Tabelle11[[#Headers],[Spalte38]],Spielauswertung!$B505:$E505,0),0)=0,AY516,INDEX(Spielauswertung!$AB505:$AE505,MATCH(Tabelle11[[#Headers],[Spalte38]],Spielauswertung!$B505:$E505,0))+AY516)</f>
        <v>100</v>
      </c>
      <c r="AZ517" s="1">
        <f>IF(IFERROR(MATCH(Tabelle11[[#Headers],[Spalte39]],Spielauswertung!$B505:$E505,0),0)=0,AZ516,INDEX(Spielauswertung!$AB505:$AE505,MATCH(Tabelle11[[#Headers],[Spalte39]],Spielauswertung!$B505:$E505,0))+AZ516)</f>
        <v>100</v>
      </c>
      <c r="BA517" s="1">
        <f>IF(IFERROR(MATCH(Tabelle11[[#Headers],[Spalte40]],Spielauswertung!$B505:$E505,0),0)=0,BA516,INDEX(Spielauswertung!$AB505:$AE505,MATCH(Tabelle11[[#Headers],[Spalte40]],Spielauswertung!$B505:$E505,0))+BA516)</f>
        <v>100</v>
      </c>
      <c r="BB517" s="1">
        <f>IF(IFERROR(MATCH(Tabelle11[[#Headers],[Spalte41]],Spielauswertung!$B505:$E505,0),0)=0,BB516,INDEX(Spielauswertung!$AB505:$AE505,MATCH(Tabelle11[[#Headers],[Spalte41]],Spielauswertung!$B505:$E505,0))+BB516)</f>
        <v>100</v>
      </c>
      <c r="BC517" s="1">
        <f>IF(IFERROR(MATCH(Tabelle11[[#Headers],[Spalte42]],Spielauswertung!$B505:$E505,0),0)=0,BC516,INDEX(Spielauswertung!$AB505:$AE505,MATCH(Tabelle11[[#Headers],[Spalte42]],Spielauswertung!$B505:$E505,0))+BC516)</f>
        <v>100</v>
      </c>
      <c r="BD517" s="1">
        <f>IF(IFERROR(MATCH(Tabelle11[[#Headers],[Spalte43]],Spielauswertung!$B505:$E505,0),0)=0,BD516,INDEX(Spielauswertung!$AB505:$AE505,MATCH(Tabelle11[[#Headers],[Spalte43]],Spielauswertung!$B505:$E505,0))+BD516)</f>
        <v>100</v>
      </c>
      <c r="BE517" s="1">
        <f>IF(IFERROR(MATCH(Tabelle11[[#Headers],[Spalte44]],Spielauswertung!$B505:$E505,0),0)=0,BE516,INDEX(Spielauswertung!$AB505:$AE505,MATCH(Tabelle11[[#Headers],[Spalte44]],Spielauswertung!$B505:$E505,0))+BE516)</f>
        <v>100</v>
      </c>
      <c r="BF517" s="1">
        <f>IF(IFERROR(MATCH(Tabelle11[[#Headers],[Spalte45]],Spielauswertung!$B505:$E505,0),0)=0,BF516,INDEX(Spielauswertung!$AB505:$AE505,MATCH(Tabelle11[[#Headers],[Spalte45]],Spielauswertung!$B505:$E505,0))+BF516)</f>
        <v>100</v>
      </c>
      <c r="BG517" s="1">
        <f>IF(IFERROR(MATCH(Tabelle11[[#Headers],[Spalte46]],Spielauswertung!$B505:$E505,0),0)=0,BG516,INDEX(Spielauswertung!$AB505:$AE505,MATCH(Tabelle11[[#Headers],[Spalte46]],Spielauswertung!$B505:$E505,0))+BG516)</f>
        <v>100</v>
      </c>
      <c r="BH517" s="1">
        <f>IF(IFERROR(MATCH(Tabelle11[[#Headers],[Spalte47]],Spielauswertung!$B505:$E505,0),0)=0,BH516,INDEX(Spielauswertung!$AB505:$AE505,MATCH(Tabelle11[[#Headers],[Spalte47]],Spielauswertung!$B505:$E505,0))+BH516)</f>
        <v>100</v>
      </c>
    </row>
    <row r="518" spans="1:60" x14ac:dyDescent="0.25">
      <c r="A518">
        <f t="shared" si="8"/>
        <v>505</v>
      </c>
      <c r="B518" s="1">
        <f>IF(IFERROR(MATCH(Tabelle11[[#Headers],[Aleix_V]],Spielauswertung!$B506:$E506,0),0)=0,B517,INDEX(Spielauswertung!$AB506:$AE506,MATCH(Tabelle11[[#Headers],[Aleix_V]],Spielauswertung!$B506:$E506,0))+B517)</f>
        <v>103.41093576709842</v>
      </c>
      <c r="C518" s="1">
        <f>IF(IFERROR(MATCH(Tabelle11[[#Headers],[Andres_H]],Spielauswertung!$B506:$E506,0),0)=0,C517,INDEX(Spielauswertung!$AB506:$AE506,MATCH(Tabelle11[[#Headers],[Andres_H]],Spielauswertung!$B506:$E506,0))+C517)</f>
        <v>95.535732339111306</v>
      </c>
      <c r="D518" s="1">
        <f>IF(IFERROR(MATCH(Tabelle11[[#Headers],[Anton_K]],Spielauswertung!$B506:$E506,0),0)=0,D517,INDEX(Spielauswertung!$AB506:$AE506,MATCH(Tabelle11[[#Headers],[Anton_K]],Spielauswertung!$B506:$E506,0))+D517)</f>
        <v>98.41146373956164</v>
      </c>
      <c r="E518" s="1">
        <f>IF(IFERROR(MATCH(Tabelle11[[#Headers],[Bastian_G]],Spielauswertung!$B506:$E506,0),0)=0,E517,INDEX(Spielauswertung!$AB506:$AE506,MATCH(Tabelle11[[#Headers],[Bastian_G]],Spielauswertung!$B506:$E506,0))+E517)</f>
        <v>112.48310679834741</v>
      </c>
      <c r="F518" s="1">
        <f>IF(IFERROR(MATCH(Tabelle11[[#Headers],[Ben_S]],Spielauswertung!$B506:$E506,0),0)=0,F517,INDEX(Spielauswertung!$AB506:$AE506,MATCH(Tabelle11[[#Headers],[Ben_S]],Spielauswertung!$B506:$E506,0))+F517)</f>
        <v>95.932799101521084</v>
      </c>
      <c r="G518" s="1">
        <f>IF(IFERROR(MATCH(Tabelle11[[#Headers],[Benedikt_K]],Spielauswertung!$B506:$E506,0),0)=0,G517,INDEX(Spielauswertung!$AB506:$AE506,MATCH(Tabelle11[[#Headers],[Benedikt_K]],Spielauswertung!$B506:$E506,0))+G517)</f>
        <v>101.20264176422626</v>
      </c>
      <c r="H518" s="1">
        <f>IF(IFERROR(MATCH(Tabelle11[[#Headers],[Benedikt_R]],Spielauswertung!$B506:$E506,0),0)=0,H517,INDEX(Spielauswertung!$AB506:$AE506,MATCH(Tabelle11[[#Headers],[Benedikt_R]],Spielauswertung!$B506:$E506,0))+H517)</f>
        <v>102.6264770510757</v>
      </c>
      <c r="I518" s="1">
        <f>IF(IFERROR(MATCH(Tabelle11[[#Headers],[Carsten_H]],Spielauswertung!$B506:$E506,0),0)=0,I517,INDEX(Spielauswertung!$AB506:$AE506,MATCH(Tabelle11[[#Headers],[Carsten_H]],Spielauswertung!$B506:$E506,0))+I517)</f>
        <v>92.661720297034435</v>
      </c>
      <c r="J518" s="1">
        <f>IF(IFERROR(MATCH(Tabelle11[[#Headers],[Christoph_R]],Spielauswertung!$B506:$E506,0),0)=0,J517,INDEX(Spielauswertung!$AB506:$AE506,MATCH(Tabelle11[[#Headers],[Christoph_R]],Spielauswertung!$B506:$E506,0))+J517)</f>
        <v>109.73261611443155</v>
      </c>
      <c r="K518" s="1">
        <f>IF(IFERROR(MATCH(Tabelle11[[#Headers],[Claudius_J]],Spielauswertung!$B506:$E506,0),0)=0,K517,INDEX(Spielauswertung!$AB506:$AE506,MATCH(Tabelle11[[#Headers],[Claudius_J]],Spielauswertung!$B506:$E506,0))+K517)</f>
        <v>106.16590636000029</v>
      </c>
      <c r="L518" s="1">
        <f>IF(IFERROR(MATCH(Tabelle11[[#Headers],[Daniel_D]],Spielauswertung!$B506:$E506,0),0)=0,L517,INDEX(Spielauswertung!$AB506:$AE506,MATCH(Tabelle11[[#Headers],[Daniel_D]],Spielauswertung!$B506:$E506,0))+L517)</f>
        <v>100.70668639950003</v>
      </c>
      <c r="M518" s="1">
        <f>IF(IFERROR(MATCH(Tabelle11[[#Headers],[David_R]],Spielauswertung!$B506:$E506,0),0)=0,M517,INDEX(Spielauswertung!$AB506:$AE506,MATCH(Tabelle11[[#Headers],[David_R]],Spielauswertung!$B506:$E506,0))+M517)</f>
        <v>96.715943522481638</v>
      </c>
      <c r="N518" s="1">
        <f>IF(IFERROR(MATCH(Tabelle11[[#Headers],[Dennis_P]],Spielauswertung!$B506:$E506,0),0)=0,N517,INDEX(Spielauswertung!$AB506:$AE506,MATCH(Tabelle11[[#Headers],[Dennis_P]],Spielauswertung!$B506:$E506,0))+N517)</f>
        <v>100.04773223105254</v>
      </c>
      <c r="O518" s="1">
        <f>IF(IFERROR(MATCH(Tabelle11[[#Headers],[Dennis_R]],Spielauswertung!$B506:$E506,0),0)=0,O517,INDEX(Spielauswertung!$AB506:$AE506,MATCH(Tabelle11[[#Headers],[Dennis_R]],Spielauswertung!$B506:$E506,0))+O517)</f>
        <v>75.131680864937195</v>
      </c>
      <c r="P518" s="1">
        <f>IF(IFERROR(MATCH(Tabelle11[[#Headers],[Detlef_R]],Spielauswertung!$B506:$E506,0),0)=0,P517,INDEX(Spielauswertung!$AB506:$AE506,MATCH(Tabelle11[[#Headers],[Detlef_R]],Spielauswertung!$B506:$E506,0))+P517)</f>
        <v>87.984671797367014</v>
      </c>
      <c r="Q518" s="1">
        <f>IF(IFERROR(MATCH(Tabelle11[[#Headers],[Dmitrij_M]],Spielauswertung!$B506:$E506,0),0)=0,Q517,INDEX(Spielauswertung!$AB506:$AE506,MATCH(Tabelle11[[#Headers],[Dmitrij_M]],Spielauswertung!$B506:$E506,0))+Q517)</f>
        <v>100.69975721846207</v>
      </c>
      <c r="R518" s="1">
        <f>IF(IFERROR(MATCH(Tabelle11[[#Headers],[Fabian_M]],Spielauswertung!$B506:$E506,0),0)=0,R517,INDEX(Spielauswertung!$AB506:$AE506,MATCH(Tabelle11[[#Headers],[Fabian_M]],Spielauswertung!$B506:$E506,0))+R517)</f>
        <v>96.683396186978783</v>
      </c>
      <c r="S518" s="1">
        <f>IF(IFERROR(MATCH(Tabelle11[[#Headers],[Hannes_S]],Spielauswertung!$B506:$E506,0),0)=0,S517,INDEX(Spielauswertung!$AB506:$AE506,MATCH(Tabelle11[[#Headers],[Hannes_S]],Spielauswertung!$B506:$E506,0))+S517)</f>
        <v>105.56436727519656</v>
      </c>
      <c r="T518" s="1">
        <f>IF(IFERROR(MATCH(Tabelle11[[#Headers],[Jan_B]],Spielauswertung!$B506:$E506,0),0)=0,T517,INDEX(Spielauswertung!$AB506:$AE506,MATCH(Tabelle11[[#Headers],[Jan_B]],Spielauswertung!$B506:$E506,0))+T517)</f>
        <v>97.77357323378699</v>
      </c>
      <c r="U518" s="1">
        <f>IF(IFERROR(MATCH(Tabelle11[[#Headers],[Jan_Hendrik_B]],Spielauswertung!$B506:$E506,0),0)=0,U517,INDEX(Spielauswertung!$AB506:$AE506,MATCH(Tabelle11[[#Headers],[Jan_Hendrik_B]],Spielauswertung!$B506:$E506,0))+U517)</f>
        <v>100.75492416935522</v>
      </c>
      <c r="V518" s="1">
        <f>IF(IFERROR(MATCH(Tabelle11[[#Headers],[Jens_N]],Spielauswertung!$B506:$E506,0),0)=0,V517,INDEX(Spielauswertung!$AB506:$AE506,MATCH(Tabelle11[[#Headers],[Jens_N]],Spielauswertung!$B506:$E506,0))+V517)</f>
        <v>99.890540411640856</v>
      </c>
      <c r="W518" s="1">
        <f>IF(IFERROR(MATCH(Tabelle11[[#Headers],[Johannes_S]],Spielauswertung!$B506:$E506,0),0)=0,W517,INDEX(Spielauswertung!$AB506:$AE506,MATCH(Tabelle11[[#Headers],[Johannes_S]],Spielauswertung!$B506:$E506,0))+W517)</f>
        <v>102.20284750979505</v>
      </c>
      <c r="X518" s="1">
        <f>IF(IFERROR(MATCH(Tabelle11[[#Headers],[Jonathan_F]],Spielauswertung!$B506:$E506,0),0)=0,X517,INDEX(Spielauswertung!$AB506:$AE506,MATCH(Tabelle11[[#Headers],[Jonathan_F]],Spielauswertung!$B506:$E506,0))+X517)</f>
        <v>98.938308797866256</v>
      </c>
      <c r="Y518" s="1">
        <f>IF(IFERROR(MATCH(Tabelle11[[#Headers],[Julius_P]],Spielauswertung!$B506:$E506,0),0)=0,Y517,INDEX(Spielauswertung!$AB506:$AE506,MATCH(Tabelle11[[#Headers],[Julius_P]],Spielauswertung!$B506:$E506,0))+Y517)</f>
        <v>96.540305101873642</v>
      </c>
      <c r="Z518" s="1">
        <f>IF(IFERROR(MATCH(Tabelle11[[#Headers],[Louis_W]],Spielauswertung!$B506:$E506,0),0)=0,Z517,INDEX(Spielauswertung!$AB506:$AE506,MATCH(Tabelle11[[#Headers],[Louis_W]],Spielauswertung!$B506:$E506,0))+Z517)</f>
        <v>87.497452285475362</v>
      </c>
      <c r="AA518" s="1">
        <f>IF(IFERROR(MATCH(Tabelle11[[#Headers],[Lukas_L]],Spielauswertung!$B506:$E506,0),0)=0,AA517,INDEX(Spielauswertung!$AB506:$AE506,MATCH(Tabelle11[[#Headers],[Lukas_L]],Spielauswertung!$B506:$E506,0))+AA517)</f>
        <v>97.557204275970349</v>
      </c>
      <c r="AB518" s="1">
        <f>IF(IFERROR(MATCH(Tabelle11[[#Headers],[Marcin_S]],Spielauswertung!$B506:$E506,0),0)=0,AB517,INDEX(Spielauswertung!$AB506:$AE506,MATCH(Tabelle11[[#Headers],[Marcin_S]],Spielauswertung!$B506:$E506,0))+AB517)</f>
        <v>81.492991903760696</v>
      </c>
      <c r="AC518" s="1">
        <f>IF(IFERROR(MATCH(Tabelle11[[#Headers],[Marco_K]],Spielauswertung!$B506:$E506,0),0)=0,AC517,INDEX(Spielauswertung!$AB506:$AE506,MATCH(Tabelle11[[#Headers],[Marco_K]],Spielauswertung!$B506:$E506,0))+AC517)</f>
        <v>102.12169819441469</v>
      </c>
      <c r="AD518" s="1">
        <f>IF(IFERROR(MATCH(Tabelle11[[#Headers],[Marius_M]],Spielauswertung!$B506:$E506,0),0)=0,AD517,INDEX(Spielauswertung!$AB506:$AE506,MATCH(Tabelle11[[#Headers],[Marius_M]],Spielauswertung!$B506:$E506,0))+AD517)</f>
        <v>124.54012374585781</v>
      </c>
      <c r="AE518" s="1">
        <f>IF(IFERROR(MATCH(Tabelle11[[#Headers],[Marvin_W]],Spielauswertung!$B506:$E506,0),0)=0,AE517,INDEX(Spielauswertung!$AB506:$AE506,MATCH(Tabelle11[[#Headers],[Marvin_W]],Spielauswertung!$B506:$E506,0))+AE517)</f>
        <v>97.800453809813305</v>
      </c>
      <c r="AF518" s="1">
        <f>IF(IFERROR(MATCH(Tabelle11[[#Headers],[Matthias_H]],Spielauswertung!$B506:$E506,0),0)=0,AF517,INDEX(Spielauswertung!$AB506:$AE506,MATCH(Tabelle11[[#Headers],[Matthias_H]],Spielauswertung!$B506:$E506,0))+AF517)</f>
        <v>105.42130178599372</v>
      </c>
      <c r="AG518" s="1">
        <f>IF(IFERROR(MATCH(Tabelle11[[#Headers],[Michael_D]],Spielauswertung!$B506:$E506,0),0)=0,AG517,INDEX(Spielauswertung!$AB506:$AE506,MATCH(Tabelle11[[#Headers],[Michael_D]],Spielauswertung!$B506:$E506,0))+AG517)</f>
        <v>97.325259927934127</v>
      </c>
      <c r="AH518" s="1">
        <f>IF(IFERROR(MATCH(Tabelle11[[#Headers],[Patrick_S]],Spielauswertung!$B506:$E506,0),0)=0,AH517,INDEX(Spielauswertung!$AB506:$AE506,MATCH(Tabelle11[[#Headers],[Patrick_S]],Spielauswertung!$B506:$E506,0))+AH517)</f>
        <v>98.975330692053802</v>
      </c>
      <c r="AI518" s="1">
        <f>IF(IFERROR(MATCH(Tabelle11[[#Headers],[Rano_M]],Spielauswertung!$B506:$E506,0),0)=0,AI517,INDEX(Spielauswertung!$AB506:$AE506,MATCH(Tabelle11[[#Headers],[Rano_M]],Spielauswertung!$B506:$E506,0))+AI517)</f>
        <v>109.38890657420265</v>
      </c>
      <c r="AJ518" s="1">
        <f>IF(IFERROR(MATCH(Tabelle11[[#Headers],[Rene_N]],Spielauswertung!$B506:$E506,0),0)=0,AJ517,INDEX(Spielauswertung!$AB506:$AE506,MATCH(Tabelle11[[#Headers],[Rene_N]],Spielauswertung!$B506:$E506,0))+AJ517)</f>
        <v>101.4355028770963</v>
      </c>
      <c r="AK518" s="1">
        <f>IF(IFERROR(MATCH(Tabelle11[[#Headers],[Rene_P]],Spielauswertung!$B506:$E506,0),0)=0,AK517,INDEX(Spielauswertung!$AB506:$AE506,MATCH(Tabelle11[[#Headers],[Rene_P]],Spielauswertung!$B506:$E506,0))+AK517)</f>
        <v>90.704997420314484</v>
      </c>
      <c r="AL518" s="1">
        <f>IF(IFERROR(MATCH(Tabelle11[[#Headers],[Richard_D]],Spielauswertung!$B506:$E506,0),0)=0,AL517,INDEX(Spielauswertung!$AB506:$AE506,MATCH(Tabelle11[[#Headers],[Richard_D]],Spielauswertung!$B506:$E506,0))+AL517)</f>
        <v>109.17717466870806</v>
      </c>
      <c r="AM518" s="1">
        <f>IF(IFERROR(MATCH(Tabelle11[[#Headers],[Rodrigo_R]],Spielauswertung!$B506:$E506,0),0)=0,AM517,INDEX(Spielauswertung!$AB506:$AE506,MATCH(Tabelle11[[#Headers],[Rodrigo_R]],Spielauswertung!$B506:$E506,0))+AM517)</f>
        <v>116.7028707921346</v>
      </c>
      <c r="AN518" s="1">
        <f>IF(IFERROR(MATCH(Tabelle11[[#Headers],[Sebastian_A]],Spielauswertung!$B506:$E506,0),0)=0,AN517,INDEX(Spielauswertung!$AB506:$AE506,MATCH(Tabelle11[[#Headers],[Sebastian_A]],Spielauswertung!$B506:$E506,0))+AN517)</f>
        <v>102.8225889582061</v>
      </c>
      <c r="AO518" s="1">
        <f>IF(IFERROR(MATCH(Tabelle11[[#Headers],[Sebastian_St]],Spielauswertung!$B506:$E506,0),0)=0,AO517,INDEX(Spielauswertung!$AB506:$AE506,MATCH(Tabelle11[[#Headers],[Sebastian_St]],Spielauswertung!$B506:$E506,0))+AO517)</f>
        <v>98.503769340419595</v>
      </c>
      <c r="AP518" s="1">
        <f>IF(IFERROR(MATCH(Tabelle11[[#Headers],[Simon_U]],Spielauswertung!$B506:$E506,0),0)=0,AP517,INDEX(Spielauswertung!$AB506:$AE506,MATCH(Tabelle11[[#Headers],[Simon_U]],Spielauswertung!$B506:$E506,0))+AP517)</f>
        <v>99.259488992076584</v>
      </c>
      <c r="AQ518" s="1">
        <f>IF(IFERROR(MATCH(Tabelle11[[#Headers],[Steffen_R]],Spielauswertung!$B506:$E506,0),0)=0,AQ517,INDEX(Spielauswertung!$AB506:$AE506,MATCH(Tabelle11[[#Headers],[Steffen_R]],Spielauswertung!$B506:$E506,0))+AQ517)</f>
        <v>93.558901743626024</v>
      </c>
      <c r="AR518" s="1">
        <f>IF(IFERROR(MATCH(Tabelle11[[#Headers],[Tim_R]],Spielauswertung!$B506:$E506,0),0)=0,AR517,INDEX(Spielauswertung!$AB506:$AE506,MATCH(Tabelle11[[#Headers],[Tim_R]],Spielauswertung!$B506:$E506,0))+AR517)</f>
        <v>103.07503787023374</v>
      </c>
      <c r="AS518" s="1">
        <f>IF(IFERROR(MATCH(Tabelle11[[#Headers],[Tobias_S]],Spielauswertung!$B506:$E506,0),0)=0,AS517,INDEX(Spielauswertung!$AB506:$AE506,MATCH(Tabelle11[[#Headers],[Tobias_S]],Spielauswertung!$B506:$E506,0))+AS517)</f>
        <v>98.6003422659997</v>
      </c>
      <c r="AT518" s="1">
        <f>IF(IFERROR(MATCH(Tabelle11[[#Headers],[Tom_R]],Spielauswertung!$B506:$E506,0),0)=0,AT517,INDEX(Spielauswertung!$AB506:$AE506,MATCH(Tabelle11[[#Headers],[Tom_R]],Spielauswertung!$B506:$E506,0))+AT517)</f>
        <v>113.65706124889796</v>
      </c>
      <c r="AU518" s="1">
        <f>IF(IFERROR(MATCH(Tabelle11[[#Headers],[Ton_L]],Spielauswertung!$B506:$E506,0),0)=0,AU517,INDEX(Spielauswertung!$AB506:$AE506,MATCH(Tabelle11[[#Headers],[Ton_L]],Spielauswertung!$B506:$E506,0))+AU517)</f>
        <v>92.683083360025861</v>
      </c>
      <c r="AV518" s="1">
        <f>IF(IFERROR(MATCH(Tabelle11[[#Headers],[Yixin_G]],Spielauswertung!$B506:$E506,0),0)=0,AV517,INDEX(Spielauswertung!$AB506:$AE506,MATCH(Tabelle11[[#Headers],[Yixin_G]],Spielauswertung!$B506:$E506,0))+AV517)</f>
        <v>99.900323214082661</v>
      </c>
      <c r="AW518" s="1">
        <f>IF(IFERROR(MATCH(Tabelle11[[#Headers],[Spalte36]],Spielauswertung!$B506:$E506,0),0)=0,AW517,INDEX(Spielauswertung!$AB506:$AE506,MATCH(Tabelle11[[#Headers],[Spalte36]],Spielauswertung!$B506:$E506,0))+AW517)</f>
        <v>100</v>
      </c>
      <c r="AX518" s="1">
        <f>IF(IFERROR(MATCH(Tabelle11[[#Headers],[Spalte37]],Spielauswertung!$B506:$E506,0),0)=0,AX517,INDEX(Spielauswertung!$AB506:$AE506,MATCH(Tabelle11[[#Headers],[Spalte37]],Spielauswertung!$B506:$E506,0))+AX517)</f>
        <v>100</v>
      </c>
      <c r="AY518" s="1">
        <f>IF(IFERROR(MATCH(Tabelle11[[#Headers],[Spalte38]],Spielauswertung!$B506:$E506,0),0)=0,AY517,INDEX(Spielauswertung!$AB506:$AE506,MATCH(Tabelle11[[#Headers],[Spalte38]],Spielauswertung!$B506:$E506,0))+AY517)</f>
        <v>100</v>
      </c>
      <c r="AZ518" s="1">
        <f>IF(IFERROR(MATCH(Tabelle11[[#Headers],[Spalte39]],Spielauswertung!$B506:$E506,0),0)=0,AZ517,INDEX(Spielauswertung!$AB506:$AE506,MATCH(Tabelle11[[#Headers],[Spalte39]],Spielauswertung!$B506:$E506,0))+AZ517)</f>
        <v>100</v>
      </c>
      <c r="BA518" s="1">
        <f>IF(IFERROR(MATCH(Tabelle11[[#Headers],[Spalte40]],Spielauswertung!$B506:$E506,0),0)=0,BA517,INDEX(Spielauswertung!$AB506:$AE506,MATCH(Tabelle11[[#Headers],[Spalte40]],Spielauswertung!$B506:$E506,0))+BA517)</f>
        <v>100</v>
      </c>
      <c r="BB518" s="1">
        <f>IF(IFERROR(MATCH(Tabelle11[[#Headers],[Spalte41]],Spielauswertung!$B506:$E506,0),0)=0,BB517,INDEX(Spielauswertung!$AB506:$AE506,MATCH(Tabelle11[[#Headers],[Spalte41]],Spielauswertung!$B506:$E506,0))+BB517)</f>
        <v>100</v>
      </c>
      <c r="BC518" s="1">
        <f>IF(IFERROR(MATCH(Tabelle11[[#Headers],[Spalte42]],Spielauswertung!$B506:$E506,0),0)=0,BC517,INDEX(Spielauswertung!$AB506:$AE506,MATCH(Tabelle11[[#Headers],[Spalte42]],Spielauswertung!$B506:$E506,0))+BC517)</f>
        <v>100</v>
      </c>
      <c r="BD518" s="1">
        <f>IF(IFERROR(MATCH(Tabelle11[[#Headers],[Spalte43]],Spielauswertung!$B506:$E506,0),0)=0,BD517,INDEX(Spielauswertung!$AB506:$AE506,MATCH(Tabelle11[[#Headers],[Spalte43]],Spielauswertung!$B506:$E506,0))+BD517)</f>
        <v>100</v>
      </c>
      <c r="BE518" s="1">
        <f>IF(IFERROR(MATCH(Tabelle11[[#Headers],[Spalte44]],Spielauswertung!$B506:$E506,0),0)=0,BE517,INDEX(Spielauswertung!$AB506:$AE506,MATCH(Tabelle11[[#Headers],[Spalte44]],Spielauswertung!$B506:$E506,0))+BE517)</f>
        <v>100</v>
      </c>
      <c r="BF518" s="1">
        <f>IF(IFERROR(MATCH(Tabelle11[[#Headers],[Spalte45]],Spielauswertung!$B506:$E506,0),0)=0,BF517,INDEX(Spielauswertung!$AB506:$AE506,MATCH(Tabelle11[[#Headers],[Spalte45]],Spielauswertung!$B506:$E506,0))+BF517)</f>
        <v>100</v>
      </c>
      <c r="BG518" s="1">
        <f>IF(IFERROR(MATCH(Tabelle11[[#Headers],[Spalte46]],Spielauswertung!$B506:$E506,0),0)=0,BG517,INDEX(Spielauswertung!$AB506:$AE506,MATCH(Tabelle11[[#Headers],[Spalte46]],Spielauswertung!$B506:$E506,0))+BG517)</f>
        <v>100</v>
      </c>
      <c r="BH518" s="1">
        <f>IF(IFERROR(MATCH(Tabelle11[[#Headers],[Spalte47]],Spielauswertung!$B506:$E506,0),0)=0,BH517,INDEX(Spielauswertung!$AB506:$AE506,MATCH(Tabelle11[[#Headers],[Spalte47]],Spielauswertung!$B506:$E506,0))+BH517)</f>
        <v>100</v>
      </c>
    </row>
    <row r="519" spans="1:60" x14ac:dyDescent="0.25">
      <c r="A519">
        <f t="shared" si="8"/>
        <v>506</v>
      </c>
      <c r="B519" s="1">
        <f>IF(IFERROR(MATCH(Tabelle11[[#Headers],[Aleix_V]],Spielauswertung!$B507:$E507,0),0)=0,B518,INDEX(Spielauswertung!$AB507:$AE507,MATCH(Tabelle11[[#Headers],[Aleix_V]],Spielauswertung!$B507:$E507,0))+B518)</f>
        <v>103.48502772520274</v>
      </c>
      <c r="C519" s="1">
        <f>IF(IFERROR(MATCH(Tabelle11[[#Headers],[Andres_H]],Spielauswertung!$B507:$E507,0),0)=0,C518,INDEX(Spielauswertung!$AB507:$AE507,MATCH(Tabelle11[[#Headers],[Andres_H]],Spielauswertung!$B507:$E507,0))+C518)</f>
        <v>95.535732339111306</v>
      </c>
      <c r="D519" s="1">
        <f>IF(IFERROR(MATCH(Tabelle11[[#Headers],[Anton_K]],Spielauswertung!$B507:$E507,0),0)=0,D518,INDEX(Spielauswertung!$AB507:$AE507,MATCH(Tabelle11[[#Headers],[Anton_K]],Spielauswertung!$B507:$E507,0))+D518)</f>
        <v>98.41146373956164</v>
      </c>
      <c r="E519" s="1">
        <f>IF(IFERROR(MATCH(Tabelle11[[#Headers],[Bastian_G]],Spielauswertung!$B507:$E507,0),0)=0,E518,INDEX(Spielauswertung!$AB507:$AE507,MATCH(Tabelle11[[#Headers],[Bastian_G]],Spielauswertung!$B507:$E507,0))+E518)</f>
        <v>112.48310679834741</v>
      </c>
      <c r="F519" s="1">
        <f>IF(IFERROR(MATCH(Tabelle11[[#Headers],[Ben_S]],Spielauswertung!$B507:$E507,0),0)=0,F518,INDEX(Spielauswertung!$AB507:$AE507,MATCH(Tabelle11[[#Headers],[Ben_S]],Spielauswertung!$B507:$E507,0))+F518)</f>
        <v>95.932799101521084</v>
      </c>
      <c r="G519" s="1">
        <f>IF(IFERROR(MATCH(Tabelle11[[#Headers],[Benedikt_K]],Spielauswertung!$B507:$E507,0),0)=0,G518,INDEX(Spielauswertung!$AB507:$AE507,MATCH(Tabelle11[[#Headers],[Benedikt_K]],Spielauswertung!$B507:$E507,0))+G518)</f>
        <v>101.20264176422626</v>
      </c>
      <c r="H519" s="1">
        <f>IF(IFERROR(MATCH(Tabelle11[[#Headers],[Benedikt_R]],Spielauswertung!$B507:$E507,0),0)=0,H518,INDEX(Spielauswertung!$AB507:$AE507,MATCH(Tabelle11[[#Headers],[Benedikt_R]],Spielauswertung!$B507:$E507,0))+H518)</f>
        <v>102.6264770510757</v>
      </c>
      <c r="I519" s="1">
        <f>IF(IFERROR(MATCH(Tabelle11[[#Headers],[Carsten_H]],Spielauswertung!$B507:$E507,0),0)=0,I518,INDEX(Spielauswertung!$AB507:$AE507,MATCH(Tabelle11[[#Headers],[Carsten_H]],Spielauswertung!$B507:$E507,0))+I518)</f>
        <v>92.661720297034435</v>
      </c>
      <c r="J519" s="1">
        <f>IF(IFERROR(MATCH(Tabelle11[[#Headers],[Christoph_R]],Spielauswertung!$B507:$E507,0),0)=0,J518,INDEX(Spielauswertung!$AB507:$AE507,MATCH(Tabelle11[[#Headers],[Christoph_R]],Spielauswertung!$B507:$E507,0))+J518)</f>
        <v>109.73261611443155</v>
      </c>
      <c r="K519" s="1">
        <f>IF(IFERROR(MATCH(Tabelle11[[#Headers],[Claudius_J]],Spielauswertung!$B507:$E507,0),0)=0,K518,INDEX(Spielauswertung!$AB507:$AE507,MATCH(Tabelle11[[#Headers],[Claudius_J]],Spielauswertung!$B507:$E507,0))+K518)</f>
        <v>106.16590636000029</v>
      </c>
      <c r="L519" s="1">
        <f>IF(IFERROR(MATCH(Tabelle11[[#Headers],[Daniel_D]],Spielauswertung!$B507:$E507,0),0)=0,L518,INDEX(Spielauswertung!$AB507:$AE507,MATCH(Tabelle11[[#Headers],[Daniel_D]],Spielauswertung!$B507:$E507,0))+L518)</f>
        <v>100.70668639950003</v>
      </c>
      <c r="M519" s="1">
        <f>IF(IFERROR(MATCH(Tabelle11[[#Headers],[David_R]],Spielauswertung!$B507:$E507,0),0)=0,M518,INDEX(Spielauswertung!$AB507:$AE507,MATCH(Tabelle11[[#Headers],[David_R]],Spielauswertung!$B507:$E507,0))+M518)</f>
        <v>96.715943522481638</v>
      </c>
      <c r="N519" s="1">
        <f>IF(IFERROR(MATCH(Tabelle11[[#Headers],[Dennis_P]],Spielauswertung!$B507:$E507,0),0)=0,N518,INDEX(Spielauswertung!$AB507:$AE507,MATCH(Tabelle11[[#Headers],[Dennis_P]],Spielauswertung!$B507:$E507,0))+N518)</f>
        <v>100.04773223105254</v>
      </c>
      <c r="O519" s="1">
        <f>IF(IFERROR(MATCH(Tabelle11[[#Headers],[Dennis_R]],Spielauswertung!$B507:$E507,0),0)=0,O518,INDEX(Spielauswertung!$AB507:$AE507,MATCH(Tabelle11[[#Headers],[Dennis_R]],Spielauswertung!$B507:$E507,0))+O518)</f>
        <v>75.131680864937195</v>
      </c>
      <c r="P519" s="1">
        <f>IF(IFERROR(MATCH(Tabelle11[[#Headers],[Detlef_R]],Spielauswertung!$B507:$E507,0),0)=0,P518,INDEX(Spielauswertung!$AB507:$AE507,MATCH(Tabelle11[[#Headers],[Detlef_R]],Spielauswertung!$B507:$E507,0))+P518)</f>
        <v>87.984671797367014</v>
      </c>
      <c r="Q519" s="1">
        <f>IF(IFERROR(MATCH(Tabelle11[[#Headers],[Dmitrij_M]],Spielauswertung!$B507:$E507,0),0)=0,Q518,INDEX(Spielauswertung!$AB507:$AE507,MATCH(Tabelle11[[#Headers],[Dmitrij_M]],Spielauswertung!$B507:$E507,0))+Q518)</f>
        <v>100.69975721846207</v>
      </c>
      <c r="R519" s="1">
        <f>IF(IFERROR(MATCH(Tabelle11[[#Headers],[Fabian_M]],Spielauswertung!$B507:$E507,0),0)=0,R518,INDEX(Spielauswertung!$AB507:$AE507,MATCH(Tabelle11[[#Headers],[Fabian_M]],Spielauswertung!$B507:$E507,0))+R518)</f>
        <v>96.683396186978783</v>
      </c>
      <c r="S519" s="1">
        <f>IF(IFERROR(MATCH(Tabelle11[[#Headers],[Hannes_S]],Spielauswertung!$B507:$E507,0),0)=0,S518,INDEX(Spielauswertung!$AB507:$AE507,MATCH(Tabelle11[[#Headers],[Hannes_S]],Spielauswertung!$B507:$E507,0))+S518)</f>
        <v>105.56436727519656</v>
      </c>
      <c r="T519" s="1">
        <f>IF(IFERROR(MATCH(Tabelle11[[#Headers],[Jan_B]],Spielauswertung!$B507:$E507,0),0)=0,T518,INDEX(Spielauswertung!$AB507:$AE507,MATCH(Tabelle11[[#Headers],[Jan_B]],Spielauswertung!$B507:$E507,0))+T518)</f>
        <v>97.69845617760555</v>
      </c>
      <c r="U519" s="1">
        <f>IF(IFERROR(MATCH(Tabelle11[[#Headers],[Jan_Hendrik_B]],Spielauswertung!$B507:$E507,0),0)=0,U518,INDEX(Spielauswertung!$AB507:$AE507,MATCH(Tabelle11[[#Headers],[Jan_Hendrik_B]],Spielauswertung!$B507:$E507,0))+U518)</f>
        <v>100.75492416935522</v>
      </c>
      <c r="V519" s="1">
        <f>IF(IFERROR(MATCH(Tabelle11[[#Headers],[Jens_N]],Spielauswertung!$B507:$E507,0),0)=0,V518,INDEX(Spielauswertung!$AB507:$AE507,MATCH(Tabelle11[[#Headers],[Jens_N]],Spielauswertung!$B507:$E507,0))+V518)</f>
        <v>99.967243557792742</v>
      </c>
      <c r="W519" s="1">
        <f>IF(IFERROR(MATCH(Tabelle11[[#Headers],[Johannes_S]],Spielauswertung!$B507:$E507,0),0)=0,W518,INDEX(Spielauswertung!$AB507:$AE507,MATCH(Tabelle11[[#Headers],[Johannes_S]],Spielauswertung!$B507:$E507,0))+W518)</f>
        <v>102.20284750979505</v>
      </c>
      <c r="X519" s="1">
        <f>IF(IFERROR(MATCH(Tabelle11[[#Headers],[Jonathan_F]],Spielauswertung!$B507:$E507,0),0)=0,X518,INDEX(Spielauswertung!$AB507:$AE507,MATCH(Tabelle11[[#Headers],[Jonathan_F]],Spielauswertung!$B507:$E507,0))+X518)</f>
        <v>98.938308797866256</v>
      </c>
      <c r="Y519" s="1">
        <f>IF(IFERROR(MATCH(Tabelle11[[#Headers],[Julius_P]],Spielauswertung!$B507:$E507,0),0)=0,Y518,INDEX(Spielauswertung!$AB507:$AE507,MATCH(Tabelle11[[#Headers],[Julius_P]],Spielauswertung!$B507:$E507,0))+Y518)</f>
        <v>96.540305101873642</v>
      </c>
      <c r="Z519" s="1">
        <f>IF(IFERROR(MATCH(Tabelle11[[#Headers],[Louis_W]],Spielauswertung!$B507:$E507,0),0)=0,Z518,INDEX(Spielauswertung!$AB507:$AE507,MATCH(Tabelle11[[#Headers],[Louis_W]],Spielauswertung!$B507:$E507,0))+Z518)</f>
        <v>87.497452285475362</v>
      </c>
      <c r="AA519" s="1">
        <f>IF(IFERROR(MATCH(Tabelle11[[#Headers],[Lukas_L]],Spielauswertung!$B507:$E507,0),0)=0,AA518,INDEX(Spielauswertung!$AB507:$AE507,MATCH(Tabelle11[[#Headers],[Lukas_L]],Spielauswertung!$B507:$E507,0))+AA518)</f>
        <v>97.557204275970349</v>
      </c>
      <c r="AB519" s="1">
        <f>IF(IFERROR(MATCH(Tabelle11[[#Headers],[Marcin_S]],Spielauswertung!$B507:$E507,0),0)=0,AB518,INDEX(Spielauswertung!$AB507:$AE507,MATCH(Tabelle11[[#Headers],[Marcin_S]],Spielauswertung!$B507:$E507,0))+AB518)</f>
        <v>81.492991903760696</v>
      </c>
      <c r="AC519" s="1">
        <f>IF(IFERROR(MATCH(Tabelle11[[#Headers],[Marco_K]],Spielauswertung!$B507:$E507,0),0)=0,AC518,INDEX(Spielauswertung!$AB507:$AE507,MATCH(Tabelle11[[#Headers],[Marco_K]],Spielauswertung!$B507:$E507,0))+AC518)</f>
        <v>102.12169819441469</v>
      </c>
      <c r="AD519" s="1">
        <f>IF(IFERROR(MATCH(Tabelle11[[#Headers],[Marius_M]],Spielauswertung!$B507:$E507,0),0)=0,AD518,INDEX(Spielauswertung!$AB507:$AE507,MATCH(Tabelle11[[#Headers],[Marius_M]],Spielauswertung!$B507:$E507,0))+AD518)</f>
        <v>124.54012374585781</v>
      </c>
      <c r="AE519" s="1">
        <f>IF(IFERROR(MATCH(Tabelle11[[#Headers],[Marvin_W]],Spielauswertung!$B507:$E507,0),0)=0,AE518,INDEX(Spielauswertung!$AB507:$AE507,MATCH(Tabelle11[[#Headers],[Marvin_W]],Spielauswertung!$B507:$E507,0))+AE518)</f>
        <v>97.800453809813305</v>
      </c>
      <c r="AF519" s="1">
        <f>IF(IFERROR(MATCH(Tabelle11[[#Headers],[Matthias_H]],Spielauswertung!$B507:$E507,0),0)=0,AF518,INDEX(Spielauswertung!$AB507:$AE507,MATCH(Tabelle11[[#Headers],[Matthias_H]],Spielauswertung!$B507:$E507,0))+AF518)</f>
        <v>105.42130178599372</v>
      </c>
      <c r="AG519" s="1">
        <f>IF(IFERROR(MATCH(Tabelle11[[#Headers],[Michael_D]],Spielauswertung!$B507:$E507,0),0)=0,AG518,INDEX(Spielauswertung!$AB507:$AE507,MATCH(Tabelle11[[#Headers],[Michael_D]],Spielauswertung!$B507:$E507,0))+AG518)</f>
        <v>97.325259927934127</v>
      </c>
      <c r="AH519" s="1">
        <f>IF(IFERROR(MATCH(Tabelle11[[#Headers],[Patrick_S]],Spielauswertung!$B507:$E507,0),0)=0,AH518,INDEX(Spielauswertung!$AB507:$AE507,MATCH(Tabelle11[[#Headers],[Patrick_S]],Spielauswertung!$B507:$E507,0))+AH518)</f>
        <v>98.975330692053802</v>
      </c>
      <c r="AI519" s="1">
        <f>IF(IFERROR(MATCH(Tabelle11[[#Headers],[Rano_M]],Spielauswertung!$B507:$E507,0),0)=0,AI518,INDEX(Spielauswertung!$AB507:$AE507,MATCH(Tabelle11[[#Headers],[Rano_M]],Spielauswertung!$B507:$E507,0))+AI518)</f>
        <v>109.38890657420265</v>
      </c>
      <c r="AJ519" s="1">
        <f>IF(IFERROR(MATCH(Tabelle11[[#Headers],[Rene_N]],Spielauswertung!$B507:$E507,0),0)=0,AJ518,INDEX(Spielauswertung!$AB507:$AE507,MATCH(Tabelle11[[#Headers],[Rene_N]],Spielauswertung!$B507:$E507,0))+AJ518)</f>
        <v>101.4355028770963</v>
      </c>
      <c r="AK519" s="1">
        <f>IF(IFERROR(MATCH(Tabelle11[[#Headers],[Rene_P]],Spielauswertung!$B507:$E507,0),0)=0,AK518,INDEX(Spielauswertung!$AB507:$AE507,MATCH(Tabelle11[[#Headers],[Rene_P]],Spielauswertung!$B507:$E507,0))+AK518)</f>
        <v>90.704997420314484</v>
      </c>
      <c r="AL519" s="1">
        <f>IF(IFERROR(MATCH(Tabelle11[[#Headers],[Richard_D]],Spielauswertung!$B507:$E507,0),0)=0,AL518,INDEX(Spielauswertung!$AB507:$AE507,MATCH(Tabelle11[[#Headers],[Richard_D]],Spielauswertung!$B507:$E507,0))+AL518)</f>
        <v>109.17717466870806</v>
      </c>
      <c r="AM519" s="1">
        <f>IF(IFERROR(MATCH(Tabelle11[[#Headers],[Rodrigo_R]],Spielauswertung!$B507:$E507,0),0)=0,AM518,INDEX(Spielauswertung!$AB507:$AE507,MATCH(Tabelle11[[#Headers],[Rodrigo_R]],Spielauswertung!$B507:$E507,0))+AM518)</f>
        <v>116.7028707921346</v>
      </c>
      <c r="AN519" s="1">
        <f>IF(IFERROR(MATCH(Tabelle11[[#Headers],[Sebastian_A]],Spielauswertung!$B507:$E507,0),0)=0,AN518,INDEX(Spielauswertung!$AB507:$AE507,MATCH(Tabelle11[[#Headers],[Sebastian_A]],Spielauswertung!$B507:$E507,0))+AN518)</f>
        <v>102.8225889582061</v>
      </c>
      <c r="AO519" s="1">
        <f>IF(IFERROR(MATCH(Tabelle11[[#Headers],[Sebastian_St]],Spielauswertung!$B507:$E507,0),0)=0,AO518,INDEX(Spielauswertung!$AB507:$AE507,MATCH(Tabelle11[[#Headers],[Sebastian_St]],Spielauswertung!$B507:$E507,0))+AO518)</f>
        <v>98.428091292344831</v>
      </c>
      <c r="AP519" s="1">
        <f>IF(IFERROR(MATCH(Tabelle11[[#Headers],[Simon_U]],Spielauswertung!$B507:$E507,0),0)=0,AP518,INDEX(Spielauswertung!$AB507:$AE507,MATCH(Tabelle11[[#Headers],[Simon_U]],Spielauswertung!$B507:$E507,0))+AP518)</f>
        <v>99.259488992076584</v>
      </c>
      <c r="AQ519" s="1">
        <f>IF(IFERROR(MATCH(Tabelle11[[#Headers],[Steffen_R]],Spielauswertung!$B507:$E507,0),0)=0,AQ518,INDEX(Spielauswertung!$AB507:$AE507,MATCH(Tabelle11[[#Headers],[Steffen_R]],Spielauswertung!$B507:$E507,0))+AQ518)</f>
        <v>93.558901743626024</v>
      </c>
      <c r="AR519" s="1">
        <f>IF(IFERROR(MATCH(Tabelle11[[#Headers],[Tim_R]],Spielauswertung!$B507:$E507,0),0)=0,AR518,INDEX(Spielauswertung!$AB507:$AE507,MATCH(Tabelle11[[#Headers],[Tim_R]],Spielauswertung!$B507:$E507,0))+AR518)</f>
        <v>103.07503787023374</v>
      </c>
      <c r="AS519" s="1">
        <f>IF(IFERROR(MATCH(Tabelle11[[#Headers],[Tobias_S]],Spielauswertung!$B507:$E507,0),0)=0,AS518,INDEX(Spielauswertung!$AB507:$AE507,MATCH(Tabelle11[[#Headers],[Tobias_S]],Spielauswertung!$B507:$E507,0))+AS518)</f>
        <v>98.6003422659997</v>
      </c>
      <c r="AT519" s="1">
        <f>IF(IFERROR(MATCH(Tabelle11[[#Headers],[Tom_R]],Spielauswertung!$B507:$E507,0),0)=0,AT518,INDEX(Spielauswertung!$AB507:$AE507,MATCH(Tabelle11[[#Headers],[Tom_R]],Spielauswertung!$B507:$E507,0))+AT518)</f>
        <v>113.65706124889796</v>
      </c>
      <c r="AU519" s="1">
        <f>IF(IFERROR(MATCH(Tabelle11[[#Headers],[Ton_L]],Spielauswertung!$B507:$E507,0),0)=0,AU518,INDEX(Spielauswertung!$AB507:$AE507,MATCH(Tabelle11[[#Headers],[Ton_L]],Spielauswertung!$B507:$E507,0))+AU518)</f>
        <v>92.683083360025861</v>
      </c>
      <c r="AV519" s="1">
        <f>IF(IFERROR(MATCH(Tabelle11[[#Headers],[Yixin_G]],Spielauswertung!$B507:$E507,0),0)=0,AV518,INDEX(Spielauswertung!$AB507:$AE507,MATCH(Tabelle11[[#Headers],[Yixin_G]],Spielauswertung!$B507:$E507,0))+AV518)</f>
        <v>99.900323214082661</v>
      </c>
      <c r="AW519" s="1">
        <f>IF(IFERROR(MATCH(Tabelle11[[#Headers],[Spalte36]],Spielauswertung!$B507:$E507,0),0)=0,AW518,INDEX(Spielauswertung!$AB507:$AE507,MATCH(Tabelle11[[#Headers],[Spalte36]],Spielauswertung!$B507:$E507,0))+AW518)</f>
        <v>100</v>
      </c>
      <c r="AX519" s="1">
        <f>IF(IFERROR(MATCH(Tabelle11[[#Headers],[Spalte37]],Spielauswertung!$B507:$E507,0),0)=0,AX518,INDEX(Spielauswertung!$AB507:$AE507,MATCH(Tabelle11[[#Headers],[Spalte37]],Spielauswertung!$B507:$E507,0))+AX518)</f>
        <v>100</v>
      </c>
      <c r="AY519" s="1">
        <f>IF(IFERROR(MATCH(Tabelle11[[#Headers],[Spalte38]],Spielauswertung!$B507:$E507,0),0)=0,AY518,INDEX(Spielauswertung!$AB507:$AE507,MATCH(Tabelle11[[#Headers],[Spalte38]],Spielauswertung!$B507:$E507,0))+AY518)</f>
        <v>100</v>
      </c>
      <c r="AZ519" s="1">
        <f>IF(IFERROR(MATCH(Tabelle11[[#Headers],[Spalte39]],Spielauswertung!$B507:$E507,0),0)=0,AZ518,INDEX(Spielauswertung!$AB507:$AE507,MATCH(Tabelle11[[#Headers],[Spalte39]],Spielauswertung!$B507:$E507,0))+AZ518)</f>
        <v>100</v>
      </c>
      <c r="BA519" s="1">
        <f>IF(IFERROR(MATCH(Tabelle11[[#Headers],[Spalte40]],Spielauswertung!$B507:$E507,0),0)=0,BA518,INDEX(Spielauswertung!$AB507:$AE507,MATCH(Tabelle11[[#Headers],[Spalte40]],Spielauswertung!$B507:$E507,0))+BA518)</f>
        <v>100</v>
      </c>
      <c r="BB519" s="1">
        <f>IF(IFERROR(MATCH(Tabelle11[[#Headers],[Spalte41]],Spielauswertung!$B507:$E507,0),0)=0,BB518,INDEX(Spielauswertung!$AB507:$AE507,MATCH(Tabelle11[[#Headers],[Spalte41]],Spielauswertung!$B507:$E507,0))+BB518)</f>
        <v>100</v>
      </c>
      <c r="BC519" s="1">
        <f>IF(IFERROR(MATCH(Tabelle11[[#Headers],[Spalte42]],Spielauswertung!$B507:$E507,0),0)=0,BC518,INDEX(Spielauswertung!$AB507:$AE507,MATCH(Tabelle11[[#Headers],[Spalte42]],Spielauswertung!$B507:$E507,0))+BC518)</f>
        <v>100</v>
      </c>
      <c r="BD519" s="1">
        <f>IF(IFERROR(MATCH(Tabelle11[[#Headers],[Spalte43]],Spielauswertung!$B507:$E507,0),0)=0,BD518,INDEX(Spielauswertung!$AB507:$AE507,MATCH(Tabelle11[[#Headers],[Spalte43]],Spielauswertung!$B507:$E507,0))+BD518)</f>
        <v>100</v>
      </c>
      <c r="BE519" s="1">
        <f>IF(IFERROR(MATCH(Tabelle11[[#Headers],[Spalte44]],Spielauswertung!$B507:$E507,0),0)=0,BE518,INDEX(Spielauswertung!$AB507:$AE507,MATCH(Tabelle11[[#Headers],[Spalte44]],Spielauswertung!$B507:$E507,0))+BE518)</f>
        <v>100</v>
      </c>
      <c r="BF519" s="1">
        <f>IF(IFERROR(MATCH(Tabelle11[[#Headers],[Spalte45]],Spielauswertung!$B507:$E507,0),0)=0,BF518,INDEX(Spielauswertung!$AB507:$AE507,MATCH(Tabelle11[[#Headers],[Spalte45]],Spielauswertung!$B507:$E507,0))+BF518)</f>
        <v>100</v>
      </c>
      <c r="BG519" s="1">
        <f>IF(IFERROR(MATCH(Tabelle11[[#Headers],[Spalte46]],Spielauswertung!$B507:$E507,0),0)=0,BG518,INDEX(Spielauswertung!$AB507:$AE507,MATCH(Tabelle11[[#Headers],[Spalte46]],Spielauswertung!$B507:$E507,0))+BG518)</f>
        <v>100</v>
      </c>
      <c r="BH519" s="1">
        <f>IF(IFERROR(MATCH(Tabelle11[[#Headers],[Spalte47]],Spielauswertung!$B507:$E507,0),0)=0,BH518,INDEX(Spielauswertung!$AB507:$AE507,MATCH(Tabelle11[[#Headers],[Spalte47]],Spielauswertung!$B507:$E507,0))+BH518)</f>
        <v>100</v>
      </c>
    </row>
    <row r="520" spans="1:60" x14ac:dyDescent="0.25">
      <c r="A520">
        <f t="shared" si="8"/>
        <v>507</v>
      </c>
      <c r="B520" s="1">
        <f>IF(IFERROR(MATCH(Tabelle11[[#Headers],[Aleix_V]],Spielauswertung!$B508:$E508,0),0)=0,B519,INDEX(Spielauswertung!$AB508:$AE508,MATCH(Tabelle11[[#Headers],[Aleix_V]],Spielauswertung!$B508:$E508,0))+B519)</f>
        <v>104.14934138064426</v>
      </c>
      <c r="C520" s="1">
        <f>IF(IFERROR(MATCH(Tabelle11[[#Headers],[Andres_H]],Spielauswertung!$B508:$E508,0),0)=0,C519,INDEX(Spielauswertung!$AB508:$AE508,MATCH(Tabelle11[[#Headers],[Andres_H]],Spielauswertung!$B508:$E508,0))+C519)</f>
        <v>95.535732339111306</v>
      </c>
      <c r="D520" s="1">
        <f>IF(IFERROR(MATCH(Tabelle11[[#Headers],[Anton_K]],Spielauswertung!$B508:$E508,0),0)=0,D519,INDEX(Spielauswertung!$AB508:$AE508,MATCH(Tabelle11[[#Headers],[Anton_K]],Spielauswertung!$B508:$E508,0))+D519)</f>
        <v>98.41146373956164</v>
      </c>
      <c r="E520" s="1">
        <f>IF(IFERROR(MATCH(Tabelle11[[#Headers],[Bastian_G]],Spielauswertung!$B508:$E508,0),0)=0,E519,INDEX(Spielauswertung!$AB508:$AE508,MATCH(Tabelle11[[#Headers],[Bastian_G]],Spielauswertung!$B508:$E508,0))+E519)</f>
        <v>112.48310679834741</v>
      </c>
      <c r="F520" s="1">
        <f>IF(IFERROR(MATCH(Tabelle11[[#Headers],[Ben_S]],Spielauswertung!$B508:$E508,0),0)=0,F519,INDEX(Spielauswertung!$AB508:$AE508,MATCH(Tabelle11[[#Headers],[Ben_S]],Spielauswertung!$B508:$E508,0))+F519)</f>
        <v>95.932799101521084</v>
      </c>
      <c r="G520" s="1">
        <f>IF(IFERROR(MATCH(Tabelle11[[#Headers],[Benedikt_K]],Spielauswertung!$B508:$E508,0),0)=0,G519,INDEX(Spielauswertung!$AB508:$AE508,MATCH(Tabelle11[[#Headers],[Benedikt_K]],Spielauswertung!$B508:$E508,0))+G519)</f>
        <v>101.20264176422626</v>
      </c>
      <c r="H520" s="1">
        <f>IF(IFERROR(MATCH(Tabelle11[[#Headers],[Benedikt_R]],Spielauswertung!$B508:$E508,0),0)=0,H519,INDEX(Spielauswertung!$AB508:$AE508,MATCH(Tabelle11[[#Headers],[Benedikt_R]],Spielauswertung!$B508:$E508,0))+H519)</f>
        <v>102.6264770510757</v>
      </c>
      <c r="I520" s="1">
        <f>IF(IFERROR(MATCH(Tabelle11[[#Headers],[Carsten_H]],Spielauswertung!$B508:$E508,0),0)=0,I519,INDEX(Spielauswertung!$AB508:$AE508,MATCH(Tabelle11[[#Headers],[Carsten_H]],Spielauswertung!$B508:$E508,0))+I519)</f>
        <v>92.661720297034435</v>
      </c>
      <c r="J520" s="1">
        <f>IF(IFERROR(MATCH(Tabelle11[[#Headers],[Christoph_R]],Spielauswertung!$B508:$E508,0),0)=0,J519,INDEX(Spielauswertung!$AB508:$AE508,MATCH(Tabelle11[[#Headers],[Christoph_R]],Spielauswertung!$B508:$E508,0))+J519)</f>
        <v>109.73261611443155</v>
      </c>
      <c r="K520" s="1">
        <f>IF(IFERROR(MATCH(Tabelle11[[#Headers],[Claudius_J]],Spielauswertung!$B508:$E508,0),0)=0,K519,INDEX(Spielauswertung!$AB508:$AE508,MATCH(Tabelle11[[#Headers],[Claudius_J]],Spielauswertung!$B508:$E508,0))+K519)</f>
        <v>106.16590636000029</v>
      </c>
      <c r="L520" s="1">
        <f>IF(IFERROR(MATCH(Tabelle11[[#Headers],[Daniel_D]],Spielauswertung!$B508:$E508,0),0)=0,L519,INDEX(Spielauswertung!$AB508:$AE508,MATCH(Tabelle11[[#Headers],[Daniel_D]],Spielauswertung!$B508:$E508,0))+L519)</f>
        <v>100.70668639950003</v>
      </c>
      <c r="M520" s="1">
        <f>IF(IFERROR(MATCH(Tabelle11[[#Headers],[David_R]],Spielauswertung!$B508:$E508,0),0)=0,M519,INDEX(Spielauswertung!$AB508:$AE508,MATCH(Tabelle11[[#Headers],[David_R]],Spielauswertung!$B508:$E508,0))+M519)</f>
        <v>96.715943522481638</v>
      </c>
      <c r="N520" s="1">
        <f>IF(IFERROR(MATCH(Tabelle11[[#Headers],[Dennis_P]],Spielauswertung!$B508:$E508,0),0)=0,N519,INDEX(Spielauswertung!$AB508:$AE508,MATCH(Tabelle11[[#Headers],[Dennis_P]],Spielauswertung!$B508:$E508,0))+N519)</f>
        <v>100.04773223105254</v>
      </c>
      <c r="O520" s="1">
        <f>IF(IFERROR(MATCH(Tabelle11[[#Headers],[Dennis_R]],Spielauswertung!$B508:$E508,0),0)=0,O519,INDEX(Spielauswertung!$AB508:$AE508,MATCH(Tabelle11[[#Headers],[Dennis_R]],Spielauswertung!$B508:$E508,0))+O519)</f>
        <v>75.131680864937195</v>
      </c>
      <c r="P520" s="1">
        <f>IF(IFERROR(MATCH(Tabelle11[[#Headers],[Detlef_R]],Spielauswertung!$B508:$E508,0),0)=0,P519,INDEX(Spielauswertung!$AB508:$AE508,MATCH(Tabelle11[[#Headers],[Detlef_R]],Spielauswertung!$B508:$E508,0))+P519)</f>
        <v>87.984671797367014</v>
      </c>
      <c r="Q520" s="1">
        <f>IF(IFERROR(MATCH(Tabelle11[[#Headers],[Dmitrij_M]],Spielauswertung!$B508:$E508,0),0)=0,Q519,INDEX(Spielauswertung!$AB508:$AE508,MATCH(Tabelle11[[#Headers],[Dmitrij_M]],Spielauswertung!$B508:$E508,0))+Q519)</f>
        <v>100.69975721846207</v>
      </c>
      <c r="R520" s="1">
        <f>IF(IFERROR(MATCH(Tabelle11[[#Headers],[Fabian_M]],Spielauswertung!$B508:$E508,0),0)=0,R519,INDEX(Spielauswertung!$AB508:$AE508,MATCH(Tabelle11[[#Headers],[Fabian_M]],Spielauswertung!$B508:$E508,0))+R519)</f>
        <v>96.683396186978783</v>
      </c>
      <c r="S520" s="1">
        <f>IF(IFERROR(MATCH(Tabelle11[[#Headers],[Hannes_S]],Spielauswertung!$B508:$E508,0),0)=0,S519,INDEX(Spielauswertung!$AB508:$AE508,MATCH(Tabelle11[[#Headers],[Hannes_S]],Spielauswertung!$B508:$E508,0))+S519)</f>
        <v>105.56436727519656</v>
      </c>
      <c r="T520" s="1">
        <f>IF(IFERROR(MATCH(Tabelle11[[#Headers],[Jan_B]],Spielauswertung!$B508:$E508,0),0)=0,T519,INDEX(Spielauswertung!$AB508:$AE508,MATCH(Tabelle11[[#Headers],[Jan_B]],Spielauswertung!$B508:$E508,0))+T519)</f>
        <v>97.024969013664531</v>
      </c>
      <c r="U520" s="1">
        <f>IF(IFERROR(MATCH(Tabelle11[[#Headers],[Jan_Hendrik_B]],Spielauswertung!$B508:$E508,0),0)=0,U519,INDEX(Spielauswertung!$AB508:$AE508,MATCH(Tabelle11[[#Headers],[Jan_Hendrik_B]],Spielauswertung!$B508:$E508,0))+U519)</f>
        <v>100.75492416935522</v>
      </c>
      <c r="V520" s="1">
        <f>IF(IFERROR(MATCH(Tabelle11[[#Headers],[Jens_N]],Spielauswertung!$B508:$E508,0),0)=0,V519,INDEX(Spielauswertung!$AB508:$AE508,MATCH(Tabelle11[[#Headers],[Jens_N]],Spielauswertung!$B508:$E508,0))+V519)</f>
        <v>100.65493399122809</v>
      </c>
      <c r="W520" s="1">
        <f>IF(IFERROR(MATCH(Tabelle11[[#Headers],[Johannes_S]],Spielauswertung!$B508:$E508,0),0)=0,W519,INDEX(Spielauswertung!$AB508:$AE508,MATCH(Tabelle11[[#Headers],[Johannes_S]],Spielauswertung!$B508:$E508,0))+W519)</f>
        <v>102.20284750979505</v>
      </c>
      <c r="X520" s="1">
        <f>IF(IFERROR(MATCH(Tabelle11[[#Headers],[Jonathan_F]],Spielauswertung!$B508:$E508,0),0)=0,X519,INDEX(Spielauswertung!$AB508:$AE508,MATCH(Tabelle11[[#Headers],[Jonathan_F]],Spielauswertung!$B508:$E508,0))+X519)</f>
        <v>98.938308797866256</v>
      </c>
      <c r="Y520" s="1">
        <f>IF(IFERROR(MATCH(Tabelle11[[#Headers],[Julius_P]],Spielauswertung!$B508:$E508,0),0)=0,Y519,INDEX(Spielauswertung!$AB508:$AE508,MATCH(Tabelle11[[#Headers],[Julius_P]],Spielauswertung!$B508:$E508,0))+Y519)</f>
        <v>96.540305101873642</v>
      </c>
      <c r="Z520" s="1">
        <f>IF(IFERROR(MATCH(Tabelle11[[#Headers],[Louis_W]],Spielauswertung!$B508:$E508,0),0)=0,Z519,INDEX(Spielauswertung!$AB508:$AE508,MATCH(Tabelle11[[#Headers],[Louis_W]],Spielauswertung!$B508:$E508,0))+Z519)</f>
        <v>87.497452285475362</v>
      </c>
      <c r="AA520" s="1">
        <f>IF(IFERROR(MATCH(Tabelle11[[#Headers],[Lukas_L]],Spielauswertung!$B508:$E508,0),0)=0,AA519,INDEX(Spielauswertung!$AB508:$AE508,MATCH(Tabelle11[[#Headers],[Lukas_L]],Spielauswertung!$B508:$E508,0))+AA519)</f>
        <v>97.557204275970349</v>
      </c>
      <c r="AB520" s="1">
        <f>IF(IFERROR(MATCH(Tabelle11[[#Headers],[Marcin_S]],Spielauswertung!$B508:$E508,0),0)=0,AB519,INDEX(Spielauswertung!$AB508:$AE508,MATCH(Tabelle11[[#Headers],[Marcin_S]],Spielauswertung!$B508:$E508,0))+AB519)</f>
        <v>81.492991903760696</v>
      </c>
      <c r="AC520" s="1">
        <f>IF(IFERROR(MATCH(Tabelle11[[#Headers],[Marco_K]],Spielauswertung!$B508:$E508,0),0)=0,AC519,INDEX(Spielauswertung!$AB508:$AE508,MATCH(Tabelle11[[#Headers],[Marco_K]],Spielauswertung!$B508:$E508,0))+AC519)</f>
        <v>102.12169819441469</v>
      </c>
      <c r="AD520" s="1">
        <f>IF(IFERROR(MATCH(Tabelle11[[#Headers],[Marius_M]],Spielauswertung!$B508:$E508,0),0)=0,AD519,INDEX(Spielauswertung!$AB508:$AE508,MATCH(Tabelle11[[#Headers],[Marius_M]],Spielauswertung!$B508:$E508,0))+AD519)</f>
        <v>124.54012374585781</v>
      </c>
      <c r="AE520" s="1">
        <f>IF(IFERROR(MATCH(Tabelle11[[#Headers],[Marvin_W]],Spielauswertung!$B508:$E508,0),0)=0,AE519,INDEX(Spielauswertung!$AB508:$AE508,MATCH(Tabelle11[[#Headers],[Marvin_W]],Spielauswertung!$B508:$E508,0))+AE519)</f>
        <v>97.800453809813305</v>
      </c>
      <c r="AF520" s="1">
        <f>IF(IFERROR(MATCH(Tabelle11[[#Headers],[Matthias_H]],Spielauswertung!$B508:$E508,0),0)=0,AF519,INDEX(Spielauswertung!$AB508:$AE508,MATCH(Tabelle11[[#Headers],[Matthias_H]],Spielauswertung!$B508:$E508,0))+AF519)</f>
        <v>105.42130178599372</v>
      </c>
      <c r="AG520" s="1">
        <f>IF(IFERROR(MATCH(Tabelle11[[#Headers],[Michael_D]],Spielauswertung!$B508:$E508,0),0)=0,AG519,INDEX(Spielauswertung!$AB508:$AE508,MATCH(Tabelle11[[#Headers],[Michael_D]],Spielauswertung!$B508:$E508,0))+AG519)</f>
        <v>97.325259927934127</v>
      </c>
      <c r="AH520" s="1">
        <f>IF(IFERROR(MATCH(Tabelle11[[#Headers],[Patrick_S]],Spielauswertung!$B508:$E508,0),0)=0,AH519,INDEX(Spielauswertung!$AB508:$AE508,MATCH(Tabelle11[[#Headers],[Patrick_S]],Spielauswertung!$B508:$E508,0))+AH519)</f>
        <v>98.975330692053802</v>
      </c>
      <c r="AI520" s="1">
        <f>IF(IFERROR(MATCH(Tabelle11[[#Headers],[Rano_M]],Spielauswertung!$B508:$E508,0),0)=0,AI519,INDEX(Spielauswertung!$AB508:$AE508,MATCH(Tabelle11[[#Headers],[Rano_M]],Spielauswertung!$B508:$E508,0))+AI519)</f>
        <v>109.38890657420265</v>
      </c>
      <c r="AJ520" s="1">
        <f>IF(IFERROR(MATCH(Tabelle11[[#Headers],[Rene_N]],Spielauswertung!$B508:$E508,0),0)=0,AJ519,INDEX(Spielauswertung!$AB508:$AE508,MATCH(Tabelle11[[#Headers],[Rene_N]],Spielauswertung!$B508:$E508,0))+AJ519)</f>
        <v>101.4355028770963</v>
      </c>
      <c r="AK520" s="1">
        <f>IF(IFERROR(MATCH(Tabelle11[[#Headers],[Rene_P]],Spielauswertung!$B508:$E508,0),0)=0,AK519,INDEX(Spielauswertung!$AB508:$AE508,MATCH(Tabelle11[[#Headers],[Rene_P]],Spielauswertung!$B508:$E508,0))+AK519)</f>
        <v>90.704997420314484</v>
      </c>
      <c r="AL520" s="1">
        <f>IF(IFERROR(MATCH(Tabelle11[[#Headers],[Richard_D]],Spielauswertung!$B508:$E508,0),0)=0,AL519,INDEX(Spielauswertung!$AB508:$AE508,MATCH(Tabelle11[[#Headers],[Richard_D]],Spielauswertung!$B508:$E508,0))+AL519)</f>
        <v>109.17717466870806</v>
      </c>
      <c r="AM520" s="1">
        <f>IF(IFERROR(MATCH(Tabelle11[[#Headers],[Rodrigo_R]],Spielauswertung!$B508:$E508,0),0)=0,AM519,INDEX(Spielauswertung!$AB508:$AE508,MATCH(Tabelle11[[#Headers],[Rodrigo_R]],Spielauswertung!$B508:$E508,0))+AM519)</f>
        <v>116.7028707921346</v>
      </c>
      <c r="AN520" s="1">
        <f>IF(IFERROR(MATCH(Tabelle11[[#Headers],[Sebastian_A]],Spielauswertung!$B508:$E508,0),0)=0,AN519,INDEX(Spielauswertung!$AB508:$AE508,MATCH(Tabelle11[[#Headers],[Sebastian_A]],Spielauswertung!$B508:$E508,0))+AN519)</f>
        <v>102.8225889582061</v>
      </c>
      <c r="AO520" s="1">
        <f>IF(IFERROR(MATCH(Tabelle11[[#Headers],[Sebastian_St]],Spielauswertung!$B508:$E508,0),0)=0,AO519,INDEX(Spielauswertung!$AB508:$AE508,MATCH(Tabelle11[[#Headers],[Sebastian_St]],Spielauswertung!$B508:$E508,0))+AO519)</f>
        <v>97.749574367408982</v>
      </c>
      <c r="AP520" s="1">
        <f>IF(IFERROR(MATCH(Tabelle11[[#Headers],[Simon_U]],Spielauswertung!$B508:$E508,0),0)=0,AP519,INDEX(Spielauswertung!$AB508:$AE508,MATCH(Tabelle11[[#Headers],[Simon_U]],Spielauswertung!$B508:$E508,0))+AP519)</f>
        <v>99.259488992076584</v>
      </c>
      <c r="AQ520" s="1">
        <f>IF(IFERROR(MATCH(Tabelle11[[#Headers],[Steffen_R]],Spielauswertung!$B508:$E508,0),0)=0,AQ519,INDEX(Spielauswertung!$AB508:$AE508,MATCH(Tabelle11[[#Headers],[Steffen_R]],Spielauswertung!$B508:$E508,0))+AQ519)</f>
        <v>93.558901743626024</v>
      </c>
      <c r="AR520" s="1">
        <f>IF(IFERROR(MATCH(Tabelle11[[#Headers],[Tim_R]],Spielauswertung!$B508:$E508,0),0)=0,AR519,INDEX(Spielauswertung!$AB508:$AE508,MATCH(Tabelle11[[#Headers],[Tim_R]],Spielauswertung!$B508:$E508,0))+AR519)</f>
        <v>103.07503787023374</v>
      </c>
      <c r="AS520" s="1">
        <f>IF(IFERROR(MATCH(Tabelle11[[#Headers],[Tobias_S]],Spielauswertung!$B508:$E508,0),0)=0,AS519,INDEX(Spielauswertung!$AB508:$AE508,MATCH(Tabelle11[[#Headers],[Tobias_S]],Spielauswertung!$B508:$E508,0))+AS519)</f>
        <v>98.6003422659997</v>
      </c>
      <c r="AT520" s="1">
        <f>IF(IFERROR(MATCH(Tabelle11[[#Headers],[Tom_R]],Spielauswertung!$B508:$E508,0),0)=0,AT519,INDEX(Spielauswertung!$AB508:$AE508,MATCH(Tabelle11[[#Headers],[Tom_R]],Spielauswertung!$B508:$E508,0))+AT519)</f>
        <v>113.65706124889796</v>
      </c>
      <c r="AU520" s="1">
        <f>IF(IFERROR(MATCH(Tabelle11[[#Headers],[Ton_L]],Spielauswertung!$B508:$E508,0),0)=0,AU519,INDEX(Spielauswertung!$AB508:$AE508,MATCH(Tabelle11[[#Headers],[Ton_L]],Spielauswertung!$B508:$E508,0))+AU519)</f>
        <v>92.683083360025861</v>
      </c>
      <c r="AV520" s="1">
        <f>IF(IFERROR(MATCH(Tabelle11[[#Headers],[Yixin_G]],Spielauswertung!$B508:$E508,0),0)=0,AV519,INDEX(Spielauswertung!$AB508:$AE508,MATCH(Tabelle11[[#Headers],[Yixin_G]],Spielauswertung!$B508:$E508,0))+AV519)</f>
        <v>99.900323214082661</v>
      </c>
      <c r="AW520" s="1">
        <f>IF(IFERROR(MATCH(Tabelle11[[#Headers],[Spalte36]],Spielauswertung!$B508:$E508,0),0)=0,AW519,INDEX(Spielauswertung!$AB508:$AE508,MATCH(Tabelle11[[#Headers],[Spalte36]],Spielauswertung!$B508:$E508,0))+AW519)</f>
        <v>100</v>
      </c>
      <c r="AX520" s="1">
        <f>IF(IFERROR(MATCH(Tabelle11[[#Headers],[Spalte37]],Spielauswertung!$B508:$E508,0),0)=0,AX519,INDEX(Spielauswertung!$AB508:$AE508,MATCH(Tabelle11[[#Headers],[Spalte37]],Spielauswertung!$B508:$E508,0))+AX519)</f>
        <v>100</v>
      </c>
      <c r="AY520" s="1">
        <f>IF(IFERROR(MATCH(Tabelle11[[#Headers],[Spalte38]],Spielauswertung!$B508:$E508,0),0)=0,AY519,INDEX(Spielauswertung!$AB508:$AE508,MATCH(Tabelle11[[#Headers],[Spalte38]],Spielauswertung!$B508:$E508,0))+AY519)</f>
        <v>100</v>
      </c>
      <c r="AZ520" s="1">
        <f>IF(IFERROR(MATCH(Tabelle11[[#Headers],[Spalte39]],Spielauswertung!$B508:$E508,0),0)=0,AZ519,INDEX(Spielauswertung!$AB508:$AE508,MATCH(Tabelle11[[#Headers],[Spalte39]],Spielauswertung!$B508:$E508,0))+AZ519)</f>
        <v>100</v>
      </c>
      <c r="BA520" s="1">
        <f>IF(IFERROR(MATCH(Tabelle11[[#Headers],[Spalte40]],Spielauswertung!$B508:$E508,0),0)=0,BA519,INDEX(Spielauswertung!$AB508:$AE508,MATCH(Tabelle11[[#Headers],[Spalte40]],Spielauswertung!$B508:$E508,0))+BA519)</f>
        <v>100</v>
      </c>
      <c r="BB520" s="1">
        <f>IF(IFERROR(MATCH(Tabelle11[[#Headers],[Spalte41]],Spielauswertung!$B508:$E508,0),0)=0,BB519,INDEX(Spielauswertung!$AB508:$AE508,MATCH(Tabelle11[[#Headers],[Spalte41]],Spielauswertung!$B508:$E508,0))+BB519)</f>
        <v>100</v>
      </c>
      <c r="BC520" s="1">
        <f>IF(IFERROR(MATCH(Tabelle11[[#Headers],[Spalte42]],Spielauswertung!$B508:$E508,0),0)=0,BC519,INDEX(Spielauswertung!$AB508:$AE508,MATCH(Tabelle11[[#Headers],[Spalte42]],Spielauswertung!$B508:$E508,0))+BC519)</f>
        <v>100</v>
      </c>
      <c r="BD520" s="1">
        <f>IF(IFERROR(MATCH(Tabelle11[[#Headers],[Spalte43]],Spielauswertung!$B508:$E508,0),0)=0,BD519,INDEX(Spielauswertung!$AB508:$AE508,MATCH(Tabelle11[[#Headers],[Spalte43]],Spielauswertung!$B508:$E508,0))+BD519)</f>
        <v>100</v>
      </c>
      <c r="BE520" s="1">
        <f>IF(IFERROR(MATCH(Tabelle11[[#Headers],[Spalte44]],Spielauswertung!$B508:$E508,0),0)=0,BE519,INDEX(Spielauswertung!$AB508:$AE508,MATCH(Tabelle11[[#Headers],[Spalte44]],Spielauswertung!$B508:$E508,0))+BE519)</f>
        <v>100</v>
      </c>
      <c r="BF520" s="1">
        <f>IF(IFERROR(MATCH(Tabelle11[[#Headers],[Spalte45]],Spielauswertung!$B508:$E508,0),0)=0,BF519,INDEX(Spielauswertung!$AB508:$AE508,MATCH(Tabelle11[[#Headers],[Spalte45]],Spielauswertung!$B508:$E508,0))+BF519)</f>
        <v>100</v>
      </c>
      <c r="BG520" s="1">
        <f>IF(IFERROR(MATCH(Tabelle11[[#Headers],[Spalte46]],Spielauswertung!$B508:$E508,0),0)=0,BG519,INDEX(Spielauswertung!$AB508:$AE508,MATCH(Tabelle11[[#Headers],[Spalte46]],Spielauswertung!$B508:$E508,0))+BG519)</f>
        <v>100</v>
      </c>
      <c r="BH520" s="1">
        <f>IF(IFERROR(MATCH(Tabelle11[[#Headers],[Spalte47]],Spielauswertung!$B508:$E508,0),0)=0,BH519,INDEX(Spielauswertung!$AB508:$AE508,MATCH(Tabelle11[[#Headers],[Spalte47]],Spielauswertung!$B508:$E508,0))+BH519)</f>
        <v>100</v>
      </c>
    </row>
    <row r="521" spans="1:60" x14ac:dyDescent="0.25">
      <c r="A521">
        <f t="shared" si="8"/>
        <v>508</v>
      </c>
      <c r="B521" s="1">
        <f>IF(IFERROR(MATCH(Tabelle11[[#Headers],[Aleix_V]],Spielauswertung!$B509:$E509,0),0)=0,B520,INDEX(Spielauswertung!$AB509:$AE509,MATCH(Tabelle11[[#Headers],[Aleix_V]],Spielauswertung!$B509:$E509,0))+B520)</f>
        <v>104.14934138064426</v>
      </c>
      <c r="C521" s="1">
        <f>IF(IFERROR(MATCH(Tabelle11[[#Headers],[Andres_H]],Spielauswertung!$B509:$E509,0),0)=0,C520,INDEX(Spielauswertung!$AB509:$AE509,MATCH(Tabelle11[[#Headers],[Andres_H]],Spielauswertung!$B509:$E509,0))+C520)</f>
        <v>95.535732339111306</v>
      </c>
      <c r="D521" s="1">
        <f>IF(IFERROR(MATCH(Tabelle11[[#Headers],[Anton_K]],Spielauswertung!$B509:$E509,0),0)=0,D520,INDEX(Spielauswertung!$AB509:$AE509,MATCH(Tabelle11[[#Headers],[Anton_K]],Spielauswertung!$B509:$E509,0))+D520)</f>
        <v>98.41146373956164</v>
      </c>
      <c r="E521" s="1">
        <f>IF(IFERROR(MATCH(Tabelle11[[#Headers],[Bastian_G]],Spielauswertung!$B509:$E509,0),0)=0,E520,INDEX(Spielauswertung!$AB509:$AE509,MATCH(Tabelle11[[#Headers],[Bastian_G]],Spielauswertung!$B509:$E509,0))+E520)</f>
        <v>112.37437863503925</v>
      </c>
      <c r="F521" s="1">
        <f>IF(IFERROR(MATCH(Tabelle11[[#Headers],[Ben_S]],Spielauswertung!$B509:$E509,0),0)=0,F520,INDEX(Spielauswertung!$AB509:$AE509,MATCH(Tabelle11[[#Headers],[Ben_S]],Spielauswertung!$B509:$E509,0))+F520)</f>
        <v>95.932799101521084</v>
      </c>
      <c r="G521" s="1">
        <f>IF(IFERROR(MATCH(Tabelle11[[#Headers],[Benedikt_K]],Spielauswertung!$B509:$E509,0),0)=0,G520,INDEX(Spielauswertung!$AB509:$AE509,MATCH(Tabelle11[[#Headers],[Benedikt_K]],Spielauswertung!$B509:$E509,0))+G520)</f>
        <v>101.20264176422626</v>
      </c>
      <c r="H521" s="1">
        <f>IF(IFERROR(MATCH(Tabelle11[[#Headers],[Benedikt_R]],Spielauswertung!$B509:$E509,0),0)=0,H520,INDEX(Spielauswertung!$AB509:$AE509,MATCH(Tabelle11[[#Headers],[Benedikt_R]],Spielauswertung!$B509:$E509,0))+H520)</f>
        <v>102.6264770510757</v>
      </c>
      <c r="I521" s="1">
        <f>IF(IFERROR(MATCH(Tabelle11[[#Headers],[Carsten_H]],Spielauswertung!$B509:$E509,0),0)=0,I520,INDEX(Spielauswertung!$AB509:$AE509,MATCH(Tabelle11[[#Headers],[Carsten_H]],Spielauswertung!$B509:$E509,0))+I520)</f>
        <v>92.572151836990628</v>
      </c>
      <c r="J521" s="1">
        <f>IF(IFERROR(MATCH(Tabelle11[[#Headers],[Christoph_R]],Spielauswertung!$B509:$E509,0),0)=0,J520,INDEX(Spielauswertung!$AB509:$AE509,MATCH(Tabelle11[[#Headers],[Christoph_R]],Spielauswertung!$B509:$E509,0))+J520)</f>
        <v>109.73261611443155</v>
      </c>
      <c r="K521" s="1">
        <f>IF(IFERROR(MATCH(Tabelle11[[#Headers],[Claudius_J]],Spielauswertung!$B509:$E509,0),0)=0,K520,INDEX(Spielauswertung!$AB509:$AE509,MATCH(Tabelle11[[#Headers],[Claudius_J]],Spielauswertung!$B509:$E509,0))+K520)</f>
        <v>106.16590636000029</v>
      </c>
      <c r="L521" s="1">
        <f>IF(IFERROR(MATCH(Tabelle11[[#Headers],[Daniel_D]],Spielauswertung!$B509:$E509,0),0)=0,L520,INDEX(Spielauswertung!$AB509:$AE509,MATCH(Tabelle11[[#Headers],[Daniel_D]],Spielauswertung!$B509:$E509,0))+L520)</f>
        <v>100.80438313591125</v>
      </c>
      <c r="M521" s="1">
        <f>IF(IFERROR(MATCH(Tabelle11[[#Headers],[David_R]],Spielauswertung!$B509:$E509,0),0)=0,M520,INDEX(Spielauswertung!$AB509:$AE509,MATCH(Tabelle11[[#Headers],[David_R]],Spielauswertung!$B509:$E509,0))+M520)</f>
        <v>96.715943522481638</v>
      </c>
      <c r="N521" s="1">
        <f>IF(IFERROR(MATCH(Tabelle11[[#Headers],[Dennis_P]],Spielauswertung!$B509:$E509,0),0)=0,N520,INDEX(Spielauswertung!$AB509:$AE509,MATCH(Tabelle11[[#Headers],[Dennis_P]],Spielauswertung!$B509:$E509,0))+N520)</f>
        <v>100.04773223105254</v>
      </c>
      <c r="O521" s="1">
        <f>IF(IFERROR(MATCH(Tabelle11[[#Headers],[Dennis_R]],Spielauswertung!$B509:$E509,0),0)=0,O520,INDEX(Spielauswertung!$AB509:$AE509,MATCH(Tabelle11[[#Headers],[Dennis_R]],Spielauswertung!$B509:$E509,0))+O520)</f>
        <v>75.131680864937195</v>
      </c>
      <c r="P521" s="1">
        <f>IF(IFERROR(MATCH(Tabelle11[[#Headers],[Detlef_R]],Spielauswertung!$B509:$E509,0),0)=0,P520,INDEX(Spielauswertung!$AB509:$AE509,MATCH(Tabelle11[[#Headers],[Detlef_R]],Spielauswertung!$B509:$E509,0))+P520)</f>
        <v>87.984671797367014</v>
      </c>
      <c r="Q521" s="1">
        <f>IF(IFERROR(MATCH(Tabelle11[[#Headers],[Dmitrij_M]],Spielauswertung!$B509:$E509,0),0)=0,Q520,INDEX(Spielauswertung!$AB509:$AE509,MATCH(Tabelle11[[#Headers],[Dmitrij_M]],Spielauswertung!$B509:$E509,0))+Q520)</f>
        <v>100.69975721846207</v>
      </c>
      <c r="R521" s="1">
        <f>IF(IFERROR(MATCH(Tabelle11[[#Headers],[Fabian_M]],Spielauswertung!$B509:$E509,0),0)=0,R520,INDEX(Spielauswertung!$AB509:$AE509,MATCH(Tabelle11[[#Headers],[Fabian_M]],Spielauswertung!$B509:$E509,0))+R520)</f>
        <v>96.683396186978783</v>
      </c>
      <c r="S521" s="1">
        <f>IF(IFERROR(MATCH(Tabelle11[[#Headers],[Hannes_S]],Spielauswertung!$B509:$E509,0),0)=0,S520,INDEX(Spielauswertung!$AB509:$AE509,MATCH(Tabelle11[[#Headers],[Hannes_S]],Spielauswertung!$B509:$E509,0))+S520)</f>
        <v>105.56436727519656</v>
      </c>
      <c r="T521" s="1">
        <f>IF(IFERROR(MATCH(Tabelle11[[#Headers],[Jan_B]],Spielauswertung!$B509:$E509,0),0)=0,T520,INDEX(Spielauswertung!$AB509:$AE509,MATCH(Tabelle11[[#Headers],[Jan_B]],Spielauswertung!$B509:$E509,0))+T520)</f>
        <v>97.024969013664531</v>
      </c>
      <c r="U521" s="1">
        <f>IF(IFERROR(MATCH(Tabelle11[[#Headers],[Jan_Hendrik_B]],Spielauswertung!$B509:$E509,0),0)=0,U520,INDEX(Spielauswertung!$AB509:$AE509,MATCH(Tabelle11[[#Headers],[Jan_Hendrik_B]],Spielauswertung!$B509:$E509,0))+U520)</f>
        <v>100.75492416935522</v>
      </c>
      <c r="V521" s="1">
        <f>IF(IFERROR(MATCH(Tabelle11[[#Headers],[Jens_N]],Spielauswertung!$B509:$E509,0),0)=0,V520,INDEX(Spielauswertung!$AB509:$AE509,MATCH(Tabelle11[[#Headers],[Jens_N]],Spielauswertung!$B509:$E509,0))+V520)</f>
        <v>100.65493399122809</v>
      </c>
      <c r="W521" s="1">
        <f>IF(IFERROR(MATCH(Tabelle11[[#Headers],[Johannes_S]],Spielauswertung!$B509:$E509,0),0)=0,W520,INDEX(Spielauswertung!$AB509:$AE509,MATCH(Tabelle11[[#Headers],[Johannes_S]],Spielauswertung!$B509:$E509,0))+W520)</f>
        <v>102.20284750979505</v>
      </c>
      <c r="X521" s="1">
        <f>IF(IFERROR(MATCH(Tabelle11[[#Headers],[Jonathan_F]],Spielauswertung!$B509:$E509,0),0)=0,X520,INDEX(Spielauswertung!$AB509:$AE509,MATCH(Tabelle11[[#Headers],[Jonathan_F]],Spielauswertung!$B509:$E509,0))+X520)</f>
        <v>98.938308797866256</v>
      </c>
      <c r="Y521" s="1">
        <f>IF(IFERROR(MATCH(Tabelle11[[#Headers],[Julius_P]],Spielauswertung!$B509:$E509,0),0)=0,Y520,INDEX(Spielauswertung!$AB509:$AE509,MATCH(Tabelle11[[#Headers],[Julius_P]],Spielauswertung!$B509:$E509,0))+Y520)</f>
        <v>96.540305101873642</v>
      </c>
      <c r="Z521" s="1">
        <f>IF(IFERROR(MATCH(Tabelle11[[#Headers],[Louis_W]],Spielauswertung!$B509:$E509,0),0)=0,Z520,INDEX(Spielauswertung!$AB509:$AE509,MATCH(Tabelle11[[#Headers],[Louis_W]],Spielauswertung!$B509:$E509,0))+Z520)</f>
        <v>87.497452285475362</v>
      </c>
      <c r="AA521" s="1">
        <f>IF(IFERROR(MATCH(Tabelle11[[#Headers],[Lukas_L]],Spielauswertung!$B509:$E509,0),0)=0,AA520,INDEX(Spielauswertung!$AB509:$AE509,MATCH(Tabelle11[[#Headers],[Lukas_L]],Spielauswertung!$B509:$E509,0))+AA520)</f>
        <v>97.557204275970349</v>
      </c>
      <c r="AB521" s="1">
        <f>IF(IFERROR(MATCH(Tabelle11[[#Headers],[Marcin_S]],Spielauswertung!$B509:$E509,0),0)=0,AB520,INDEX(Spielauswertung!$AB509:$AE509,MATCH(Tabelle11[[#Headers],[Marcin_S]],Spielauswertung!$B509:$E509,0))+AB520)</f>
        <v>81.492991903760696</v>
      </c>
      <c r="AC521" s="1">
        <f>IF(IFERROR(MATCH(Tabelle11[[#Headers],[Marco_K]],Spielauswertung!$B509:$E509,0),0)=0,AC520,INDEX(Spielauswertung!$AB509:$AE509,MATCH(Tabelle11[[#Headers],[Marco_K]],Spielauswertung!$B509:$E509,0))+AC520)</f>
        <v>102.12169819441469</v>
      </c>
      <c r="AD521" s="1">
        <f>IF(IFERROR(MATCH(Tabelle11[[#Headers],[Marius_M]],Spielauswertung!$B509:$E509,0),0)=0,AD520,INDEX(Spielauswertung!$AB509:$AE509,MATCH(Tabelle11[[#Headers],[Marius_M]],Spielauswertung!$B509:$E509,0))+AD520)</f>
        <v>124.54012374585781</v>
      </c>
      <c r="AE521" s="1">
        <f>IF(IFERROR(MATCH(Tabelle11[[#Headers],[Marvin_W]],Spielauswertung!$B509:$E509,0),0)=0,AE520,INDEX(Spielauswertung!$AB509:$AE509,MATCH(Tabelle11[[#Headers],[Marvin_W]],Spielauswertung!$B509:$E509,0))+AE520)</f>
        <v>97.901053696754047</v>
      </c>
      <c r="AF521" s="1">
        <f>IF(IFERROR(MATCH(Tabelle11[[#Headers],[Matthias_H]],Spielauswertung!$B509:$E509,0),0)=0,AF520,INDEX(Spielauswertung!$AB509:$AE509,MATCH(Tabelle11[[#Headers],[Matthias_H]],Spielauswertung!$B509:$E509,0))+AF520)</f>
        <v>105.42130178599372</v>
      </c>
      <c r="AG521" s="1">
        <f>IF(IFERROR(MATCH(Tabelle11[[#Headers],[Michael_D]],Spielauswertung!$B509:$E509,0),0)=0,AG520,INDEX(Spielauswertung!$AB509:$AE509,MATCH(Tabelle11[[#Headers],[Michael_D]],Spielauswertung!$B509:$E509,0))+AG520)</f>
        <v>97.325259927934127</v>
      </c>
      <c r="AH521" s="1">
        <f>IF(IFERROR(MATCH(Tabelle11[[#Headers],[Patrick_S]],Spielauswertung!$B509:$E509,0),0)=0,AH520,INDEX(Spielauswertung!$AB509:$AE509,MATCH(Tabelle11[[#Headers],[Patrick_S]],Spielauswertung!$B509:$E509,0))+AH520)</f>
        <v>98.975330692053802</v>
      </c>
      <c r="AI521" s="1">
        <f>IF(IFERROR(MATCH(Tabelle11[[#Headers],[Rano_M]],Spielauswertung!$B509:$E509,0),0)=0,AI520,INDEX(Spielauswertung!$AB509:$AE509,MATCH(Tabelle11[[#Headers],[Rano_M]],Spielauswertung!$B509:$E509,0))+AI520)</f>
        <v>109.38890657420265</v>
      </c>
      <c r="AJ521" s="1">
        <f>IF(IFERROR(MATCH(Tabelle11[[#Headers],[Rene_N]],Spielauswertung!$B509:$E509,0),0)=0,AJ520,INDEX(Spielauswertung!$AB509:$AE509,MATCH(Tabelle11[[#Headers],[Rene_N]],Spielauswertung!$B509:$E509,0))+AJ520)</f>
        <v>101.4355028770963</v>
      </c>
      <c r="AK521" s="1">
        <f>IF(IFERROR(MATCH(Tabelle11[[#Headers],[Rene_P]],Spielauswertung!$B509:$E509,0),0)=0,AK520,INDEX(Spielauswertung!$AB509:$AE509,MATCH(Tabelle11[[#Headers],[Rene_P]],Spielauswertung!$B509:$E509,0))+AK520)</f>
        <v>90.704997420314484</v>
      </c>
      <c r="AL521" s="1">
        <f>IF(IFERROR(MATCH(Tabelle11[[#Headers],[Richard_D]],Spielauswertung!$B509:$E509,0),0)=0,AL520,INDEX(Spielauswertung!$AB509:$AE509,MATCH(Tabelle11[[#Headers],[Richard_D]],Spielauswertung!$B509:$E509,0))+AL520)</f>
        <v>109.17717466870806</v>
      </c>
      <c r="AM521" s="1">
        <f>IF(IFERROR(MATCH(Tabelle11[[#Headers],[Rodrigo_R]],Spielauswertung!$B509:$E509,0),0)=0,AM520,INDEX(Spielauswertung!$AB509:$AE509,MATCH(Tabelle11[[#Headers],[Rodrigo_R]],Spielauswertung!$B509:$E509,0))+AM520)</f>
        <v>116.7028707921346</v>
      </c>
      <c r="AN521" s="1">
        <f>IF(IFERROR(MATCH(Tabelle11[[#Headers],[Sebastian_A]],Spielauswertung!$B509:$E509,0),0)=0,AN520,INDEX(Spielauswertung!$AB509:$AE509,MATCH(Tabelle11[[#Headers],[Sebastian_A]],Spielauswertung!$B509:$E509,0))+AN520)</f>
        <v>102.8225889582061</v>
      </c>
      <c r="AO521" s="1">
        <f>IF(IFERROR(MATCH(Tabelle11[[#Headers],[Sebastian_St]],Spielauswertung!$B509:$E509,0),0)=0,AO520,INDEX(Spielauswertung!$AB509:$AE509,MATCH(Tabelle11[[#Headers],[Sebastian_St]],Spielauswertung!$B509:$E509,0))+AO520)</f>
        <v>97.749574367408982</v>
      </c>
      <c r="AP521" s="1">
        <f>IF(IFERROR(MATCH(Tabelle11[[#Headers],[Simon_U]],Spielauswertung!$B509:$E509,0),0)=0,AP520,INDEX(Spielauswertung!$AB509:$AE509,MATCH(Tabelle11[[#Headers],[Simon_U]],Spielauswertung!$B509:$E509,0))+AP520)</f>
        <v>99.259488992076584</v>
      </c>
      <c r="AQ521" s="1">
        <f>IF(IFERROR(MATCH(Tabelle11[[#Headers],[Steffen_R]],Spielauswertung!$B509:$E509,0),0)=0,AQ520,INDEX(Spielauswertung!$AB509:$AE509,MATCH(Tabelle11[[#Headers],[Steffen_R]],Spielauswertung!$B509:$E509,0))+AQ520)</f>
        <v>93.558901743626024</v>
      </c>
      <c r="AR521" s="1">
        <f>IF(IFERROR(MATCH(Tabelle11[[#Headers],[Tim_R]],Spielauswertung!$B509:$E509,0),0)=0,AR520,INDEX(Spielauswertung!$AB509:$AE509,MATCH(Tabelle11[[#Headers],[Tim_R]],Spielauswertung!$B509:$E509,0))+AR520)</f>
        <v>103.07503787023374</v>
      </c>
      <c r="AS521" s="1">
        <f>IF(IFERROR(MATCH(Tabelle11[[#Headers],[Tobias_S]],Spielauswertung!$B509:$E509,0),0)=0,AS520,INDEX(Spielauswertung!$AB509:$AE509,MATCH(Tabelle11[[#Headers],[Tobias_S]],Spielauswertung!$B509:$E509,0))+AS520)</f>
        <v>98.6003422659997</v>
      </c>
      <c r="AT521" s="1">
        <f>IF(IFERROR(MATCH(Tabelle11[[#Headers],[Tom_R]],Spielauswertung!$B509:$E509,0),0)=0,AT520,INDEX(Spielauswertung!$AB509:$AE509,MATCH(Tabelle11[[#Headers],[Tom_R]],Spielauswertung!$B509:$E509,0))+AT520)</f>
        <v>113.65706124889796</v>
      </c>
      <c r="AU521" s="1">
        <f>IF(IFERROR(MATCH(Tabelle11[[#Headers],[Ton_L]],Spielauswertung!$B509:$E509,0),0)=0,AU520,INDEX(Spielauswertung!$AB509:$AE509,MATCH(Tabelle11[[#Headers],[Ton_L]],Spielauswertung!$B509:$E509,0))+AU520)</f>
        <v>92.683083360025861</v>
      </c>
      <c r="AV521" s="1">
        <f>IF(IFERROR(MATCH(Tabelle11[[#Headers],[Yixin_G]],Spielauswertung!$B509:$E509,0),0)=0,AV520,INDEX(Spielauswertung!$AB509:$AE509,MATCH(Tabelle11[[#Headers],[Yixin_G]],Spielauswertung!$B509:$E509,0))+AV520)</f>
        <v>99.900323214082661</v>
      </c>
      <c r="AW521" s="1">
        <f>IF(IFERROR(MATCH(Tabelle11[[#Headers],[Spalte36]],Spielauswertung!$B509:$E509,0),0)=0,AW520,INDEX(Spielauswertung!$AB509:$AE509,MATCH(Tabelle11[[#Headers],[Spalte36]],Spielauswertung!$B509:$E509,0))+AW520)</f>
        <v>100</v>
      </c>
      <c r="AX521" s="1">
        <f>IF(IFERROR(MATCH(Tabelle11[[#Headers],[Spalte37]],Spielauswertung!$B509:$E509,0),0)=0,AX520,INDEX(Spielauswertung!$AB509:$AE509,MATCH(Tabelle11[[#Headers],[Spalte37]],Spielauswertung!$B509:$E509,0))+AX520)</f>
        <v>100</v>
      </c>
      <c r="AY521" s="1">
        <f>IF(IFERROR(MATCH(Tabelle11[[#Headers],[Spalte38]],Spielauswertung!$B509:$E509,0),0)=0,AY520,INDEX(Spielauswertung!$AB509:$AE509,MATCH(Tabelle11[[#Headers],[Spalte38]],Spielauswertung!$B509:$E509,0))+AY520)</f>
        <v>100</v>
      </c>
      <c r="AZ521" s="1">
        <f>IF(IFERROR(MATCH(Tabelle11[[#Headers],[Spalte39]],Spielauswertung!$B509:$E509,0),0)=0,AZ520,INDEX(Spielauswertung!$AB509:$AE509,MATCH(Tabelle11[[#Headers],[Spalte39]],Spielauswertung!$B509:$E509,0))+AZ520)</f>
        <v>100</v>
      </c>
      <c r="BA521" s="1">
        <f>IF(IFERROR(MATCH(Tabelle11[[#Headers],[Spalte40]],Spielauswertung!$B509:$E509,0),0)=0,BA520,INDEX(Spielauswertung!$AB509:$AE509,MATCH(Tabelle11[[#Headers],[Spalte40]],Spielauswertung!$B509:$E509,0))+BA520)</f>
        <v>100</v>
      </c>
      <c r="BB521" s="1">
        <f>IF(IFERROR(MATCH(Tabelle11[[#Headers],[Spalte41]],Spielauswertung!$B509:$E509,0),0)=0,BB520,INDEX(Spielauswertung!$AB509:$AE509,MATCH(Tabelle11[[#Headers],[Spalte41]],Spielauswertung!$B509:$E509,0))+BB520)</f>
        <v>100</v>
      </c>
      <c r="BC521" s="1">
        <f>IF(IFERROR(MATCH(Tabelle11[[#Headers],[Spalte42]],Spielauswertung!$B509:$E509,0),0)=0,BC520,INDEX(Spielauswertung!$AB509:$AE509,MATCH(Tabelle11[[#Headers],[Spalte42]],Spielauswertung!$B509:$E509,0))+BC520)</f>
        <v>100</v>
      </c>
      <c r="BD521" s="1">
        <f>IF(IFERROR(MATCH(Tabelle11[[#Headers],[Spalte43]],Spielauswertung!$B509:$E509,0),0)=0,BD520,INDEX(Spielauswertung!$AB509:$AE509,MATCH(Tabelle11[[#Headers],[Spalte43]],Spielauswertung!$B509:$E509,0))+BD520)</f>
        <v>100</v>
      </c>
      <c r="BE521" s="1">
        <f>IF(IFERROR(MATCH(Tabelle11[[#Headers],[Spalte44]],Spielauswertung!$B509:$E509,0),0)=0,BE520,INDEX(Spielauswertung!$AB509:$AE509,MATCH(Tabelle11[[#Headers],[Spalte44]],Spielauswertung!$B509:$E509,0))+BE520)</f>
        <v>100</v>
      </c>
      <c r="BF521" s="1">
        <f>IF(IFERROR(MATCH(Tabelle11[[#Headers],[Spalte45]],Spielauswertung!$B509:$E509,0),0)=0,BF520,INDEX(Spielauswertung!$AB509:$AE509,MATCH(Tabelle11[[#Headers],[Spalte45]],Spielauswertung!$B509:$E509,0))+BF520)</f>
        <v>100</v>
      </c>
      <c r="BG521" s="1">
        <f>IF(IFERROR(MATCH(Tabelle11[[#Headers],[Spalte46]],Spielauswertung!$B509:$E509,0),0)=0,BG520,INDEX(Spielauswertung!$AB509:$AE509,MATCH(Tabelle11[[#Headers],[Spalte46]],Spielauswertung!$B509:$E509,0))+BG520)</f>
        <v>100</v>
      </c>
      <c r="BH521" s="1">
        <f>IF(IFERROR(MATCH(Tabelle11[[#Headers],[Spalte47]],Spielauswertung!$B509:$E509,0),0)=0,BH520,INDEX(Spielauswertung!$AB509:$AE509,MATCH(Tabelle11[[#Headers],[Spalte47]],Spielauswertung!$B509:$E509,0))+BH520)</f>
        <v>100</v>
      </c>
    </row>
    <row r="522" spans="1:60" x14ac:dyDescent="0.25">
      <c r="A522">
        <f t="shared" si="8"/>
        <v>509</v>
      </c>
      <c r="B522" s="1">
        <f>IF(IFERROR(MATCH(Tabelle11[[#Headers],[Aleix_V]],Spielauswertung!$B510:$E510,0),0)=0,B521,INDEX(Spielauswertung!$AB510:$AE510,MATCH(Tabelle11[[#Headers],[Aleix_V]],Spielauswertung!$B510:$E510,0))+B521)</f>
        <v>104.14934138064426</v>
      </c>
      <c r="C522" s="1">
        <f>IF(IFERROR(MATCH(Tabelle11[[#Headers],[Andres_H]],Spielauswertung!$B510:$E510,0),0)=0,C521,INDEX(Spielauswertung!$AB510:$AE510,MATCH(Tabelle11[[#Headers],[Andres_H]],Spielauswertung!$B510:$E510,0))+C521)</f>
        <v>95.535732339111306</v>
      </c>
      <c r="D522" s="1">
        <f>IF(IFERROR(MATCH(Tabelle11[[#Headers],[Anton_K]],Spielauswertung!$B510:$E510,0),0)=0,D521,INDEX(Spielauswertung!$AB510:$AE510,MATCH(Tabelle11[[#Headers],[Anton_K]],Spielauswertung!$B510:$E510,0))+D521)</f>
        <v>98.41146373956164</v>
      </c>
      <c r="E522" s="1">
        <f>IF(IFERROR(MATCH(Tabelle11[[#Headers],[Bastian_G]],Spielauswertung!$B510:$E510,0),0)=0,E521,INDEX(Spielauswertung!$AB510:$AE510,MATCH(Tabelle11[[#Headers],[Bastian_G]],Spielauswertung!$B510:$E510,0))+E521)</f>
        <v>113.46131166684883</v>
      </c>
      <c r="F522" s="1">
        <f>IF(IFERROR(MATCH(Tabelle11[[#Headers],[Ben_S]],Spielauswertung!$B510:$E510,0),0)=0,F521,INDEX(Spielauswertung!$AB510:$AE510,MATCH(Tabelle11[[#Headers],[Ben_S]],Spielauswertung!$B510:$E510,0))+F521)</f>
        <v>95.932799101521084</v>
      </c>
      <c r="G522" s="1">
        <f>IF(IFERROR(MATCH(Tabelle11[[#Headers],[Benedikt_K]],Spielauswertung!$B510:$E510,0),0)=0,G521,INDEX(Spielauswertung!$AB510:$AE510,MATCH(Tabelle11[[#Headers],[Benedikt_K]],Spielauswertung!$B510:$E510,0))+G521)</f>
        <v>101.20264176422626</v>
      </c>
      <c r="H522" s="1">
        <f>IF(IFERROR(MATCH(Tabelle11[[#Headers],[Benedikt_R]],Spielauswertung!$B510:$E510,0),0)=0,H521,INDEX(Spielauswertung!$AB510:$AE510,MATCH(Tabelle11[[#Headers],[Benedikt_R]],Spielauswertung!$B510:$E510,0))+H521)</f>
        <v>102.6264770510757</v>
      </c>
      <c r="I522" s="1">
        <f>IF(IFERROR(MATCH(Tabelle11[[#Headers],[Carsten_H]],Spielauswertung!$B510:$E510,0),0)=0,I521,INDEX(Spielauswertung!$AB510:$AE510,MATCH(Tabelle11[[#Headers],[Carsten_H]],Spielauswertung!$B510:$E510,0))+I521)</f>
        <v>93.891592096763162</v>
      </c>
      <c r="J522" s="1">
        <f>IF(IFERROR(MATCH(Tabelle11[[#Headers],[Christoph_R]],Spielauswertung!$B510:$E510,0),0)=0,J521,INDEX(Spielauswertung!$AB510:$AE510,MATCH(Tabelle11[[#Headers],[Christoph_R]],Spielauswertung!$B510:$E510,0))+J521)</f>
        <v>109.73261611443155</v>
      </c>
      <c r="K522" s="1">
        <f>IF(IFERROR(MATCH(Tabelle11[[#Headers],[Claudius_J]],Spielauswertung!$B510:$E510,0),0)=0,K521,INDEX(Spielauswertung!$AB510:$AE510,MATCH(Tabelle11[[#Headers],[Claudius_J]],Spielauswertung!$B510:$E510,0))+K521)</f>
        <v>106.16590636000029</v>
      </c>
      <c r="L522" s="1">
        <f>IF(IFERROR(MATCH(Tabelle11[[#Headers],[Daniel_D]],Spielauswertung!$B510:$E510,0),0)=0,L521,INDEX(Spielauswertung!$AB510:$AE510,MATCH(Tabelle11[[#Headers],[Daniel_D]],Spielauswertung!$B510:$E510,0))+L521)</f>
        <v>99.583616461786761</v>
      </c>
      <c r="M522" s="1">
        <f>IF(IFERROR(MATCH(Tabelle11[[#Headers],[David_R]],Spielauswertung!$B510:$E510,0),0)=0,M521,INDEX(Spielauswertung!$AB510:$AE510,MATCH(Tabelle11[[#Headers],[David_R]],Spielauswertung!$B510:$E510,0))+M521)</f>
        <v>96.715943522481638</v>
      </c>
      <c r="N522" s="1">
        <f>IF(IFERROR(MATCH(Tabelle11[[#Headers],[Dennis_P]],Spielauswertung!$B510:$E510,0),0)=0,N521,INDEX(Spielauswertung!$AB510:$AE510,MATCH(Tabelle11[[#Headers],[Dennis_P]],Spielauswertung!$B510:$E510,0))+N521)</f>
        <v>100.04773223105254</v>
      </c>
      <c r="O522" s="1">
        <f>IF(IFERROR(MATCH(Tabelle11[[#Headers],[Dennis_R]],Spielauswertung!$B510:$E510,0),0)=0,O521,INDEX(Spielauswertung!$AB510:$AE510,MATCH(Tabelle11[[#Headers],[Dennis_R]],Spielauswertung!$B510:$E510,0))+O521)</f>
        <v>75.131680864937195</v>
      </c>
      <c r="P522" s="1">
        <f>IF(IFERROR(MATCH(Tabelle11[[#Headers],[Detlef_R]],Spielauswertung!$B510:$E510,0),0)=0,P521,INDEX(Spielauswertung!$AB510:$AE510,MATCH(Tabelle11[[#Headers],[Detlef_R]],Spielauswertung!$B510:$E510,0))+P521)</f>
        <v>87.984671797367014</v>
      </c>
      <c r="Q522" s="1">
        <f>IF(IFERROR(MATCH(Tabelle11[[#Headers],[Dmitrij_M]],Spielauswertung!$B510:$E510,0),0)=0,Q521,INDEX(Spielauswertung!$AB510:$AE510,MATCH(Tabelle11[[#Headers],[Dmitrij_M]],Spielauswertung!$B510:$E510,0))+Q521)</f>
        <v>100.69975721846207</v>
      </c>
      <c r="R522" s="1">
        <f>IF(IFERROR(MATCH(Tabelle11[[#Headers],[Fabian_M]],Spielauswertung!$B510:$E510,0),0)=0,R521,INDEX(Spielauswertung!$AB510:$AE510,MATCH(Tabelle11[[#Headers],[Fabian_M]],Spielauswertung!$B510:$E510,0))+R521)</f>
        <v>96.683396186978783</v>
      </c>
      <c r="S522" s="1">
        <f>IF(IFERROR(MATCH(Tabelle11[[#Headers],[Hannes_S]],Spielauswertung!$B510:$E510,0),0)=0,S521,INDEX(Spielauswertung!$AB510:$AE510,MATCH(Tabelle11[[#Headers],[Hannes_S]],Spielauswertung!$B510:$E510,0))+S521)</f>
        <v>105.56436727519656</v>
      </c>
      <c r="T522" s="1">
        <f>IF(IFERROR(MATCH(Tabelle11[[#Headers],[Jan_B]],Spielauswertung!$B510:$E510,0),0)=0,T521,INDEX(Spielauswertung!$AB510:$AE510,MATCH(Tabelle11[[#Headers],[Jan_B]],Spielauswertung!$B510:$E510,0))+T521)</f>
        <v>97.024969013664531</v>
      </c>
      <c r="U522" s="1">
        <f>IF(IFERROR(MATCH(Tabelle11[[#Headers],[Jan_Hendrik_B]],Spielauswertung!$B510:$E510,0),0)=0,U521,INDEX(Spielauswertung!$AB510:$AE510,MATCH(Tabelle11[[#Headers],[Jan_Hendrik_B]],Spielauswertung!$B510:$E510,0))+U521)</f>
        <v>100.75492416935522</v>
      </c>
      <c r="V522" s="1">
        <f>IF(IFERROR(MATCH(Tabelle11[[#Headers],[Jens_N]],Spielauswertung!$B510:$E510,0),0)=0,V521,INDEX(Spielauswertung!$AB510:$AE510,MATCH(Tabelle11[[#Headers],[Jens_N]],Spielauswertung!$B510:$E510,0))+V521)</f>
        <v>100.65493399122809</v>
      </c>
      <c r="W522" s="1">
        <f>IF(IFERROR(MATCH(Tabelle11[[#Headers],[Johannes_S]],Spielauswertung!$B510:$E510,0),0)=0,W521,INDEX(Spielauswertung!$AB510:$AE510,MATCH(Tabelle11[[#Headers],[Johannes_S]],Spielauswertung!$B510:$E510,0))+W521)</f>
        <v>102.20284750979505</v>
      </c>
      <c r="X522" s="1">
        <f>IF(IFERROR(MATCH(Tabelle11[[#Headers],[Jonathan_F]],Spielauswertung!$B510:$E510,0),0)=0,X521,INDEX(Spielauswertung!$AB510:$AE510,MATCH(Tabelle11[[#Headers],[Jonathan_F]],Spielauswertung!$B510:$E510,0))+X521)</f>
        <v>98.938308797866256</v>
      </c>
      <c r="Y522" s="1">
        <f>IF(IFERROR(MATCH(Tabelle11[[#Headers],[Julius_P]],Spielauswertung!$B510:$E510,0),0)=0,Y521,INDEX(Spielauswertung!$AB510:$AE510,MATCH(Tabelle11[[#Headers],[Julius_P]],Spielauswertung!$B510:$E510,0))+Y521)</f>
        <v>96.540305101873642</v>
      </c>
      <c r="Z522" s="1">
        <f>IF(IFERROR(MATCH(Tabelle11[[#Headers],[Louis_W]],Spielauswertung!$B510:$E510,0),0)=0,Z521,INDEX(Spielauswertung!$AB510:$AE510,MATCH(Tabelle11[[#Headers],[Louis_W]],Spielauswertung!$B510:$E510,0))+Z521)</f>
        <v>87.497452285475362</v>
      </c>
      <c r="AA522" s="1">
        <f>IF(IFERROR(MATCH(Tabelle11[[#Headers],[Lukas_L]],Spielauswertung!$B510:$E510,0),0)=0,AA521,INDEX(Spielauswertung!$AB510:$AE510,MATCH(Tabelle11[[#Headers],[Lukas_L]],Spielauswertung!$B510:$E510,0))+AA521)</f>
        <v>97.557204275970349</v>
      </c>
      <c r="AB522" s="1">
        <f>IF(IFERROR(MATCH(Tabelle11[[#Headers],[Marcin_S]],Spielauswertung!$B510:$E510,0),0)=0,AB521,INDEX(Spielauswertung!$AB510:$AE510,MATCH(Tabelle11[[#Headers],[Marcin_S]],Spielauswertung!$B510:$E510,0))+AB521)</f>
        <v>81.492991903760696</v>
      </c>
      <c r="AC522" s="1">
        <f>IF(IFERROR(MATCH(Tabelle11[[#Headers],[Marco_K]],Spielauswertung!$B510:$E510,0),0)=0,AC521,INDEX(Spielauswertung!$AB510:$AE510,MATCH(Tabelle11[[#Headers],[Marco_K]],Spielauswertung!$B510:$E510,0))+AC521)</f>
        <v>102.12169819441469</v>
      </c>
      <c r="AD522" s="1">
        <f>IF(IFERROR(MATCH(Tabelle11[[#Headers],[Marius_M]],Spielauswertung!$B510:$E510,0),0)=0,AD521,INDEX(Spielauswertung!$AB510:$AE510,MATCH(Tabelle11[[#Headers],[Marius_M]],Spielauswertung!$B510:$E510,0))+AD521)</f>
        <v>124.54012374585781</v>
      </c>
      <c r="AE522" s="1">
        <f>IF(IFERROR(MATCH(Tabelle11[[#Headers],[Marvin_W]],Spielauswertung!$B510:$E510,0),0)=0,AE521,INDEX(Spielauswertung!$AB510:$AE510,MATCH(Tabelle11[[#Headers],[Marvin_W]],Spielauswertung!$B510:$E510,0))+AE521)</f>
        <v>96.715447079296425</v>
      </c>
      <c r="AF522" s="1">
        <f>IF(IFERROR(MATCH(Tabelle11[[#Headers],[Matthias_H]],Spielauswertung!$B510:$E510,0),0)=0,AF521,INDEX(Spielauswertung!$AB510:$AE510,MATCH(Tabelle11[[#Headers],[Matthias_H]],Spielauswertung!$B510:$E510,0))+AF521)</f>
        <v>105.42130178599372</v>
      </c>
      <c r="AG522" s="1">
        <f>IF(IFERROR(MATCH(Tabelle11[[#Headers],[Michael_D]],Spielauswertung!$B510:$E510,0),0)=0,AG521,INDEX(Spielauswertung!$AB510:$AE510,MATCH(Tabelle11[[#Headers],[Michael_D]],Spielauswertung!$B510:$E510,0))+AG521)</f>
        <v>97.325259927934127</v>
      </c>
      <c r="AH522" s="1">
        <f>IF(IFERROR(MATCH(Tabelle11[[#Headers],[Patrick_S]],Spielauswertung!$B510:$E510,0),0)=0,AH521,INDEX(Spielauswertung!$AB510:$AE510,MATCH(Tabelle11[[#Headers],[Patrick_S]],Spielauswertung!$B510:$E510,0))+AH521)</f>
        <v>98.975330692053802</v>
      </c>
      <c r="AI522" s="1">
        <f>IF(IFERROR(MATCH(Tabelle11[[#Headers],[Rano_M]],Spielauswertung!$B510:$E510,0),0)=0,AI521,INDEX(Spielauswertung!$AB510:$AE510,MATCH(Tabelle11[[#Headers],[Rano_M]],Spielauswertung!$B510:$E510,0))+AI521)</f>
        <v>109.38890657420265</v>
      </c>
      <c r="AJ522" s="1">
        <f>IF(IFERROR(MATCH(Tabelle11[[#Headers],[Rene_N]],Spielauswertung!$B510:$E510,0),0)=0,AJ521,INDEX(Spielauswertung!$AB510:$AE510,MATCH(Tabelle11[[#Headers],[Rene_N]],Spielauswertung!$B510:$E510,0))+AJ521)</f>
        <v>101.4355028770963</v>
      </c>
      <c r="AK522" s="1">
        <f>IF(IFERROR(MATCH(Tabelle11[[#Headers],[Rene_P]],Spielauswertung!$B510:$E510,0),0)=0,AK521,INDEX(Spielauswertung!$AB510:$AE510,MATCH(Tabelle11[[#Headers],[Rene_P]],Spielauswertung!$B510:$E510,0))+AK521)</f>
        <v>90.704997420314484</v>
      </c>
      <c r="AL522" s="1">
        <f>IF(IFERROR(MATCH(Tabelle11[[#Headers],[Richard_D]],Spielauswertung!$B510:$E510,0),0)=0,AL521,INDEX(Spielauswertung!$AB510:$AE510,MATCH(Tabelle11[[#Headers],[Richard_D]],Spielauswertung!$B510:$E510,0))+AL521)</f>
        <v>109.17717466870806</v>
      </c>
      <c r="AM522" s="1">
        <f>IF(IFERROR(MATCH(Tabelle11[[#Headers],[Rodrigo_R]],Spielauswertung!$B510:$E510,0),0)=0,AM521,INDEX(Spielauswertung!$AB510:$AE510,MATCH(Tabelle11[[#Headers],[Rodrigo_R]],Spielauswertung!$B510:$E510,0))+AM521)</f>
        <v>116.7028707921346</v>
      </c>
      <c r="AN522" s="1">
        <f>IF(IFERROR(MATCH(Tabelle11[[#Headers],[Sebastian_A]],Spielauswertung!$B510:$E510,0),0)=0,AN521,INDEX(Spielauswertung!$AB510:$AE510,MATCH(Tabelle11[[#Headers],[Sebastian_A]],Spielauswertung!$B510:$E510,0))+AN521)</f>
        <v>102.8225889582061</v>
      </c>
      <c r="AO522" s="1">
        <f>IF(IFERROR(MATCH(Tabelle11[[#Headers],[Sebastian_St]],Spielauswertung!$B510:$E510,0),0)=0,AO521,INDEX(Spielauswertung!$AB510:$AE510,MATCH(Tabelle11[[#Headers],[Sebastian_St]],Spielauswertung!$B510:$E510,0))+AO521)</f>
        <v>97.749574367408982</v>
      </c>
      <c r="AP522" s="1">
        <f>IF(IFERROR(MATCH(Tabelle11[[#Headers],[Simon_U]],Spielauswertung!$B510:$E510,0),0)=0,AP521,INDEX(Spielauswertung!$AB510:$AE510,MATCH(Tabelle11[[#Headers],[Simon_U]],Spielauswertung!$B510:$E510,0))+AP521)</f>
        <v>99.259488992076584</v>
      </c>
      <c r="AQ522" s="1">
        <f>IF(IFERROR(MATCH(Tabelle11[[#Headers],[Steffen_R]],Spielauswertung!$B510:$E510,0),0)=0,AQ521,INDEX(Spielauswertung!$AB510:$AE510,MATCH(Tabelle11[[#Headers],[Steffen_R]],Spielauswertung!$B510:$E510,0))+AQ521)</f>
        <v>93.558901743626024</v>
      </c>
      <c r="AR522" s="1">
        <f>IF(IFERROR(MATCH(Tabelle11[[#Headers],[Tim_R]],Spielauswertung!$B510:$E510,0),0)=0,AR521,INDEX(Spielauswertung!$AB510:$AE510,MATCH(Tabelle11[[#Headers],[Tim_R]],Spielauswertung!$B510:$E510,0))+AR521)</f>
        <v>103.07503787023374</v>
      </c>
      <c r="AS522" s="1">
        <f>IF(IFERROR(MATCH(Tabelle11[[#Headers],[Tobias_S]],Spielauswertung!$B510:$E510,0),0)=0,AS521,INDEX(Spielauswertung!$AB510:$AE510,MATCH(Tabelle11[[#Headers],[Tobias_S]],Spielauswertung!$B510:$E510,0))+AS521)</f>
        <v>98.6003422659997</v>
      </c>
      <c r="AT522" s="1">
        <f>IF(IFERROR(MATCH(Tabelle11[[#Headers],[Tom_R]],Spielauswertung!$B510:$E510,0),0)=0,AT521,INDEX(Spielauswertung!$AB510:$AE510,MATCH(Tabelle11[[#Headers],[Tom_R]],Spielauswertung!$B510:$E510,0))+AT521)</f>
        <v>113.65706124889796</v>
      </c>
      <c r="AU522" s="1">
        <f>IF(IFERROR(MATCH(Tabelle11[[#Headers],[Ton_L]],Spielauswertung!$B510:$E510,0),0)=0,AU521,INDEX(Spielauswertung!$AB510:$AE510,MATCH(Tabelle11[[#Headers],[Ton_L]],Spielauswertung!$B510:$E510,0))+AU521)</f>
        <v>92.683083360025861</v>
      </c>
      <c r="AV522" s="1">
        <f>IF(IFERROR(MATCH(Tabelle11[[#Headers],[Yixin_G]],Spielauswertung!$B510:$E510,0),0)=0,AV521,INDEX(Spielauswertung!$AB510:$AE510,MATCH(Tabelle11[[#Headers],[Yixin_G]],Spielauswertung!$B510:$E510,0))+AV521)</f>
        <v>99.900323214082661</v>
      </c>
      <c r="AW522" s="1">
        <f>IF(IFERROR(MATCH(Tabelle11[[#Headers],[Spalte36]],Spielauswertung!$B510:$E510,0),0)=0,AW521,INDEX(Spielauswertung!$AB510:$AE510,MATCH(Tabelle11[[#Headers],[Spalte36]],Spielauswertung!$B510:$E510,0))+AW521)</f>
        <v>100</v>
      </c>
      <c r="AX522" s="1">
        <f>IF(IFERROR(MATCH(Tabelle11[[#Headers],[Spalte37]],Spielauswertung!$B510:$E510,0),0)=0,AX521,INDEX(Spielauswertung!$AB510:$AE510,MATCH(Tabelle11[[#Headers],[Spalte37]],Spielauswertung!$B510:$E510,0))+AX521)</f>
        <v>100</v>
      </c>
      <c r="AY522" s="1">
        <f>IF(IFERROR(MATCH(Tabelle11[[#Headers],[Spalte38]],Spielauswertung!$B510:$E510,0),0)=0,AY521,INDEX(Spielauswertung!$AB510:$AE510,MATCH(Tabelle11[[#Headers],[Spalte38]],Spielauswertung!$B510:$E510,0))+AY521)</f>
        <v>100</v>
      </c>
      <c r="AZ522" s="1">
        <f>IF(IFERROR(MATCH(Tabelle11[[#Headers],[Spalte39]],Spielauswertung!$B510:$E510,0),0)=0,AZ521,INDEX(Spielauswertung!$AB510:$AE510,MATCH(Tabelle11[[#Headers],[Spalte39]],Spielauswertung!$B510:$E510,0))+AZ521)</f>
        <v>100</v>
      </c>
      <c r="BA522" s="1">
        <f>IF(IFERROR(MATCH(Tabelle11[[#Headers],[Spalte40]],Spielauswertung!$B510:$E510,0),0)=0,BA521,INDEX(Spielauswertung!$AB510:$AE510,MATCH(Tabelle11[[#Headers],[Spalte40]],Spielauswertung!$B510:$E510,0))+BA521)</f>
        <v>100</v>
      </c>
      <c r="BB522" s="1">
        <f>IF(IFERROR(MATCH(Tabelle11[[#Headers],[Spalte41]],Spielauswertung!$B510:$E510,0),0)=0,BB521,INDEX(Spielauswertung!$AB510:$AE510,MATCH(Tabelle11[[#Headers],[Spalte41]],Spielauswertung!$B510:$E510,0))+BB521)</f>
        <v>100</v>
      </c>
      <c r="BC522" s="1">
        <f>IF(IFERROR(MATCH(Tabelle11[[#Headers],[Spalte42]],Spielauswertung!$B510:$E510,0),0)=0,BC521,INDEX(Spielauswertung!$AB510:$AE510,MATCH(Tabelle11[[#Headers],[Spalte42]],Spielauswertung!$B510:$E510,0))+BC521)</f>
        <v>100</v>
      </c>
      <c r="BD522" s="1">
        <f>IF(IFERROR(MATCH(Tabelle11[[#Headers],[Spalte43]],Spielauswertung!$B510:$E510,0),0)=0,BD521,INDEX(Spielauswertung!$AB510:$AE510,MATCH(Tabelle11[[#Headers],[Spalte43]],Spielauswertung!$B510:$E510,0))+BD521)</f>
        <v>100</v>
      </c>
      <c r="BE522" s="1">
        <f>IF(IFERROR(MATCH(Tabelle11[[#Headers],[Spalte44]],Spielauswertung!$B510:$E510,0),0)=0,BE521,INDEX(Spielauswertung!$AB510:$AE510,MATCH(Tabelle11[[#Headers],[Spalte44]],Spielauswertung!$B510:$E510,0))+BE521)</f>
        <v>100</v>
      </c>
      <c r="BF522" s="1">
        <f>IF(IFERROR(MATCH(Tabelle11[[#Headers],[Spalte45]],Spielauswertung!$B510:$E510,0),0)=0,BF521,INDEX(Spielauswertung!$AB510:$AE510,MATCH(Tabelle11[[#Headers],[Spalte45]],Spielauswertung!$B510:$E510,0))+BF521)</f>
        <v>100</v>
      </c>
      <c r="BG522" s="1">
        <f>IF(IFERROR(MATCH(Tabelle11[[#Headers],[Spalte46]],Spielauswertung!$B510:$E510,0),0)=0,BG521,INDEX(Spielauswertung!$AB510:$AE510,MATCH(Tabelle11[[#Headers],[Spalte46]],Spielauswertung!$B510:$E510,0))+BG521)</f>
        <v>100</v>
      </c>
      <c r="BH522" s="1">
        <f>IF(IFERROR(MATCH(Tabelle11[[#Headers],[Spalte47]],Spielauswertung!$B510:$E510,0),0)=0,BH521,INDEX(Spielauswertung!$AB510:$AE510,MATCH(Tabelle11[[#Headers],[Spalte47]],Spielauswertung!$B510:$E510,0))+BH521)</f>
        <v>100</v>
      </c>
    </row>
    <row r="523" spans="1:60" x14ac:dyDescent="0.25">
      <c r="A523">
        <f t="shared" si="8"/>
        <v>510</v>
      </c>
      <c r="B523" s="1">
        <f>IF(IFERROR(MATCH(Tabelle11[[#Headers],[Aleix_V]],Spielauswertung!$B511:$E511,0),0)=0,B522,INDEX(Spielauswertung!$AB511:$AE511,MATCH(Tabelle11[[#Headers],[Aleix_V]],Spielauswertung!$B511:$E511,0))+B522)</f>
        <v>104.14934138064426</v>
      </c>
      <c r="C523" s="1">
        <f>IF(IFERROR(MATCH(Tabelle11[[#Headers],[Andres_H]],Spielauswertung!$B511:$E511,0),0)=0,C522,INDEX(Spielauswertung!$AB511:$AE511,MATCH(Tabelle11[[#Headers],[Andres_H]],Spielauswertung!$B511:$E511,0))+C522)</f>
        <v>95.535732339111306</v>
      </c>
      <c r="D523" s="1">
        <f>IF(IFERROR(MATCH(Tabelle11[[#Headers],[Anton_K]],Spielauswertung!$B511:$E511,0),0)=0,D522,INDEX(Spielauswertung!$AB511:$AE511,MATCH(Tabelle11[[#Headers],[Anton_K]],Spielauswertung!$B511:$E511,0))+D522)</f>
        <v>98.41146373956164</v>
      </c>
      <c r="E523" s="1">
        <f>IF(IFERROR(MATCH(Tabelle11[[#Headers],[Bastian_G]],Spielauswertung!$B511:$E511,0),0)=0,E522,INDEX(Spielauswertung!$AB511:$AE511,MATCH(Tabelle11[[#Headers],[Bastian_G]],Spielauswertung!$B511:$E511,0))+E522)</f>
        <v>113.46131166684883</v>
      </c>
      <c r="F523" s="1">
        <f>IF(IFERROR(MATCH(Tabelle11[[#Headers],[Ben_S]],Spielauswertung!$B511:$E511,0),0)=0,F522,INDEX(Spielauswertung!$AB511:$AE511,MATCH(Tabelle11[[#Headers],[Ben_S]],Spielauswertung!$B511:$E511,0))+F522)</f>
        <v>95.932799101521084</v>
      </c>
      <c r="G523" s="1">
        <f>IF(IFERROR(MATCH(Tabelle11[[#Headers],[Benedikt_K]],Spielauswertung!$B511:$E511,0),0)=0,G522,INDEX(Spielauswertung!$AB511:$AE511,MATCH(Tabelle11[[#Headers],[Benedikt_K]],Spielauswertung!$B511:$E511,0))+G522)</f>
        <v>101.20264176422626</v>
      </c>
      <c r="H523" s="1">
        <f>IF(IFERROR(MATCH(Tabelle11[[#Headers],[Benedikt_R]],Spielauswertung!$B511:$E511,0),0)=0,H522,INDEX(Spielauswertung!$AB511:$AE511,MATCH(Tabelle11[[#Headers],[Benedikt_R]],Spielauswertung!$B511:$E511,0))+H522)</f>
        <v>102.6264770510757</v>
      </c>
      <c r="I523" s="1">
        <f>IF(IFERROR(MATCH(Tabelle11[[#Headers],[Carsten_H]],Spielauswertung!$B511:$E511,0),0)=0,I522,INDEX(Spielauswertung!$AB511:$AE511,MATCH(Tabelle11[[#Headers],[Carsten_H]],Spielauswertung!$B511:$E511,0))+I522)</f>
        <v>93.891592096763162</v>
      </c>
      <c r="J523" s="1">
        <f>IF(IFERROR(MATCH(Tabelle11[[#Headers],[Christoph_R]],Spielauswertung!$B511:$E511,0),0)=0,J522,INDEX(Spielauswertung!$AB511:$AE511,MATCH(Tabelle11[[#Headers],[Christoph_R]],Spielauswertung!$B511:$E511,0))+J522)</f>
        <v>109.73261611443155</v>
      </c>
      <c r="K523" s="1">
        <f>IF(IFERROR(MATCH(Tabelle11[[#Headers],[Claudius_J]],Spielauswertung!$B511:$E511,0),0)=0,K522,INDEX(Spielauswertung!$AB511:$AE511,MATCH(Tabelle11[[#Headers],[Claudius_J]],Spielauswertung!$B511:$E511,0))+K522)</f>
        <v>106.16590636000029</v>
      </c>
      <c r="L523" s="1">
        <f>IF(IFERROR(MATCH(Tabelle11[[#Headers],[Daniel_D]],Spielauswertung!$B511:$E511,0),0)=0,L522,INDEX(Spielauswertung!$AB511:$AE511,MATCH(Tabelle11[[#Headers],[Daniel_D]],Spielauswertung!$B511:$E511,0))+L522)</f>
        <v>100.0711805376674</v>
      </c>
      <c r="M523" s="1">
        <f>IF(IFERROR(MATCH(Tabelle11[[#Headers],[David_R]],Spielauswertung!$B511:$E511,0),0)=0,M522,INDEX(Spielauswertung!$AB511:$AE511,MATCH(Tabelle11[[#Headers],[David_R]],Spielauswertung!$B511:$E511,0))+M522)</f>
        <v>96.715943522481638</v>
      </c>
      <c r="N523" s="1">
        <f>IF(IFERROR(MATCH(Tabelle11[[#Headers],[Dennis_P]],Spielauswertung!$B511:$E511,0),0)=0,N522,INDEX(Spielauswertung!$AB511:$AE511,MATCH(Tabelle11[[#Headers],[Dennis_P]],Spielauswertung!$B511:$E511,0))+N522)</f>
        <v>100.04773223105254</v>
      </c>
      <c r="O523" s="1">
        <f>IF(IFERROR(MATCH(Tabelle11[[#Headers],[Dennis_R]],Spielauswertung!$B511:$E511,0),0)=0,O522,INDEX(Spielauswertung!$AB511:$AE511,MATCH(Tabelle11[[#Headers],[Dennis_R]],Spielauswertung!$B511:$E511,0))+O522)</f>
        <v>75.131680864937195</v>
      </c>
      <c r="P523" s="1">
        <f>IF(IFERROR(MATCH(Tabelle11[[#Headers],[Detlef_R]],Spielauswertung!$B511:$E511,0),0)=0,P522,INDEX(Spielauswertung!$AB511:$AE511,MATCH(Tabelle11[[#Headers],[Detlef_R]],Spielauswertung!$B511:$E511,0))+P522)</f>
        <v>87.984671797367014</v>
      </c>
      <c r="Q523" s="1">
        <f>IF(IFERROR(MATCH(Tabelle11[[#Headers],[Dmitrij_M]],Spielauswertung!$B511:$E511,0),0)=0,Q522,INDEX(Spielauswertung!$AB511:$AE511,MATCH(Tabelle11[[#Headers],[Dmitrij_M]],Spielauswertung!$B511:$E511,0))+Q522)</f>
        <v>100.69975721846207</v>
      </c>
      <c r="R523" s="1">
        <f>IF(IFERROR(MATCH(Tabelle11[[#Headers],[Fabian_M]],Spielauswertung!$B511:$E511,0),0)=0,R522,INDEX(Spielauswertung!$AB511:$AE511,MATCH(Tabelle11[[#Headers],[Fabian_M]],Spielauswertung!$B511:$E511,0))+R522)</f>
        <v>96.683396186978783</v>
      </c>
      <c r="S523" s="1">
        <f>IF(IFERROR(MATCH(Tabelle11[[#Headers],[Hannes_S]],Spielauswertung!$B511:$E511,0),0)=0,S522,INDEX(Spielauswertung!$AB511:$AE511,MATCH(Tabelle11[[#Headers],[Hannes_S]],Spielauswertung!$B511:$E511,0))+S522)</f>
        <v>105.56436727519656</v>
      </c>
      <c r="T523" s="1">
        <f>IF(IFERROR(MATCH(Tabelle11[[#Headers],[Jan_B]],Spielauswertung!$B511:$E511,0),0)=0,T522,INDEX(Spielauswertung!$AB511:$AE511,MATCH(Tabelle11[[#Headers],[Jan_B]],Spielauswertung!$B511:$E511,0))+T522)</f>
        <v>96.499002064572466</v>
      </c>
      <c r="U523" s="1">
        <f>IF(IFERROR(MATCH(Tabelle11[[#Headers],[Jan_Hendrik_B]],Spielauswertung!$B511:$E511,0),0)=0,U522,INDEX(Spielauswertung!$AB511:$AE511,MATCH(Tabelle11[[#Headers],[Jan_Hendrik_B]],Spielauswertung!$B511:$E511,0))+U522)</f>
        <v>100.75492416935522</v>
      </c>
      <c r="V523" s="1">
        <f>IF(IFERROR(MATCH(Tabelle11[[#Headers],[Jens_N]],Spielauswertung!$B511:$E511,0),0)=0,V522,INDEX(Spielauswertung!$AB511:$AE511,MATCH(Tabelle11[[#Headers],[Jens_N]],Spielauswertung!$B511:$E511,0))+V522)</f>
        <v>100.65493399122809</v>
      </c>
      <c r="W523" s="1">
        <f>IF(IFERROR(MATCH(Tabelle11[[#Headers],[Johannes_S]],Spielauswertung!$B511:$E511,0),0)=0,W522,INDEX(Spielauswertung!$AB511:$AE511,MATCH(Tabelle11[[#Headers],[Johannes_S]],Spielauswertung!$B511:$E511,0))+W522)</f>
        <v>102.20284750979505</v>
      </c>
      <c r="X523" s="1">
        <f>IF(IFERROR(MATCH(Tabelle11[[#Headers],[Jonathan_F]],Spielauswertung!$B511:$E511,0),0)=0,X522,INDEX(Spielauswertung!$AB511:$AE511,MATCH(Tabelle11[[#Headers],[Jonathan_F]],Spielauswertung!$B511:$E511,0))+X522)</f>
        <v>98.938308797866256</v>
      </c>
      <c r="Y523" s="1">
        <f>IF(IFERROR(MATCH(Tabelle11[[#Headers],[Julius_P]],Spielauswertung!$B511:$E511,0),0)=0,Y522,INDEX(Spielauswertung!$AB511:$AE511,MATCH(Tabelle11[[#Headers],[Julius_P]],Spielauswertung!$B511:$E511,0))+Y522)</f>
        <v>96.540305101873642</v>
      </c>
      <c r="Z523" s="1">
        <f>IF(IFERROR(MATCH(Tabelle11[[#Headers],[Louis_W]],Spielauswertung!$B511:$E511,0),0)=0,Z522,INDEX(Spielauswertung!$AB511:$AE511,MATCH(Tabelle11[[#Headers],[Louis_W]],Spielauswertung!$B511:$E511,0))+Z522)</f>
        <v>87.497452285475362</v>
      </c>
      <c r="AA523" s="1">
        <f>IF(IFERROR(MATCH(Tabelle11[[#Headers],[Lukas_L]],Spielauswertung!$B511:$E511,0),0)=0,AA522,INDEX(Spielauswertung!$AB511:$AE511,MATCH(Tabelle11[[#Headers],[Lukas_L]],Spielauswertung!$B511:$E511,0))+AA522)</f>
        <v>97.557204275970349</v>
      </c>
      <c r="AB523" s="1">
        <f>IF(IFERROR(MATCH(Tabelle11[[#Headers],[Marcin_S]],Spielauswertung!$B511:$E511,0),0)=0,AB522,INDEX(Spielauswertung!$AB511:$AE511,MATCH(Tabelle11[[#Headers],[Marcin_S]],Spielauswertung!$B511:$E511,0))+AB522)</f>
        <v>82.088790300638593</v>
      </c>
      <c r="AC523" s="1">
        <f>IF(IFERROR(MATCH(Tabelle11[[#Headers],[Marco_K]],Spielauswertung!$B511:$E511,0),0)=0,AC522,INDEX(Spielauswertung!$AB511:$AE511,MATCH(Tabelle11[[#Headers],[Marco_K]],Spielauswertung!$B511:$E511,0))+AC522)</f>
        <v>102.12169819441469</v>
      </c>
      <c r="AD523" s="1">
        <f>IF(IFERROR(MATCH(Tabelle11[[#Headers],[Marius_M]],Spielauswertung!$B511:$E511,0),0)=0,AD522,INDEX(Spielauswertung!$AB511:$AE511,MATCH(Tabelle11[[#Headers],[Marius_M]],Spielauswertung!$B511:$E511,0))+AD522)</f>
        <v>124.54012374585781</v>
      </c>
      <c r="AE523" s="1">
        <f>IF(IFERROR(MATCH(Tabelle11[[#Headers],[Marvin_W]],Spielauswertung!$B511:$E511,0),0)=0,AE522,INDEX(Spielauswertung!$AB511:$AE511,MATCH(Tabelle11[[#Headers],[Marvin_W]],Spielauswertung!$B511:$E511,0))+AE522)</f>
        <v>96.715447079296425</v>
      </c>
      <c r="AF523" s="1">
        <f>IF(IFERROR(MATCH(Tabelle11[[#Headers],[Matthias_H]],Spielauswertung!$B511:$E511,0),0)=0,AF522,INDEX(Spielauswertung!$AB511:$AE511,MATCH(Tabelle11[[#Headers],[Matthias_H]],Spielauswertung!$B511:$E511,0))+AF522)</f>
        <v>105.42130178599372</v>
      </c>
      <c r="AG523" s="1">
        <f>IF(IFERROR(MATCH(Tabelle11[[#Headers],[Michael_D]],Spielauswertung!$B511:$E511,0),0)=0,AG522,INDEX(Spielauswertung!$AB511:$AE511,MATCH(Tabelle11[[#Headers],[Michael_D]],Spielauswertung!$B511:$E511,0))+AG522)</f>
        <v>97.325259927934127</v>
      </c>
      <c r="AH523" s="1">
        <f>IF(IFERROR(MATCH(Tabelle11[[#Headers],[Patrick_S]],Spielauswertung!$B511:$E511,0),0)=0,AH522,INDEX(Spielauswertung!$AB511:$AE511,MATCH(Tabelle11[[#Headers],[Patrick_S]],Spielauswertung!$B511:$E511,0))+AH522)</f>
        <v>98.975330692053802</v>
      </c>
      <c r="AI523" s="1">
        <f>IF(IFERROR(MATCH(Tabelle11[[#Headers],[Rano_M]],Spielauswertung!$B511:$E511,0),0)=0,AI522,INDEX(Spielauswertung!$AB511:$AE511,MATCH(Tabelle11[[#Headers],[Rano_M]],Spielauswertung!$B511:$E511,0))+AI522)</f>
        <v>109.38890657420265</v>
      </c>
      <c r="AJ523" s="1">
        <f>IF(IFERROR(MATCH(Tabelle11[[#Headers],[Rene_N]],Spielauswertung!$B511:$E511,0),0)=0,AJ522,INDEX(Spielauswertung!$AB511:$AE511,MATCH(Tabelle11[[#Headers],[Rene_N]],Spielauswertung!$B511:$E511,0))+AJ522)</f>
        <v>101.4355028770963</v>
      </c>
      <c r="AK523" s="1">
        <f>IF(IFERROR(MATCH(Tabelle11[[#Headers],[Rene_P]],Spielauswertung!$B511:$E511,0),0)=0,AK522,INDEX(Spielauswertung!$AB511:$AE511,MATCH(Tabelle11[[#Headers],[Rene_P]],Spielauswertung!$B511:$E511,0))+AK522)</f>
        <v>90.704997420314484</v>
      </c>
      <c r="AL523" s="1">
        <f>IF(IFERROR(MATCH(Tabelle11[[#Headers],[Richard_D]],Spielauswertung!$B511:$E511,0),0)=0,AL522,INDEX(Spielauswertung!$AB511:$AE511,MATCH(Tabelle11[[#Headers],[Richard_D]],Spielauswertung!$B511:$E511,0))+AL522)</f>
        <v>109.17717466870806</v>
      </c>
      <c r="AM523" s="1">
        <f>IF(IFERROR(MATCH(Tabelle11[[#Headers],[Rodrigo_R]],Spielauswertung!$B511:$E511,0),0)=0,AM522,INDEX(Spielauswertung!$AB511:$AE511,MATCH(Tabelle11[[#Headers],[Rodrigo_R]],Spielauswertung!$B511:$E511,0))+AM522)</f>
        <v>116.7028707921346</v>
      </c>
      <c r="AN523" s="1">
        <f>IF(IFERROR(MATCH(Tabelle11[[#Headers],[Sebastian_A]],Spielauswertung!$B511:$E511,0),0)=0,AN522,INDEX(Spielauswertung!$AB511:$AE511,MATCH(Tabelle11[[#Headers],[Sebastian_A]],Spielauswertung!$B511:$E511,0))+AN522)</f>
        <v>102.26519343453963</v>
      </c>
      <c r="AO523" s="1">
        <f>IF(IFERROR(MATCH(Tabelle11[[#Headers],[Sebastian_St]],Spielauswertung!$B511:$E511,0),0)=0,AO522,INDEX(Spielauswertung!$AB511:$AE511,MATCH(Tabelle11[[#Headers],[Sebastian_St]],Spielauswertung!$B511:$E511,0))+AO522)</f>
        <v>97.749574367408982</v>
      </c>
      <c r="AP523" s="1">
        <f>IF(IFERROR(MATCH(Tabelle11[[#Headers],[Simon_U]],Spielauswertung!$B511:$E511,0),0)=0,AP522,INDEX(Spielauswertung!$AB511:$AE511,MATCH(Tabelle11[[#Headers],[Simon_U]],Spielauswertung!$B511:$E511,0))+AP522)</f>
        <v>99.259488992076584</v>
      </c>
      <c r="AQ523" s="1">
        <f>IF(IFERROR(MATCH(Tabelle11[[#Headers],[Steffen_R]],Spielauswertung!$B511:$E511,0),0)=0,AQ522,INDEX(Spielauswertung!$AB511:$AE511,MATCH(Tabelle11[[#Headers],[Steffen_R]],Spielauswertung!$B511:$E511,0))+AQ522)</f>
        <v>93.558901743626024</v>
      </c>
      <c r="AR523" s="1">
        <f>IF(IFERROR(MATCH(Tabelle11[[#Headers],[Tim_R]],Spielauswertung!$B511:$E511,0),0)=0,AR522,INDEX(Spielauswertung!$AB511:$AE511,MATCH(Tabelle11[[#Headers],[Tim_R]],Spielauswertung!$B511:$E511,0))+AR522)</f>
        <v>103.07503787023374</v>
      </c>
      <c r="AS523" s="1">
        <f>IF(IFERROR(MATCH(Tabelle11[[#Headers],[Tobias_S]],Spielauswertung!$B511:$E511,0),0)=0,AS522,INDEX(Spielauswertung!$AB511:$AE511,MATCH(Tabelle11[[#Headers],[Tobias_S]],Spielauswertung!$B511:$E511,0))+AS522)</f>
        <v>98.6003422659997</v>
      </c>
      <c r="AT523" s="1">
        <f>IF(IFERROR(MATCH(Tabelle11[[#Headers],[Tom_R]],Spielauswertung!$B511:$E511,0),0)=0,AT522,INDEX(Spielauswertung!$AB511:$AE511,MATCH(Tabelle11[[#Headers],[Tom_R]],Spielauswertung!$B511:$E511,0))+AT522)</f>
        <v>113.65706124889796</v>
      </c>
      <c r="AU523" s="1">
        <f>IF(IFERROR(MATCH(Tabelle11[[#Headers],[Ton_L]],Spielauswertung!$B511:$E511,0),0)=0,AU522,INDEX(Spielauswertung!$AB511:$AE511,MATCH(Tabelle11[[#Headers],[Ton_L]],Spielauswertung!$B511:$E511,0))+AU522)</f>
        <v>92.683083360025861</v>
      </c>
      <c r="AV523" s="1">
        <f>IF(IFERROR(MATCH(Tabelle11[[#Headers],[Yixin_G]],Spielauswertung!$B511:$E511,0),0)=0,AV522,INDEX(Spielauswertung!$AB511:$AE511,MATCH(Tabelle11[[#Headers],[Yixin_G]],Spielauswertung!$B511:$E511,0))+AV522)</f>
        <v>99.900323214082661</v>
      </c>
      <c r="AW523" s="1">
        <f>IF(IFERROR(MATCH(Tabelle11[[#Headers],[Spalte36]],Spielauswertung!$B511:$E511,0),0)=0,AW522,INDEX(Spielauswertung!$AB511:$AE511,MATCH(Tabelle11[[#Headers],[Spalte36]],Spielauswertung!$B511:$E511,0))+AW522)</f>
        <v>100</v>
      </c>
      <c r="AX523" s="1">
        <f>IF(IFERROR(MATCH(Tabelle11[[#Headers],[Spalte37]],Spielauswertung!$B511:$E511,0),0)=0,AX522,INDEX(Spielauswertung!$AB511:$AE511,MATCH(Tabelle11[[#Headers],[Spalte37]],Spielauswertung!$B511:$E511,0))+AX522)</f>
        <v>100</v>
      </c>
      <c r="AY523" s="1">
        <f>IF(IFERROR(MATCH(Tabelle11[[#Headers],[Spalte38]],Spielauswertung!$B511:$E511,0),0)=0,AY522,INDEX(Spielauswertung!$AB511:$AE511,MATCH(Tabelle11[[#Headers],[Spalte38]],Spielauswertung!$B511:$E511,0))+AY522)</f>
        <v>100</v>
      </c>
      <c r="AZ523" s="1">
        <f>IF(IFERROR(MATCH(Tabelle11[[#Headers],[Spalte39]],Spielauswertung!$B511:$E511,0),0)=0,AZ522,INDEX(Spielauswertung!$AB511:$AE511,MATCH(Tabelle11[[#Headers],[Spalte39]],Spielauswertung!$B511:$E511,0))+AZ522)</f>
        <v>100</v>
      </c>
      <c r="BA523" s="1">
        <f>IF(IFERROR(MATCH(Tabelle11[[#Headers],[Spalte40]],Spielauswertung!$B511:$E511,0),0)=0,BA522,INDEX(Spielauswertung!$AB511:$AE511,MATCH(Tabelle11[[#Headers],[Spalte40]],Spielauswertung!$B511:$E511,0))+BA522)</f>
        <v>100</v>
      </c>
      <c r="BB523" s="1">
        <f>IF(IFERROR(MATCH(Tabelle11[[#Headers],[Spalte41]],Spielauswertung!$B511:$E511,0),0)=0,BB522,INDEX(Spielauswertung!$AB511:$AE511,MATCH(Tabelle11[[#Headers],[Spalte41]],Spielauswertung!$B511:$E511,0))+BB522)</f>
        <v>100</v>
      </c>
      <c r="BC523" s="1">
        <f>IF(IFERROR(MATCH(Tabelle11[[#Headers],[Spalte42]],Spielauswertung!$B511:$E511,0),0)=0,BC522,INDEX(Spielauswertung!$AB511:$AE511,MATCH(Tabelle11[[#Headers],[Spalte42]],Spielauswertung!$B511:$E511,0))+BC522)</f>
        <v>100</v>
      </c>
      <c r="BD523" s="1">
        <f>IF(IFERROR(MATCH(Tabelle11[[#Headers],[Spalte43]],Spielauswertung!$B511:$E511,0),0)=0,BD522,INDEX(Spielauswertung!$AB511:$AE511,MATCH(Tabelle11[[#Headers],[Spalte43]],Spielauswertung!$B511:$E511,0))+BD522)</f>
        <v>100</v>
      </c>
      <c r="BE523" s="1">
        <f>IF(IFERROR(MATCH(Tabelle11[[#Headers],[Spalte44]],Spielauswertung!$B511:$E511,0),0)=0,BE522,INDEX(Spielauswertung!$AB511:$AE511,MATCH(Tabelle11[[#Headers],[Spalte44]],Spielauswertung!$B511:$E511,0))+BE522)</f>
        <v>100</v>
      </c>
      <c r="BF523" s="1">
        <f>IF(IFERROR(MATCH(Tabelle11[[#Headers],[Spalte45]],Spielauswertung!$B511:$E511,0),0)=0,BF522,INDEX(Spielauswertung!$AB511:$AE511,MATCH(Tabelle11[[#Headers],[Spalte45]],Spielauswertung!$B511:$E511,0))+BF522)</f>
        <v>100</v>
      </c>
      <c r="BG523" s="1">
        <f>IF(IFERROR(MATCH(Tabelle11[[#Headers],[Spalte46]],Spielauswertung!$B511:$E511,0),0)=0,BG522,INDEX(Spielauswertung!$AB511:$AE511,MATCH(Tabelle11[[#Headers],[Spalte46]],Spielauswertung!$B511:$E511,0))+BG522)</f>
        <v>100</v>
      </c>
      <c r="BH523" s="1">
        <f>IF(IFERROR(MATCH(Tabelle11[[#Headers],[Spalte47]],Spielauswertung!$B511:$E511,0),0)=0,BH522,INDEX(Spielauswertung!$AB511:$AE511,MATCH(Tabelle11[[#Headers],[Spalte47]],Spielauswertung!$B511:$E511,0))+BH522)</f>
        <v>100</v>
      </c>
    </row>
    <row r="524" spans="1:60" x14ac:dyDescent="0.25">
      <c r="A524">
        <f t="shared" si="8"/>
        <v>511</v>
      </c>
      <c r="B524" s="1">
        <f>IF(IFERROR(MATCH(Tabelle11[[#Headers],[Aleix_V]],Spielauswertung!$B512:$E512,0),0)=0,B523,INDEX(Spielauswertung!$AB512:$AE512,MATCH(Tabelle11[[#Headers],[Aleix_V]],Spielauswertung!$B512:$E512,0))+B523)</f>
        <v>104.14934138064426</v>
      </c>
      <c r="C524" s="1">
        <f>IF(IFERROR(MATCH(Tabelle11[[#Headers],[Andres_H]],Spielauswertung!$B512:$E512,0),0)=0,C523,INDEX(Spielauswertung!$AB512:$AE512,MATCH(Tabelle11[[#Headers],[Andres_H]],Spielauswertung!$B512:$E512,0))+C523)</f>
        <v>95.535732339111306</v>
      </c>
      <c r="D524" s="1">
        <f>IF(IFERROR(MATCH(Tabelle11[[#Headers],[Anton_K]],Spielauswertung!$B512:$E512,0),0)=0,D523,INDEX(Spielauswertung!$AB512:$AE512,MATCH(Tabelle11[[#Headers],[Anton_K]],Spielauswertung!$B512:$E512,0))+D523)</f>
        <v>98.41146373956164</v>
      </c>
      <c r="E524" s="1">
        <f>IF(IFERROR(MATCH(Tabelle11[[#Headers],[Bastian_G]],Spielauswertung!$B512:$E512,0),0)=0,E523,INDEX(Spielauswertung!$AB512:$AE512,MATCH(Tabelle11[[#Headers],[Bastian_G]],Spielauswertung!$B512:$E512,0))+E523)</f>
        <v>113.46131166684883</v>
      </c>
      <c r="F524" s="1">
        <f>IF(IFERROR(MATCH(Tabelle11[[#Headers],[Ben_S]],Spielauswertung!$B512:$E512,0),0)=0,F523,INDEX(Spielauswertung!$AB512:$AE512,MATCH(Tabelle11[[#Headers],[Ben_S]],Spielauswertung!$B512:$E512,0))+F523)</f>
        <v>95.932799101521084</v>
      </c>
      <c r="G524" s="1">
        <f>IF(IFERROR(MATCH(Tabelle11[[#Headers],[Benedikt_K]],Spielauswertung!$B512:$E512,0),0)=0,G523,INDEX(Spielauswertung!$AB512:$AE512,MATCH(Tabelle11[[#Headers],[Benedikt_K]],Spielauswertung!$B512:$E512,0))+G523)</f>
        <v>101.20264176422626</v>
      </c>
      <c r="H524" s="1">
        <f>IF(IFERROR(MATCH(Tabelle11[[#Headers],[Benedikt_R]],Spielauswertung!$B512:$E512,0),0)=0,H523,INDEX(Spielauswertung!$AB512:$AE512,MATCH(Tabelle11[[#Headers],[Benedikt_R]],Spielauswertung!$B512:$E512,0))+H523)</f>
        <v>102.6264770510757</v>
      </c>
      <c r="I524" s="1">
        <f>IF(IFERROR(MATCH(Tabelle11[[#Headers],[Carsten_H]],Spielauswertung!$B512:$E512,0),0)=0,I523,INDEX(Spielauswertung!$AB512:$AE512,MATCH(Tabelle11[[#Headers],[Carsten_H]],Spielauswertung!$B512:$E512,0))+I523)</f>
        <v>93.891592096763162</v>
      </c>
      <c r="J524" s="1">
        <f>IF(IFERROR(MATCH(Tabelle11[[#Headers],[Christoph_R]],Spielauswertung!$B512:$E512,0),0)=0,J523,INDEX(Spielauswertung!$AB512:$AE512,MATCH(Tabelle11[[#Headers],[Christoph_R]],Spielauswertung!$B512:$E512,0))+J523)</f>
        <v>109.73261611443155</v>
      </c>
      <c r="K524" s="1">
        <f>IF(IFERROR(MATCH(Tabelle11[[#Headers],[Claudius_J]],Spielauswertung!$B512:$E512,0),0)=0,K523,INDEX(Spielauswertung!$AB512:$AE512,MATCH(Tabelle11[[#Headers],[Claudius_J]],Spielauswertung!$B512:$E512,0))+K523)</f>
        <v>106.16590636000029</v>
      </c>
      <c r="L524" s="1">
        <f>IF(IFERROR(MATCH(Tabelle11[[#Headers],[Daniel_D]],Spielauswertung!$B512:$E512,0),0)=0,L523,INDEX(Spielauswertung!$AB512:$AE512,MATCH(Tabelle11[[#Headers],[Daniel_D]],Spielauswertung!$B512:$E512,0))+L523)</f>
        <v>99.359008586072193</v>
      </c>
      <c r="M524" s="1">
        <f>IF(IFERROR(MATCH(Tabelle11[[#Headers],[David_R]],Spielauswertung!$B512:$E512,0),0)=0,M523,INDEX(Spielauswertung!$AB512:$AE512,MATCH(Tabelle11[[#Headers],[David_R]],Spielauswertung!$B512:$E512,0))+M523)</f>
        <v>96.715943522481638</v>
      </c>
      <c r="N524" s="1">
        <f>IF(IFERROR(MATCH(Tabelle11[[#Headers],[Dennis_P]],Spielauswertung!$B512:$E512,0),0)=0,N523,INDEX(Spielauswertung!$AB512:$AE512,MATCH(Tabelle11[[#Headers],[Dennis_P]],Spielauswertung!$B512:$E512,0))+N523)</f>
        <v>100.04773223105254</v>
      </c>
      <c r="O524" s="1">
        <f>IF(IFERROR(MATCH(Tabelle11[[#Headers],[Dennis_R]],Spielauswertung!$B512:$E512,0),0)=0,O523,INDEX(Spielauswertung!$AB512:$AE512,MATCH(Tabelle11[[#Headers],[Dennis_R]],Spielauswertung!$B512:$E512,0))+O523)</f>
        <v>75.131680864937195</v>
      </c>
      <c r="P524" s="1">
        <f>IF(IFERROR(MATCH(Tabelle11[[#Headers],[Detlef_R]],Spielauswertung!$B512:$E512,0),0)=0,P523,INDEX(Spielauswertung!$AB512:$AE512,MATCH(Tabelle11[[#Headers],[Detlef_R]],Spielauswertung!$B512:$E512,0))+P523)</f>
        <v>87.984671797367014</v>
      </c>
      <c r="Q524" s="1">
        <f>IF(IFERROR(MATCH(Tabelle11[[#Headers],[Dmitrij_M]],Spielauswertung!$B512:$E512,0),0)=0,Q523,INDEX(Spielauswertung!$AB512:$AE512,MATCH(Tabelle11[[#Headers],[Dmitrij_M]],Spielauswertung!$B512:$E512,0))+Q523)</f>
        <v>100.69975721846207</v>
      </c>
      <c r="R524" s="1">
        <f>IF(IFERROR(MATCH(Tabelle11[[#Headers],[Fabian_M]],Spielauswertung!$B512:$E512,0),0)=0,R523,INDEX(Spielauswertung!$AB512:$AE512,MATCH(Tabelle11[[#Headers],[Fabian_M]],Spielauswertung!$B512:$E512,0))+R523)</f>
        <v>96.683396186978783</v>
      </c>
      <c r="S524" s="1">
        <f>IF(IFERROR(MATCH(Tabelle11[[#Headers],[Hannes_S]],Spielauswertung!$B512:$E512,0),0)=0,S523,INDEX(Spielauswertung!$AB512:$AE512,MATCH(Tabelle11[[#Headers],[Hannes_S]],Spielauswertung!$B512:$E512,0))+S523)</f>
        <v>105.56436727519656</v>
      </c>
      <c r="T524" s="1">
        <f>IF(IFERROR(MATCH(Tabelle11[[#Headers],[Jan_B]],Spielauswertung!$B512:$E512,0),0)=0,T523,INDEX(Spielauswertung!$AB512:$AE512,MATCH(Tabelle11[[#Headers],[Jan_B]],Spielauswertung!$B512:$E512,0))+T523)</f>
        <v>97.165990768993908</v>
      </c>
      <c r="U524" s="1">
        <f>IF(IFERROR(MATCH(Tabelle11[[#Headers],[Jan_Hendrik_B]],Spielauswertung!$B512:$E512,0),0)=0,U523,INDEX(Spielauswertung!$AB512:$AE512,MATCH(Tabelle11[[#Headers],[Jan_Hendrik_B]],Spielauswertung!$B512:$E512,0))+U523)</f>
        <v>100.75492416935522</v>
      </c>
      <c r="V524" s="1">
        <f>IF(IFERROR(MATCH(Tabelle11[[#Headers],[Jens_N]],Spielauswertung!$B512:$E512,0),0)=0,V523,INDEX(Spielauswertung!$AB512:$AE512,MATCH(Tabelle11[[#Headers],[Jens_N]],Spielauswertung!$B512:$E512,0))+V523)</f>
        <v>100.65493399122809</v>
      </c>
      <c r="W524" s="1">
        <f>IF(IFERROR(MATCH(Tabelle11[[#Headers],[Johannes_S]],Spielauswertung!$B512:$E512,0),0)=0,W523,INDEX(Spielauswertung!$AB512:$AE512,MATCH(Tabelle11[[#Headers],[Johannes_S]],Spielauswertung!$B512:$E512,0))+W523)</f>
        <v>102.20284750979505</v>
      </c>
      <c r="X524" s="1">
        <f>IF(IFERROR(MATCH(Tabelle11[[#Headers],[Jonathan_F]],Spielauswertung!$B512:$E512,0),0)=0,X523,INDEX(Spielauswertung!$AB512:$AE512,MATCH(Tabelle11[[#Headers],[Jonathan_F]],Spielauswertung!$B512:$E512,0))+X523)</f>
        <v>98.938308797866256</v>
      </c>
      <c r="Y524" s="1">
        <f>IF(IFERROR(MATCH(Tabelle11[[#Headers],[Julius_P]],Spielauswertung!$B512:$E512,0),0)=0,Y523,INDEX(Spielauswertung!$AB512:$AE512,MATCH(Tabelle11[[#Headers],[Julius_P]],Spielauswertung!$B512:$E512,0))+Y523)</f>
        <v>96.540305101873642</v>
      </c>
      <c r="Z524" s="1">
        <f>IF(IFERROR(MATCH(Tabelle11[[#Headers],[Louis_W]],Spielauswertung!$B512:$E512,0),0)=0,Z523,INDEX(Spielauswertung!$AB512:$AE512,MATCH(Tabelle11[[#Headers],[Louis_W]],Spielauswertung!$B512:$E512,0))+Z523)</f>
        <v>87.497452285475362</v>
      </c>
      <c r="AA524" s="1">
        <f>IF(IFERROR(MATCH(Tabelle11[[#Headers],[Lukas_L]],Spielauswertung!$B512:$E512,0),0)=0,AA523,INDEX(Spielauswertung!$AB512:$AE512,MATCH(Tabelle11[[#Headers],[Lukas_L]],Spielauswertung!$B512:$E512,0))+AA523)</f>
        <v>97.557204275970349</v>
      </c>
      <c r="AB524" s="1">
        <f>IF(IFERROR(MATCH(Tabelle11[[#Headers],[Marcin_S]],Spielauswertung!$B512:$E512,0),0)=0,AB523,INDEX(Spielauswertung!$AB512:$AE512,MATCH(Tabelle11[[#Headers],[Marcin_S]],Spielauswertung!$B512:$E512,0))+AB523)</f>
        <v>81.504592795638743</v>
      </c>
      <c r="AC524" s="1">
        <f>IF(IFERROR(MATCH(Tabelle11[[#Headers],[Marco_K]],Spielauswertung!$B512:$E512,0),0)=0,AC523,INDEX(Spielauswertung!$AB512:$AE512,MATCH(Tabelle11[[#Headers],[Marco_K]],Spielauswertung!$B512:$E512,0))+AC523)</f>
        <v>102.12169819441469</v>
      </c>
      <c r="AD524" s="1">
        <f>IF(IFERROR(MATCH(Tabelle11[[#Headers],[Marius_M]],Spielauswertung!$B512:$E512,0),0)=0,AD523,INDEX(Spielauswertung!$AB512:$AE512,MATCH(Tabelle11[[#Headers],[Marius_M]],Spielauswertung!$B512:$E512,0))+AD523)</f>
        <v>124.54012374585781</v>
      </c>
      <c r="AE524" s="1">
        <f>IF(IFERROR(MATCH(Tabelle11[[#Headers],[Marvin_W]],Spielauswertung!$B512:$E512,0),0)=0,AE523,INDEX(Spielauswertung!$AB512:$AE512,MATCH(Tabelle11[[#Headers],[Marvin_W]],Spielauswertung!$B512:$E512,0))+AE523)</f>
        <v>96.715447079296425</v>
      </c>
      <c r="AF524" s="1">
        <f>IF(IFERROR(MATCH(Tabelle11[[#Headers],[Matthias_H]],Spielauswertung!$B512:$E512,0),0)=0,AF523,INDEX(Spielauswertung!$AB512:$AE512,MATCH(Tabelle11[[#Headers],[Matthias_H]],Spielauswertung!$B512:$E512,0))+AF523)</f>
        <v>105.42130178599372</v>
      </c>
      <c r="AG524" s="1">
        <f>IF(IFERROR(MATCH(Tabelle11[[#Headers],[Michael_D]],Spielauswertung!$B512:$E512,0),0)=0,AG523,INDEX(Spielauswertung!$AB512:$AE512,MATCH(Tabelle11[[#Headers],[Michael_D]],Spielauswertung!$B512:$E512,0))+AG523)</f>
        <v>97.325259927934127</v>
      </c>
      <c r="AH524" s="1">
        <f>IF(IFERROR(MATCH(Tabelle11[[#Headers],[Patrick_S]],Spielauswertung!$B512:$E512,0),0)=0,AH523,INDEX(Spielauswertung!$AB512:$AE512,MATCH(Tabelle11[[#Headers],[Patrick_S]],Spielauswertung!$B512:$E512,0))+AH523)</f>
        <v>98.975330692053802</v>
      </c>
      <c r="AI524" s="1">
        <f>IF(IFERROR(MATCH(Tabelle11[[#Headers],[Rano_M]],Spielauswertung!$B512:$E512,0),0)=0,AI523,INDEX(Spielauswertung!$AB512:$AE512,MATCH(Tabelle11[[#Headers],[Rano_M]],Spielauswertung!$B512:$E512,0))+AI523)</f>
        <v>109.38890657420265</v>
      </c>
      <c r="AJ524" s="1">
        <f>IF(IFERROR(MATCH(Tabelle11[[#Headers],[Rene_N]],Spielauswertung!$B512:$E512,0),0)=0,AJ523,INDEX(Spielauswertung!$AB512:$AE512,MATCH(Tabelle11[[#Headers],[Rene_N]],Spielauswertung!$B512:$E512,0))+AJ523)</f>
        <v>101.4355028770963</v>
      </c>
      <c r="AK524" s="1">
        <f>IF(IFERROR(MATCH(Tabelle11[[#Headers],[Rene_P]],Spielauswertung!$B512:$E512,0),0)=0,AK523,INDEX(Spielauswertung!$AB512:$AE512,MATCH(Tabelle11[[#Headers],[Rene_P]],Spielauswertung!$B512:$E512,0))+AK523)</f>
        <v>90.704997420314484</v>
      </c>
      <c r="AL524" s="1">
        <f>IF(IFERROR(MATCH(Tabelle11[[#Headers],[Richard_D]],Spielauswertung!$B512:$E512,0),0)=0,AL523,INDEX(Spielauswertung!$AB512:$AE512,MATCH(Tabelle11[[#Headers],[Richard_D]],Spielauswertung!$B512:$E512,0))+AL523)</f>
        <v>109.17717466870806</v>
      </c>
      <c r="AM524" s="1">
        <f>IF(IFERROR(MATCH(Tabelle11[[#Headers],[Rodrigo_R]],Spielauswertung!$B512:$E512,0),0)=0,AM523,INDEX(Spielauswertung!$AB512:$AE512,MATCH(Tabelle11[[#Headers],[Rodrigo_R]],Spielauswertung!$B512:$E512,0))+AM523)</f>
        <v>116.7028707921346</v>
      </c>
      <c r="AN524" s="1">
        <f>IF(IFERROR(MATCH(Tabelle11[[#Headers],[Sebastian_A]],Spielauswertung!$B512:$E512,0),0)=0,AN523,INDEX(Spielauswertung!$AB512:$AE512,MATCH(Tabelle11[[#Headers],[Sebastian_A]],Spielauswertung!$B512:$E512,0))+AN523)</f>
        <v>102.89457418671324</v>
      </c>
      <c r="AO524" s="1">
        <f>IF(IFERROR(MATCH(Tabelle11[[#Headers],[Sebastian_St]],Spielauswertung!$B512:$E512,0),0)=0,AO523,INDEX(Spielauswertung!$AB512:$AE512,MATCH(Tabelle11[[#Headers],[Sebastian_St]],Spielauswertung!$B512:$E512,0))+AO523)</f>
        <v>97.749574367408982</v>
      </c>
      <c r="AP524" s="1">
        <f>IF(IFERROR(MATCH(Tabelle11[[#Headers],[Simon_U]],Spielauswertung!$B512:$E512,0),0)=0,AP523,INDEX(Spielauswertung!$AB512:$AE512,MATCH(Tabelle11[[#Headers],[Simon_U]],Spielauswertung!$B512:$E512,0))+AP523)</f>
        <v>99.259488992076584</v>
      </c>
      <c r="AQ524" s="1">
        <f>IF(IFERROR(MATCH(Tabelle11[[#Headers],[Steffen_R]],Spielauswertung!$B512:$E512,0),0)=0,AQ523,INDEX(Spielauswertung!$AB512:$AE512,MATCH(Tabelle11[[#Headers],[Steffen_R]],Spielauswertung!$B512:$E512,0))+AQ523)</f>
        <v>93.558901743626024</v>
      </c>
      <c r="AR524" s="1">
        <f>IF(IFERROR(MATCH(Tabelle11[[#Headers],[Tim_R]],Spielauswertung!$B512:$E512,0),0)=0,AR523,INDEX(Spielauswertung!$AB512:$AE512,MATCH(Tabelle11[[#Headers],[Tim_R]],Spielauswertung!$B512:$E512,0))+AR523)</f>
        <v>103.07503787023374</v>
      </c>
      <c r="AS524" s="1">
        <f>IF(IFERROR(MATCH(Tabelle11[[#Headers],[Tobias_S]],Spielauswertung!$B512:$E512,0),0)=0,AS523,INDEX(Spielauswertung!$AB512:$AE512,MATCH(Tabelle11[[#Headers],[Tobias_S]],Spielauswertung!$B512:$E512,0))+AS523)</f>
        <v>98.6003422659997</v>
      </c>
      <c r="AT524" s="1">
        <f>IF(IFERROR(MATCH(Tabelle11[[#Headers],[Tom_R]],Spielauswertung!$B512:$E512,0),0)=0,AT523,INDEX(Spielauswertung!$AB512:$AE512,MATCH(Tabelle11[[#Headers],[Tom_R]],Spielauswertung!$B512:$E512,0))+AT523)</f>
        <v>113.65706124889796</v>
      </c>
      <c r="AU524" s="1">
        <f>IF(IFERROR(MATCH(Tabelle11[[#Headers],[Ton_L]],Spielauswertung!$B512:$E512,0),0)=0,AU523,INDEX(Spielauswertung!$AB512:$AE512,MATCH(Tabelle11[[#Headers],[Ton_L]],Spielauswertung!$B512:$E512,0))+AU523)</f>
        <v>92.683083360025861</v>
      </c>
      <c r="AV524" s="1">
        <f>IF(IFERROR(MATCH(Tabelle11[[#Headers],[Yixin_G]],Spielauswertung!$B512:$E512,0),0)=0,AV523,INDEX(Spielauswertung!$AB512:$AE512,MATCH(Tabelle11[[#Headers],[Yixin_G]],Spielauswertung!$B512:$E512,0))+AV523)</f>
        <v>99.900323214082661</v>
      </c>
      <c r="AW524" s="1">
        <f>IF(IFERROR(MATCH(Tabelle11[[#Headers],[Spalte36]],Spielauswertung!$B512:$E512,0),0)=0,AW523,INDEX(Spielauswertung!$AB512:$AE512,MATCH(Tabelle11[[#Headers],[Spalte36]],Spielauswertung!$B512:$E512,0))+AW523)</f>
        <v>100</v>
      </c>
      <c r="AX524" s="1">
        <f>IF(IFERROR(MATCH(Tabelle11[[#Headers],[Spalte37]],Spielauswertung!$B512:$E512,0),0)=0,AX523,INDEX(Spielauswertung!$AB512:$AE512,MATCH(Tabelle11[[#Headers],[Spalte37]],Spielauswertung!$B512:$E512,0))+AX523)</f>
        <v>100</v>
      </c>
      <c r="AY524" s="1">
        <f>IF(IFERROR(MATCH(Tabelle11[[#Headers],[Spalte38]],Spielauswertung!$B512:$E512,0),0)=0,AY523,INDEX(Spielauswertung!$AB512:$AE512,MATCH(Tabelle11[[#Headers],[Spalte38]],Spielauswertung!$B512:$E512,0))+AY523)</f>
        <v>100</v>
      </c>
      <c r="AZ524" s="1">
        <f>IF(IFERROR(MATCH(Tabelle11[[#Headers],[Spalte39]],Spielauswertung!$B512:$E512,0),0)=0,AZ523,INDEX(Spielauswertung!$AB512:$AE512,MATCH(Tabelle11[[#Headers],[Spalte39]],Spielauswertung!$B512:$E512,0))+AZ523)</f>
        <v>100</v>
      </c>
      <c r="BA524" s="1">
        <f>IF(IFERROR(MATCH(Tabelle11[[#Headers],[Spalte40]],Spielauswertung!$B512:$E512,0),0)=0,BA523,INDEX(Spielauswertung!$AB512:$AE512,MATCH(Tabelle11[[#Headers],[Spalte40]],Spielauswertung!$B512:$E512,0))+BA523)</f>
        <v>100</v>
      </c>
      <c r="BB524" s="1">
        <f>IF(IFERROR(MATCH(Tabelle11[[#Headers],[Spalte41]],Spielauswertung!$B512:$E512,0),0)=0,BB523,INDEX(Spielauswertung!$AB512:$AE512,MATCH(Tabelle11[[#Headers],[Spalte41]],Spielauswertung!$B512:$E512,0))+BB523)</f>
        <v>100</v>
      </c>
      <c r="BC524" s="1">
        <f>IF(IFERROR(MATCH(Tabelle11[[#Headers],[Spalte42]],Spielauswertung!$B512:$E512,0),0)=0,BC523,INDEX(Spielauswertung!$AB512:$AE512,MATCH(Tabelle11[[#Headers],[Spalte42]],Spielauswertung!$B512:$E512,0))+BC523)</f>
        <v>100</v>
      </c>
      <c r="BD524" s="1">
        <f>IF(IFERROR(MATCH(Tabelle11[[#Headers],[Spalte43]],Spielauswertung!$B512:$E512,0),0)=0,BD523,INDEX(Spielauswertung!$AB512:$AE512,MATCH(Tabelle11[[#Headers],[Spalte43]],Spielauswertung!$B512:$E512,0))+BD523)</f>
        <v>100</v>
      </c>
      <c r="BE524" s="1">
        <f>IF(IFERROR(MATCH(Tabelle11[[#Headers],[Spalte44]],Spielauswertung!$B512:$E512,0),0)=0,BE523,INDEX(Spielauswertung!$AB512:$AE512,MATCH(Tabelle11[[#Headers],[Spalte44]],Spielauswertung!$B512:$E512,0))+BE523)</f>
        <v>100</v>
      </c>
      <c r="BF524" s="1">
        <f>IF(IFERROR(MATCH(Tabelle11[[#Headers],[Spalte45]],Spielauswertung!$B512:$E512,0),0)=0,BF523,INDEX(Spielauswertung!$AB512:$AE512,MATCH(Tabelle11[[#Headers],[Spalte45]],Spielauswertung!$B512:$E512,0))+BF523)</f>
        <v>100</v>
      </c>
      <c r="BG524" s="1">
        <f>IF(IFERROR(MATCH(Tabelle11[[#Headers],[Spalte46]],Spielauswertung!$B512:$E512,0),0)=0,BG523,INDEX(Spielauswertung!$AB512:$AE512,MATCH(Tabelle11[[#Headers],[Spalte46]],Spielauswertung!$B512:$E512,0))+BG523)</f>
        <v>100</v>
      </c>
      <c r="BH524" s="1">
        <f>IF(IFERROR(MATCH(Tabelle11[[#Headers],[Spalte47]],Spielauswertung!$B512:$E512,0),0)=0,BH523,INDEX(Spielauswertung!$AB512:$AE512,MATCH(Tabelle11[[#Headers],[Spalte47]],Spielauswertung!$B512:$E512,0))+BH523)</f>
        <v>100</v>
      </c>
    </row>
    <row r="525" spans="1:60" x14ac:dyDescent="0.25">
      <c r="A525">
        <f t="shared" si="8"/>
        <v>512</v>
      </c>
      <c r="B525" s="1">
        <f>IF(IFERROR(MATCH(Tabelle11[[#Headers],[Aleix_V]],Spielauswertung!$B513:$E513,0),0)=0,B524,INDEX(Spielauswertung!$AB513:$AE513,MATCH(Tabelle11[[#Headers],[Aleix_V]],Spielauswertung!$B513:$E513,0))+B524)</f>
        <v>104.14934138064426</v>
      </c>
      <c r="C525" s="1">
        <f>IF(IFERROR(MATCH(Tabelle11[[#Headers],[Andres_H]],Spielauswertung!$B513:$E513,0),0)=0,C524,INDEX(Spielauswertung!$AB513:$AE513,MATCH(Tabelle11[[#Headers],[Andres_H]],Spielauswertung!$B513:$E513,0))+C524)</f>
        <v>95.535732339111306</v>
      </c>
      <c r="D525" s="1">
        <f>IF(IFERROR(MATCH(Tabelle11[[#Headers],[Anton_K]],Spielauswertung!$B513:$E513,0),0)=0,D524,INDEX(Spielauswertung!$AB513:$AE513,MATCH(Tabelle11[[#Headers],[Anton_K]],Spielauswertung!$B513:$E513,0))+D524)</f>
        <v>98.41146373956164</v>
      </c>
      <c r="E525" s="1">
        <f>IF(IFERROR(MATCH(Tabelle11[[#Headers],[Bastian_G]],Spielauswertung!$B513:$E513,0),0)=0,E524,INDEX(Spielauswertung!$AB513:$AE513,MATCH(Tabelle11[[#Headers],[Bastian_G]],Spielauswertung!$B513:$E513,0))+E524)</f>
        <v>113.46131166684883</v>
      </c>
      <c r="F525" s="1">
        <f>IF(IFERROR(MATCH(Tabelle11[[#Headers],[Ben_S]],Spielauswertung!$B513:$E513,0),0)=0,F524,INDEX(Spielauswertung!$AB513:$AE513,MATCH(Tabelle11[[#Headers],[Ben_S]],Spielauswertung!$B513:$E513,0))+F524)</f>
        <v>95.932799101521084</v>
      </c>
      <c r="G525" s="1">
        <f>IF(IFERROR(MATCH(Tabelle11[[#Headers],[Benedikt_K]],Spielauswertung!$B513:$E513,0),0)=0,G524,INDEX(Spielauswertung!$AB513:$AE513,MATCH(Tabelle11[[#Headers],[Benedikt_K]],Spielauswertung!$B513:$E513,0))+G524)</f>
        <v>101.20264176422626</v>
      </c>
      <c r="H525" s="1">
        <f>IF(IFERROR(MATCH(Tabelle11[[#Headers],[Benedikt_R]],Spielauswertung!$B513:$E513,0),0)=0,H524,INDEX(Spielauswertung!$AB513:$AE513,MATCH(Tabelle11[[#Headers],[Benedikt_R]],Spielauswertung!$B513:$E513,0))+H524)</f>
        <v>102.6264770510757</v>
      </c>
      <c r="I525" s="1">
        <f>IF(IFERROR(MATCH(Tabelle11[[#Headers],[Carsten_H]],Spielauswertung!$B513:$E513,0),0)=0,I524,INDEX(Spielauswertung!$AB513:$AE513,MATCH(Tabelle11[[#Headers],[Carsten_H]],Spielauswertung!$B513:$E513,0))+I524)</f>
        <v>93.891592096763162</v>
      </c>
      <c r="J525" s="1">
        <f>IF(IFERROR(MATCH(Tabelle11[[#Headers],[Christoph_R]],Spielauswertung!$B513:$E513,0),0)=0,J524,INDEX(Spielauswertung!$AB513:$AE513,MATCH(Tabelle11[[#Headers],[Christoph_R]],Spielauswertung!$B513:$E513,0))+J524)</f>
        <v>109.73261611443155</v>
      </c>
      <c r="K525" s="1">
        <f>IF(IFERROR(MATCH(Tabelle11[[#Headers],[Claudius_J]],Spielauswertung!$B513:$E513,0),0)=0,K524,INDEX(Spielauswertung!$AB513:$AE513,MATCH(Tabelle11[[#Headers],[Claudius_J]],Spielauswertung!$B513:$E513,0))+K524)</f>
        <v>106.16590636000029</v>
      </c>
      <c r="L525" s="1">
        <f>IF(IFERROR(MATCH(Tabelle11[[#Headers],[Daniel_D]],Spielauswertung!$B513:$E513,0),0)=0,L524,INDEX(Spielauswertung!$AB513:$AE513,MATCH(Tabelle11[[#Headers],[Daniel_D]],Spielauswertung!$B513:$E513,0))+L524)</f>
        <v>99.359008586072193</v>
      </c>
      <c r="M525" s="1">
        <f>IF(IFERROR(MATCH(Tabelle11[[#Headers],[David_R]],Spielauswertung!$B513:$E513,0),0)=0,M524,INDEX(Spielauswertung!$AB513:$AE513,MATCH(Tabelle11[[#Headers],[David_R]],Spielauswertung!$B513:$E513,0))+M524)</f>
        <v>96.715943522481638</v>
      </c>
      <c r="N525" s="1">
        <f>IF(IFERROR(MATCH(Tabelle11[[#Headers],[Dennis_P]],Spielauswertung!$B513:$E513,0),0)=0,N524,INDEX(Spielauswertung!$AB513:$AE513,MATCH(Tabelle11[[#Headers],[Dennis_P]],Spielauswertung!$B513:$E513,0))+N524)</f>
        <v>100.04773223105254</v>
      </c>
      <c r="O525" s="1">
        <f>IF(IFERROR(MATCH(Tabelle11[[#Headers],[Dennis_R]],Spielauswertung!$B513:$E513,0),0)=0,O524,INDEX(Spielauswertung!$AB513:$AE513,MATCH(Tabelle11[[#Headers],[Dennis_R]],Spielauswertung!$B513:$E513,0))+O524)</f>
        <v>75.131680864937195</v>
      </c>
      <c r="P525" s="1">
        <f>IF(IFERROR(MATCH(Tabelle11[[#Headers],[Detlef_R]],Spielauswertung!$B513:$E513,0),0)=0,P524,INDEX(Spielauswertung!$AB513:$AE513,MATCH(Tabelle11[[#Headers],[Detlef_R]],Spielauswertung!$B513:$E513,0))+P524)</f>
        <v>87.984671797367014</v>
      </c>
      <c r="Q525" s="1">
        <f>IF(IFERROR(MATCH(Tabelle11[[#Headers],[Dmitrij_M]],Spielauswertung!$B513:$E513,0),0)=0,Q524,INDEX(Spielauswertung!$AB513:$AE513,MATCH(Tabelle11[[#Headers],[Dmitrij_M]],Spielauswertung!$B513:$E513,0))+Q524)</f>
        <v>100.69975721846207</v>
      </c>
      <c r="R525" s="1">
        <f>IF(IFERROR(MATCH(Tabelle11[[#Headers],[Fabian_M]],Spielauswertung!$B513:$E513,0),0)=0,R524,INDEX(Spielauswertung!$AB513:$AE513,MATCH(Tabelle11[[#Headers],[Fabian_M]],Spielauswertung!$B513:$E513,0))+R524)</f>
        <v>96.683396186978783</v>
      </c>
      <c r="S525" s="1">
        <f>IF(IFERROR(MATCH(Tabelle11[[#Headers],[Hannes_S]],Spielauswertung!$B513:$E513,0),0)=0,S524,INDEX(Spielauswertung!$AB513:$AE513,MATCH(Tabelle11[[#Headers],[Hannes_S]],Spielauswertung!$B513:$E513,0))+S524)</f>
        <v>106.08521442311469</v>
      </c>
      <c r="T525" s="1">
        <f>IF(IFERROR(MATCH(Tabelle11[[#Headers],[Jan_B]],Spielauswertung!$B513:$E513,0),0)=0,T524,INDEX(Spielauswertung!$AB513:$AE513,MATCH(Tabelle11[[#Headers],[Jan_B]],Spielauswertung!$B513:$E513,0))+T524)</f>
        <v>97.165990768993908</v>
      </c>
      <c r="U525" s="1">
        <f>IF(IFERROR(MATCH(Tabelle11[[#Headers],[Jan_Hendrik_B]],Spielauswertung!$B513:$E513,0),0)=0,U524,INDEX(Spielauswertung!$AB513:$AE513,MATCH(Tabelle11[[#Headers],[Jan_Hendrik_B]],Spielauswertung!$B513:$E513,0))+U524)</f>
        <v>100.75492416935522</v>
      </c>
      <c r="V525" s="1">
        <f>IF(IFERROR(MATCH(Tabelle11[[#Headers],[Jens_N]],Spielauswertung!$B513:$E513,0),0)=0,V524,INDEX(Spielauswertung!$AB513:$AE513,MATCH(Tabelle11[[#Headers],[Jens_N]],Spielauswertung!$B513:$E513,0))+V524)</f>
        <v>100.65493399122809</v>
      </c>
      <c r="W525" s="1">
        <f>IF(IFERROR(MATCH(Tabelle11[[#Headers],[Johannes_S]],Spielauswertung!$B513:$E513,0),0)=0,W524,INDEX(Spielauswertung!$AB513:$AE513,MATCH(Tabelle11[[#Headers],[Johannes_S]],Spielauswertung!$B513:$E513,0))+W524)</f>
        <v>102.20284750979505</v>
      </c>
      <c r="X525" s="1">
        <f>IF(IFERROR(MATCH(Tabelle11[[#Headers],[Jonathan_F]],Spielauswertung!$B513:$E513,0),0)=0,X524,INDEX(Spielauswertung!$AB513:$AE513,MATCH(Tabelle11[[#Headers],[Jonathan_F]],Spielauswertung!$B513:$E513,0))+X524)</f>
        <v>98.938308797866256</v>
      </c>
      <c r="Y525" s="1">
        <f>IF(IFERROR(MATCH(Tabelle11[[#Headers],[Julius_P]],Spielauswertung!$B513:$E513,0),0)=0,Y524,INDEX(Spielauswertung!$AB513:$AE513,MATCH(Tabelle11[[#Headers],[Julius_P]],Spielauswertung!$B513:$E513,0))+Y524)</f>
        <v>96.540305101873642</v>
      </c>
      <c r="Z525" s="1">
        <f>IF(IFERROR(MATCH(Tabelle11[[#Headers],[Louis_W]],Spielauswertung!$B513:$E513,0),0)=0,Z524,INDEX(Spielauswertung!$AB513:$AE513,MATCH(Tabelle11[[#Headers],[Louis_W]],Spielauswertung!$B513:$E513,0))+Z524)</f>
        <v>87.497452285475362</v>
      </c>
      <c r="AA525" s="1">
        <f>IF(IFERROR(MATCH(Tabelle11[[#Headers],[Lukas_L]],Spielauswertung!$B513:$E513,0),0)=0,AA524,INDEX(Spielauswertung!$AB513:$AE513,MATCH(Tabelle11[[#Headers],[Lukas_L]],Spielauswertung!$B513:$E513,0))+AA524)</f>
        <v>97.557204275970349</v>
      </c>
      <c r="AB525" s="1">
        <f>IF(IFERROR(MATCH(Tabelle11[[#Headers],[Marcin_S]],Spielauswertung!$B513:$E513,0),0)=0,AB524,INDEX(Spielauswertung!$AB513:$AE513,MATCH(Tabelle11[[#Headers],[Marcin_S]],Spielauswertung!$B513:$E513,0))+AB524)</f>
        <v>81.504592795638743</v>
      </c>
      <c r="AC525" s="1">
        <f>IF(IFERROR(MATCH(Tabelle11[[#Headers],[Marco_K]],Spielauswertung!$B513:$E513,0),0)=0,AC524,INDEX(Spielauswertung!$AB513:$AE513,MATCH(Tabelle11[[#Headers],[Marco_K]],Spielauswertung!$B513:$E513,0))+AC524)</f>
        <v>102.12169819441469</v>
      </c>
      <c r="AD525" s="1">
        <f>IF(IFERROR(MATCH(Tabelle11[[#Headers],[Marius_M]],Spielauswertung!$B513:$E513,0),0)=0,AD524,INDEX(Spielauswertung!$AB513:$AE513,MATCH(Tabelle11[[#Headers],[Marius_M]],Spielauswertung!$B513:$E513,0))+AD524)</f>
        <v>124.54012374585781</v>
      </c>
      <c r="AE525" s="1">
        <f>IF(IFERROR(MATCH(Tabelle11[[#Headers],[Marvin_W]],Spielauswertung!$B513:$E513,0),0)=0,AE524,INDEX(Spielauswertung!$AB513:$AE513,MATCH(Tabelle11[[#Headers],[Marvin_W]],Spielauswertung!$B513:$E513,0))+AE524)</f>
        <v>96.715447079296425</v>
      </c>
      <c r="AF525" s="1">
        <f>IF(IFERROR(MATCH(Tabelle11[[#Headers],[Matthias_H]],Spielauswertung!$B513:$E513,0),0)=0,AF524,INDEX(Spielauswertung!$AB513:$AE513,MATCH(Tabelle11[[#Headers],[Matthias_H]],Spielauswertung!$B513:$E513,0))+AF524)</f>
        <v>105.42130178599372</v>
      </c>
      <c r="AG525" s="1">
        <f>IF(IFERROR(MATCH(Tabelle11[[#Headers],[Michael_D]],Spielauswertung!$B513:$E513,0),0)=0,AG524,INDEX(Spielauswertung!$AB513:$AE513,MATCH(Tabelle11[[#Headers],[Michael_D]],Spielauswertung!$B513:$E513,0))+AG524)</f>
        <v>97.325259927934127</v>
      </c>
      <c r="AH525" s="1">
        <f>IF(IFERROR(MATCH(Tabelle11[[#Headers],[Patrick_S]],Spielauswertung!$B513:$E513,0),0)=0,AH524,INDEX(Spielauswertung!$AB513:$AE513,MATCH(Tabelle11[[#Headers],[Patrick_S]],Spielauswertung!$B513:$E513,0))+AH524)</f>
        <v>98.975330692053802</v>
      </c>
      <c r="AI525" s="1">
        <f>IF(IFERROR(MATCH(Tabelle11[[#Headers],[Rano_M]],Spielauswertung!$B513:$E513,0),0)=0,AI524,INDEX(Spielauswertung!$AB513:$AE513,MATCH(Tabelle11[[#Headers],[Rano_M]],Spielauswertung!$B513:$E513,0))+AI524)</f>
        <v>109.38890657420265</v>
      </c>
      <c r="AJ525" s="1">
        <f>IF(IFERROR(MATCH(Tabelle11[[#Headers],[Rene_N]],Spielauswertung!$B513:$E513,0),0)=0,AJ524,INDEX(Spielauswertung!$AB513:$AE513,MATCH(Tabelle11[[#Headers],[Rene_N]],Spielauswertung!$B513:$E513,0))+AJ524)</f>
        <v>100.8764065606459</v>
      </c>
      <c r="AK525" s="1">
        <f>IF(IFERROR(MATCH(Tabelle11[[#Headers],[Rene_P]],Spielauswertung!$B513:$E513,0),0)=0,AK524,INDEX(Spielauswertung!$AB513:$AE513,MATCH(Tabelle11[[#Headers],[Rene_P]],Spielauswertung!$B513:$E513,0))+AK524)</f>
        <v>90.704997420314484</v>
      </c>
      <c r="AL525" s="1">
        <f>IF(IFERROR(MATCH(Tabelle11[[#Headers],[Richard_D]],Spielauswertung!$B513:$E513,0),0)=0,AL524,INDEX(Spielauswertung!$AB513:$AE513,MATCH(Tabelle11[[#Headers],[Richard_D]],Spielauswertung!$B513:$E513,0))+AL524)</f>
        <v>109.17717466870806</v>
      </c>
      <c r="AM525" s="1">
        <f>IF(IFERROR(MATCH(Tabelle11[[#Headers],[Rodrigo_R]],Spielauswertung!$B513:$E513,0),0)=0,AM524,INDEX(Spielauswertung!$AB513:$AE513,MATCH(Tabelle11[[#Headers],[Rodrigo_R]],Spielauswertung!$B513:$E513,0))+AM524)</f>
        <v>116.7028707921346</v>
      </c>
      <c r="AN525" s="1">
        <f>IF(IFERROR(MATCH(Tabelle11[[#Headers],[Sebastian_A]],Spielauswertung!$B513:$E513,0),0)=0,AN524,INDEX(Spielauswertung!$AB513:$AE513,MATCH(Tabelle11[[#Headers],[Sebastian_A]],Spielauswertung!$B513:$E513,0))+AN524)</f>
        <v>102.89457418671324</v>
      </c>
      <c r="AO525" s="1">
        <f>IF(IFERROR(MATCH(Tabelle11[[#Headers],[Sebastian_St]],Spielauswertung!$B513:$E513,0),0)=0,AO524,INDEX(Spielauswertung!$AB513:$AE513,MATCH(Tabelle11[[#Headers],[Sebastian_St]],Spielauswertung!$B513:$E513,0))+AO524)</f>
        <v>97.749574367408982</v>
      </c>
      <c r="AP525" s="1">
        <f>IF(IFERROR(MATCH(Tabelle11[[#Headers],[Simon_U]],Spielauswertung!$B513:$E513,0),0)=0,AP524,INDEX(Spielauswertung!$AB513:$AE513,MATCH(Tabelle11[[#Headers],[Simon_U]],Spielauswertung!$B513:$E513,0))+AP524)</f>
        <v>99.813419907653412</v>
      </c>
      <c r="AQ525" s="1">
        <f>IF(IFERROR(MATCH(Tabelle11[[#Headers],[Steffen_R]],Spielauswertung!$B513:$E513,0),0)=0,AQ524,INDEX(Spielauswertung!$AB513:$AE513,MATCH(Tabelle11[[#Headers],[Steffen_R]],Spielauswertung!$B513:$E513,0))+AQ524)</f>
        <v>93.043219996581456</v>
      </c>
      <c r="AR525" s="1">
        <f>IF(IFERROR(MATCH(Tabelle11[[#Headers],[Tim_R]],Spielauswertung!$B513:$E513,0),0)=0,AR524,INDEX(Spielauswertung!$AB513:$AE513,MATCH(Tabelle11[[#Headers],[Tim_R]],Spielauswertung!$B513:$E513,0))+AR524)</f>
        <v>103.07503787023374</v>
      </c>
      <c r="AS525" s="1">
        <f>IF(IFERROR(MATCH(Tabelle11[[#Headers],[Tobias_S]],Spielauswertung!$B513:$E513,0),0)=0,AS524,INDEX(Spielauswertung!$AB513:$AE513,MATCH(Tabelle11[[#Headers],[Tobias_S]],Spielauswertung!$B513:$E513,0))+AS524)</f>
        <v>98.6003422659997</v>
      </c>
      <c r="AT525" s="1">
        <f>IF(IFERROR(MATCH(Tabelle11[[#Headers],[Tom_R]],Spielauswertung!$B513:$E513,0),0)=0,AT524,INDEX(Spielauswertung!$AB513:$AE513,MATCH(Tabelle11[[#Headers],[Tom_R]],Spielauswertung!$B513:$E513,0))+AT524)</f>
        <v>113.65706124889796</v>
      </c>
      <c r="AU525" s="1">
        <f>IF(IFERROR(MATCH(Tabelle11[[#Headers],[Ton_L]],Spielauswertung!$B513:$E513,0),0)=0,AU524,INDEX(Spielauswertung!$AB513:$AE513,MATCH(Tabelle11[[#Headers],[Ton_L]],Spielauswertung!$B513:$E513,0))+AU524)</f>
        <v>92.683083360025861</v>
      </c>
      <c r="AV525" s="1">
        <f>IF(IFERROR(MATCH(Tabelle11[[#Headers],[Yixin_G]],Spielauswertung!$B513:$E513,0),0)=0,AV524,INDEX(Spielauswertung!$AB513:$AE513,MATCH(Tabelle11[[#Headers],[Yixin_G]],Spielauswertung!$B513:$E513,0))+AV524)</f>
        <v>99.900323214082661</v>
      </c>
      <c r="AW525" s="1">
        <f>IF(IFERROR(MATCH(Tabelle11[[#Headers],[Spalte36]],Spielauswertung!$B513:$E513,0),0)=0,AW524,INDEX(Spielauswertung!$AB513:$AE513,MATCH(Tabelle11[[#Headers],[Spalte36]],Spielauswertung!$B513:$E513,0))+AW524)</f>
        <v>100</v>
      </c>
      <c r="AX525" s="1">
        <f>IF(IFERROR(MATCH(Tabelle11[[#Headers],[Spalte37]],Spielauswertung!$B513:$E513,0),0)=0,AX524,INDEX(Spielauswertung!$AB513:$AE513,MATCH(Tabelle11[[#Headers],[Spalte37]],Spielauswertung!$B513:$E513,0))+AX524)</f>
        <v>100</v>
      </c>
      <c r="AY525" s="1">
        <f>IF(IFERROR(MATCH(Tabelle11[[#Headers],[Spalte38]],Spielauswertung!$B513:$E513,0),0)=0,AY524,INDEX(Spielauswertung!$AB513:$AE513,MATCH(Tabelle11[[#Headers],[Spalte38]],Spielauswertung!$B513:$E513,0))+AY524)</f>
        <v>100</v>
      </c>
      <c r="AZ525" s="1">
        <f>IF(IFERROR(MATCH(Tabelle11[[#Headers],[Spalte39]],Spielauswertung!$B513:$E513,0),0)=0,AZ524,INDEX(Spielauswertung!$AB513:$AE513,MATCH(Tabelle11[[#Headers],[Spalte39]],Spielauswertung!$B513:$E513,0))+AZ524)</f>
        <v>100</v>
      </c>
      <c r="BA525" s="1">
        <f>IF(IFERROR(MATCH(Tabelle11[[#Headers],[Spalte40]],Spielauswertung!$B513:$E513,0),0)=0,BA524,INDEX(Spielauswertung!$AB513:$AE513,MATCH(Tabelle11[[#Headers],[Spalte40]],Spielauswertung!$B513:$E513,0))+BA524)</f>
        <v>100</v>
      </c>
      <c r="BB525" s="1">
        <f>IF(IFERROR(MATCH(Tabelle11[[#Headers],[Spalte41]],Spielauswertung!$B513:$E513,0),0)=0,BB524,INDEX(Spielauswertung!$AB513:$AE513,MATCH(Tabelle11[[#Headers],[Spalte41]],Spielauswertung!$B513:$E513,0))+BB524)</f>
        <v>100</v>
      </c>
      <c r="BC525" s="1">
        <f>IF(IFERROR(MATCH(Tabelle11[[#Headers],[Spalte42]],Spielauswertung!$B513:$E513,0),0)=0,BC524,INDEX(Spielauswertung!$AB513:$AE513,MATCH(Tabelle11[[#Headers],[Spalte42]],Spielauswertung!$B513:$E513,0))+BC524)</f>
        <v>100</v>
      </c>
      <c r="BD525" s="1">
        <f>IF(IFERROR(MATCH(Tabelle11[[#Headers],[Spalte43]],Spielauswertung!$B513:$E513,0),0)=0,BD524,INDEX(Spielauswertung!$AB513:$AE513,MATCH(Tabelle11[[#Headers],[Spalte43]],Spielauswertung!$B513:$E513,0))+BD524)</f>
        <v>100</v>
      </c>
      <c r="BE525" s="1">
        <f>IF(IFERROR(MATCH(Tabelle11[[#Headers],[Spalte44]],Spielauswertung!$B513:$E513,0),0)=0,BE524,INDEX(Spielauswertung!$AB513:$AE513,MATCH(Tabelle11[[#Headers],[Spalte44]],Spielauswertung!$B513:$E513,0))+BE524)</f>
        <v>100</v>
      </c>
      <c r="BF525" s="1">
        <f>IF(IFERROR(MATCH(Tabelle11[[#Headers],[Spalte45]],Spielauswertung!$B513:$E513,0),0)=0,BF524,INDEX(Spielauswertung!$AB513:$AE513,MATCH(Tabelle11[[#Headers],[Spalte45]],Spielauswertung!$B513:$E513,0))+BF524)</f>
        <v>100</v>
      </c>
      <c r="BG525" s="1">
        <f>IF(IFERROR(MATCH(Tabelle11[[#Headers],[Spalte46]],Spielauswertung!$B513:$E513,0),0)=0,BG524,INDEX(Spielauswertung!$AB513:$AE513,MATCH(Tabelle11[[#Headers],[Spalte46]],Spielauswertung!$B513:$E513,0))+BG524)</f>
        <v>100</v>
      </c>
      <c r="BH525" s="1">
        <f>IF(IFERROR(MATCH(Tabelle11[[#Headers],[Spalte47]],Spielauswertung!$B513:$E513,0),0)=0,BH524,INDEX(Spielauswertung!$AB513:$AE513,MATCH(Tabelle11[[#Headers],[Spalte47]],Spielauswertung!$B513:$E513,0))+BH524)</f>
        <v>100</v>
      </c>
    </row>
    <row r="526" spans="1:60" x14ac:dyDescent="0.25">
      <c r="A526">
        <f t="shared" si="8"/>
        <v>513</v>
      </c>
      <c r="B526" s="1">
        <f>IF(IFERROR(MATCH(Tabelle11[[#Headers],[Aleix_V]],Spielauswertung!$B514:$E514,0),0)=0,B525,INDEX(Spielauswertung!$AB514:$AE514,MATCH(Tabelle11[[#Headers],[Aleix_V]],Spielauswertung!$B514:$E514,0))+B525)</f>
        <v>104.14934138064426</v>
      </c>
      <c r="C526" s="1">
        <f>IF(IFERROR(MATCH(Tabelle11[[#Headers],[Andres_H]],Spielauswertung!$B514:$E514,0),0)=0,C525,INDEX(Spielauswertung!$AB514:$AE514,MATCH(Tabelle11[[#Headers],[Andres_H]],Spielauswertung!$B514:$E514,0))+C525)</f>
        <v>95.535732339111306</v>
      </c>
      <c r="D526" s="1">
        <f>IF(IFERROR(MATCH(Tabelle11[[#Headers],[Anton_K]],Spielauswertung!$B514:$E514,0),0)=0,D525,INDEX(Spielauswertung!$AB514:$AE514,MATCH(Tabelle11[[#Headers],[Anton_K]],Spielauswertung!$B514:$E514,0))+D525)</f>
        <v>98.41146373956164</v>
      </c>
      <c r="E526" s="1">
        <f>IF(IFERROR(MATCH(Tabelle11[[#Headers],[Bastian_G]],Spielauswertung!$B514:$E514,0),0)=0,E525,INDEX(Spielauswertung!$AB514:$AE514,MATCH(Tabelle11[[#Headers],[Bastian_G]],Spielauswertung!$B514:$E514,0))+E525)</f>
        <v>113.46131166684883</v>
      </c>
      <c r="F526" s="1">
        <f>IF(IFERROR(MATCH(Tabelle11[[#Headers],[Ben_S]],Spielauswertung!$B514:$E514,0),0)=0,F525,INDEX(Spielauswertung!$AB514:$AE514,MATCH(Tabelle11[[#Headers],[Ben_S]],Spielauswertung!$B514:$E514,0))+F525)</f>
        <v>95.932799101521084</v>
      </c>
      <c r="G526" s="1">
        <f>IF(IFERROR(MATCH(Tabelle11[[#Headers],[Benedikt_K]],Spielauswertung!$B514:$E514,0),0)=0,G525,INDEX(Spielauswertung!$AB514:$AE514,MATCH(Tabelle11[[#Headers],[Benedikt_K]],Spielauswertung!$B514:$E514,0))+G525)</f>
        <v>101.20264176422626</v>
      </c>
      <c r="H526" s="1">
        <f>IF(IFERROR(MATCH(Tabelle11[[#Headers],[Benedikt_R]],Spielauswertung!$B514:$E514,0),0)=0,H525,INDEX(Spielauswertung!$AB514:$AE514,MATCH(Tabelle11[[#Headers],[Benedikt_R]],Spielauswertung!$B514:$E514,0))+H525)</f>
        <v>102.6264770510757</v>
      </c>
      <c r="I526" s="1">
        <f>IF(IFERROR(MATCH(Tabelle11[[#Headers],[Carsten_H]],Spielauswertung!$B514:$E514,0),0)=0,I525,INDEX(Spielauswertung!$AB514:$AE514,MATCH(Tabelle11[[#Headers],[Carsten_H]],Spielauswertung!$B514:$E514,0))+I525)</f>
        <v>93.891592096763162</v>
      </c>
      <c r="J526" s="1">
        <f>IF(IFERROR(MATCH(Tabelle11[[#Headers],[Christoph_R]],Spielauswertung!$B514:$E514,0),0)=0,J525,INDEX(Spielauswertung!$AB514:$AE514,MATCH(Tabelle11[[#Headers],[Christoph_R]],Spielauswertung!$B514:$E514,0))+J525)</f>
        <v>109.73261611443155</v>
      </c>
      <c r="K526" s="1">
        <f>IF(IFERROR(MATCH(Tabelle11[[#Headers],[Claudius_J]],Spielauswertung!$B514:$E514,0),0)=0,K525,INDEX(Spielauswertung!$AB514:$AE514,MATCH(Tabelle11[[#Headers],[Claudius_J]],Spielauswertung!$B514:$E514,0))+K525)</f>
        <v>106.16590636000029</v>
      </c>
      <c r="L526" s="1">
        <f>IF(IFERROR(MATCH(Tabelle11[[#Headers],[Daniel_D]],Spielauswertung!$B514:$E514,0),0)=0,L525,INDEX(Spielauswertung!$AB514:$AE514,MATCH(Tabelle11[[#Headers],[Daniel_D]],Spielauswertung!$B514:$E514,0))+L525)</f>
        <v>99.359008586072193</v>
      </c>
      <c r="M526" s="1">
        <f>IF(IFERROR(MATCH(Tabelle11[[#Headers],[David_R]],Spielauswertung!$B514:$E514,0),0)=0,M525,INDEX(Spielauswertung!$AB514:$AE514,MATCH(Tabelle11[[#Headers],[David_R]],Spielauswertung!$B514:$E514,0))+M525)</f>
        <v>96.715943522481638</v>
      </c>
      <c r="N526" s="1">
        <f>IF(IFERROR(MATCH(Tabelle11[[#Headers],[Dennis_P]],Spielauswertung!$B514:$E514,0),0)=0,N525,INDEX(Spielauswertung!$AB514:$AE514,MATCH(Tabelle11[[#Headers],[Dennis_P]],Spielauswertung!$B514:$E514,0))+N525)</f>
        <v>100.04773223105254</v>
      </c>
      <c r="O526" s="1">
        <f>IF(IFERROR(MATCH(Tabelle11[[#Headers],[Dennis_R]],Spielauswertung!$B514:$E514,0),0)=0,O525,INDEX(Spielauswertung!$AB514:$AE514,MATCH(Tabelle11[[#Headers],[Dennis_R]],Spielauswertung!$B514:$E514,0))+O525)</f>
        <v>75.131680864937195</v>
      </c>
      <c r="P526" s="1">
        <f>IF(IFERROR(MATCH(Tabelle11[[#Headers],[Detlef_R]],Spielauswertung!$B514:$E514,0),0)=0,P525,INDEX(Spielauswertung!$AB514:$AE514,MATCH(Tabelle11[[#Headers],[Detlef_R]],Spielauswertung!$B514:$E514,0))+P525)</f>
        <v>87.984671797367014</v>
      </c>
      <c r="Q526" s="1">
        <f>IF(IFERROR(MATCH(Tabelle11[[#Headers],[Dmitrij_M]],Spielauswertung!$B514:$E514,0),0)=0,Q525,INDEX(Spielauswertung!$AB514:$AE514,MATCH(Tabelle11[[#Headers],[Dmitrij_M]],Spielauswertung!$B514:$E514,0))+Q525)</f>
        <v>100.69975721846207</v>
      </c>
      <c r="R526" s="1">
        <f>IF(IFERROR(MATCH(Tabelle11[[#Headers],[Fabian_M]],Spielauswertung!$B514:$E514,0),0)=0,R525,INDEX(Spielauswertung!$AB514:$AE514,MATCH(Tabelle11[[#Headers],[Fabian_M]],Spielauswertung!$B514:$E514,0))+R525)</f>
        <v>96.683396186978783</v>
      </c>
      <c r="S526" s="1">
        <f>IF(IFERROR(MATCH(Tabelle11[[#Headers],[Hannes_S]],Spielauswertung!$B514:$E514,0),0)=0,S525,INDEX(Spielauswertung!$AB514:$AE514,MATCH(Tabelle11[[#Headers],[Hannes_S]],Spielauswertung!$B514:$E514,0))+S525)</f>
        <v>105.88288773314328</v>
      </c>
      <c r="T526" s="1">
        <f>IF(IFERROR(MATCH(Tabelle11[[#Headers],[Jan_B]],Spielauswertung!$B514:$E514,0),0)=0,T525,INDEX(Spielauswertung!$AB514:$AE514,MATCH(Tabelle11[[#Headers],[Jan_B]],Spielauswertung!$B514:$E514,0))+T525)</f>
        <v>97.165990768993908</v>
      </c>
      <c r="U526" s="1">
        <f>IF(IFERROR(MATCH(Tabelle11[[#Headers],[Jan_Hendrik_B]],Spielauswertung!$B514:$E514,0),0)=0,U525,INDEX(Spielauswertung!$AB514:$AE514,MATCH(Tabelle11[[#Headers],[Jan_Hendrik_B]],Spielauswertung!$B514:$E514,0))+U525)</f>
        <v>100.75492416935522</v>
      </c>
      <c r="V526" s="1">
        <f>IF(IFERROR(MATCH(Tabelle11[[#Headers],[Jens_N]],Spielauswertung!$B514:$E514,0),0)=0,V525,INDEX(Spielauswertung!$AB514:$AE514,MATCH(Tabelle11[[#Headers],[Jens_N]],Spielauswertung!$B514:$E514,0))+V525)</f>
        <v>100.65493399122809</v>
      </c>
      <c r="W526" s="1">
        <f>IF(IFERROR(MATCH(Tabelle11[[#Headers],[Johannes_S]],Spielauswertung!$B514:$E514,0),0)=0,W525,INDEX(Spielauswertung!$AB514:$AE514,MATCH(Tabelle11[[#Headers],[Johannes_S]],Spielauswertung!$B514:$E514,0))+W525)</f>
        <v>102.20284750979505</v>
      </c>
      <c r="X526" s="1">
        <f>IF(IFERROR(MATCH(Tabelle11[[#Headers],[Jonathan_F]],Spielauswertung!$B514:$E514,0),0)=0,X525,INDEX(Spielauswertung!$AB514:$AE514,MATCH(Tabelle11[[#Headers],[Jonathan_F]],Spielauswertung!$B514:$E514,0))+X525)</f>
        <v>98.938308797866256</v>
      </c>
      <c r="Y526" s="1">
        <f>IF(IFERROR(MATCH(Tabelle11[[#Headers],[Julius_P]],Spielauswertung!$B514:$E514,0),0)=0,Y525,INDEX(Spielauswertung!$AB514:$AE514,MATCH(Tabelle11[[#Headers],[Julius_P]],Spielauswertung!$B514:$E514,0))+Y525)</f>
        <v>96.540305101873642</v>
      </c>
      <c r="Z526" s="1">
        <f>IF(IFERROR(MATCH(Tabelle11[[#Headers],[Louis_W]],Spielauswertung!$B514:$E514,0),0)=0,Z525,INDEX(Spielauswertung!$AB514:$AE514,MATCH(Tabelle11[[#Headers],[Louis_W]],Spielauswertung!$B514:$E514,0))+Z525)</f>
        <v>87.497452285475362</v>
      </c>
      <c r="AA526" s="1">
        <f>IF(IFERROR(MATCH(Tabelle11[[#Headers],[Lukas_L]],Spielauswertung!$B514:$E514,0),0)=0,AA525,INDEX(Spielauswertung!$AB514:$AE514,MATCH(Tabelle11[[#Headers],[Lukas_L]],Spielauswertung!$B514:$E514,0))+AA525)</f>
        <v>97.557204275970349</v>
      </c>
      <c r="AB526" s="1">
        <f>IF(IFERROR(MATCH(Tabelle11[[#Headers],[Marcin_S]],Spielauswertung!$B514:$E514,0),0)=0,AB525,INDEX(Spielauswertung!$AB514:$AE514,MATCH(Tabelle11[[#Headers],[Marcin_S]],Spielauswertung!$B514:$E514,0))+AB525)</f>
        <v>81.504592795638743</v>
      </c>
      <c r="AC526" s="1">
        <f>IF(IFERROR(MATCH(Tabelle11[[#Headers],[Marco_K]],Spielauswertung!$B514:$E514,0),0)=0,AC525,INDEX(Spielauswertung!$AB514:$AE514,MATCH(Tabelle11[[#Headers],[Marco_K]],Spielauswertung!$B514:$E514,0))+AC525)</f>
        <v>102.12169819441469</v>
      </c>
      <c r="AD526" s="1">
        <f>IF(IFERROR(MATCH(Tabelle11[[#Headers],[Marius_M]],Spielauswertung!$B514:$E514,0),0)=0,AD525,INDEX(Spielauswertung!$AB514:$AE514,MATCH(Tabelle11[[#Headers],[Marius_M]],Spielauswertung!$B514:$E514,0))+AD525)</f>
        <v>124.54012374585781</v>
      </c>
      <c r="AE526" s="1">
        <f>IF(IFERROR(MATCH(Tabelle11[[#Headers],[Marvin_W]],Spielauswertung!$B514:$E514,0),0)=0,AE525,INDEX(Spielauswertung!$AB514:$AE514,MATCH(Tabelle11[[#Headers],[Marvin_W]],Spielauswertung!$B514:$E514,0))+AE525)</f>
        <v>96.715447079296425</v>
      </c>
      <c r="AF526" s="1">
        <f>IF(IFERROR(MATCH(Tabelle11[[#Headers],[Matthias_H]],Spielauswertung!$B514:$E514,0),0)=0,AF525,INDEX(Spielauswertung!$AB514:$AE514,MATCH(Tabelle11[[#Headers],[Matthias_H]],Spielauswertung!$B514:$E514,0))+AF525)</f>
        <v>105.42130178599372</v>
      </c>
      <c r="AG526" s="1">
        <f>IF(IFERROR(MATCH(Tabelle11[[#Headers],[Michael_D]],Spielauswertung!$B514:$E514,0),0)=0,AG525,INDEX(Spielauswertung!$AB514:$AE514,MATCH(Tabelle11[[#Headers],[Michael_D]],Spielauswertung!$B514:$E514,0))+AG525)</f>
        <v>97.325259927934127</v>
      </c>
      <c r="AH526" s="1">
        <f>IF(IFERROR(MATCH(Tabelle11[[#Headers],[Patrick_S]],Spielauswertung!$B514:$E514,0),0)=0,AH525,INDEX(Spielauswertung!$AB514:$AE514,MATCH(Tabelle11[[#Headers],[Patrick_S]],Spielauswertung!$B514:$E514,0))+AH525)</f>
        <v>98.975330692053802</v>
      </c>
      <c r="AI526" s="1">
        <f>IF(IFERROR(MATCH(Tabelle11[[#Headers],[Rano_M]],Spielauswertung!$B514:$E514,0),0)=0,AI525,INDEX(Spielauswertung!$AB514:$AE514,MATCH(Tabelle11[[#Headers],[Rano_M]],Spielauswertung!$B514:$E514,0))+AI525)</f>
        <v>109.38890657420265</v>
      </c>
      <c r="AJ526" s="1">
        <f>IF(IFERROR(MATCH(Tabelle11[[#Headers],[Rene_N]],Spielauswertung!$B514:$E514,0),0)=0,AJ525,INDEX(Spielauswertung!$AB514:$AE514,MATCH(Tabelle11[[#Headers],[Rene_N]],Spielauswertung!$B514:$E514,0))+AJ525)</f>
        <v>101.06482124619033</v>
      </c>
      <c r="AK526" s="1">
        <f>IF(IFERROR(MATCH(Tabelle11[[#Headers],[Rene_P]],Spielauswertung!$B514:$E514,0),0)=0,AK525,INDEX(Spielauswertung!$AB514:$AE514,MATCH(Tabelle11[[#Headers],[Rene_P]],Spielauswertung!$B514:$E514,0))+AK525)</f>
        <v>90.704997420314484</v>
      </c>
      <c r="AL526" s="1">
        <f>IF(IFERROR(MATCH(Tabelle11[[#Headers],[Richard_D]],Spielauswertung!$B514:$E514,0),0)=0,AL525,INDEX(Spielauswertung!$AB514:$AE514,MATCH(Tabelle11[[#Headers],[Richard_D]],Spielauswertung!$B514:$E514,0))+AL525)</f>
        <v>109.17717466870806</v>
      </c>
      <c r="AM526" s="1">
        <f>IF(IFERROR(MATCH(Tabelle11[[#Headers],[Rodrigo_R]],Spielauswertung!$B514:$E514,0),0)=0,AM525,INDEX(Spielauswertung!$AB514:$AE514,MATCH(Tabelle11[[#Headers],[Rodrigo_R]],Spielauswertung!$B514:$E514,0))+AM525)</f>
        <v>116.7028707921346</v>
      </c>
      <c r="AN526" s="1">
        <f>IF(IFERROR(MATCH(Tabelle11[[#Headers],[Sebastian_A]],Spielauswertung!$B514:$E514,0),0)=0,AN525,INDEX(Spielauswertung!$AB514:$AE514,MATCH(Tabelle11[[#Headers],[Sebastian_A]],Spielauswertung!$B514:$E514,0))+AN525)</f>
        <v>102.89457418671324</v>
      </c>
      <c r="AO526" s="1">
        <f>IF(IFERROR(MATCH(Tabelle11[[#Headers],[Sebastian_St]],Spielauswertung!$B514:$E514,0),0)=0,AO525,INDEX(Spielauswertung!$AB514:$AE514,MATCH(Tabelle11[[#Headers],[Sebastian_St]],Spielauswertung!$B514:$E514,0))+AO525)</f>
        <v>97.749574367408982</v>
      </c>
      <c r="AP526" s="1">
        <f>IF(IFERROR(MATCH(Tabelle11[[#Headers],[Simon_U]],Spielauswertung!$B514:$E514,0),0)=0,AP525,INDEX(Spielauswertung!$AB514:$AE514,MATCH(Tabelle11[[#Headers],[Simon_U]],Spielauswertung!$B514:$E514,0))+AP525)</f>
        <v>99.623054841470903</v>
      </c>
      <c r="AQ526" s="1">
        <f>IF(IFERROR(MATCH(Tabelle11[[#Headers],[Steffen_R]],Spielauswertung!$B514:$E514,0),0)=0,AQ525,INDEX(Spielauswertung!$AB514:$AE514,MATCH(Tabelle11[[#Headers],[Steffen_R]],Spielauswertung!$B514:$E514,0))+AQ525)</f>
        <v>93.247497067190949</v>
      </c>
      <c r="AR526" s="1">
        <f>IF(IFERROR(MATCH(Tabelle11[[#Headers],[Tim_R]],Spielauswertung!$B514:$E514,0),0)=0,AR525,INDEX(Spielauswertung!$AB514:$AE514,MATCH(Tabelle11[[#Headers],[Tim_R]],Spielauswertung!$B514:$E514,0))+AR525)</f>
        <v>103.07503787023374</v>
      </c>
      <c r="AS526" s="1">
        <f>IF(IFERROR(MATCH(Tabelle11[[#Headers],[Tobias_S]],Spielauswertung!$B514:$E514,0),0)=0,AS525,INDEX(Spielauswertung!$AB514:$AE514,MATCH(Tabelle11[[#Headers],[Tobias_S]],Spielauswertung!$B514:$E514,0))+AS525)</f>
        <v>98.6003422659997</v>
      </c>
      <c r="AT526" s="1">
        <f>IF(IFERROR(MATCH(Tabelle11[[#Headers],[Tom_R]],Spielauswertung!$B514:$E514,0),0)=0,AT525,INDEX(Spielauswertung!$AB514:$AE514,MATCH(Tabelle11[[#Headers],[Tom_R]],Spielauswertung!$B514:$E514,0))+AT525)</f>
        <v>113.65706124889796</v>
      </c>
      <c r="AU526" s="1">
        <f>IF(IFERROR(MATCH(Tabelle11[[#Headers],[Ton_L]],Spielauswertung!$B514:$E514,0),0)=0,AU525,INDEX(Spielauswertung!$AB514:$AE514,MATCH(Tabelle11[[#Headers],[Ton_L]],Spielauswertung!$B514:$E514,0))+AU525)</f>
        <v>92.683083360025861</v>
      </c>
      <c r="AV526" s="1">
        <f>IF(IFERROR(MATCH(Tabelle11[[#Headers],[Yixin_G]],Spielauswertung!$B514:$E514,0),0)=0,AV525,INDEX(Spielauswertung!$AB514:$AE514,MATCH(Tabelle11[[#Headers],[Yixin_G]],Spielauswertung!$B514:$E514,0))+AV525)</f>
        <v>99.900323214082661</v>
      </c>
      <c r="AW526" s="1">
        <f>IF(IFERROR(MATCH(Tabelle11[[#Headers],[Spalte36]],Spielauswertung!$B514:$E514,0),0)=0,AW525,INDEX(Spielauswertung!$AB514:$AE514,MATCH(Tabelle11[[#Headers],[Spalte36]],Spielauswertung!$B514:$E514,0))+AW525)</f>
        <v>100</v>
      </c>
      <c r="AX526" s="1">
        <f>IF(IFERROR(MATCH(Tabelle11[[#Headers],[Spalte37]],Spielauswertung!$B514:$E514,0),0)=0,AX525,INDEX(Spielauswertung!$AB514:$AE514,MATCH(Tabelle11[[#Headers],[Spalte37]],Spielauswertung!$B514:$E514,0))+AX525)</f>
        <v>100</v>
      </c>
      <c r="AY526" s="1">
        <f>IF(IFERROR(MATCH(Tabelle11[[#Headers],[Spalte38]],Spielauswertung!$B514:$E514,0),0)=0,AY525,INDEX(Spielauswertung!$AB514:$AE514,MATCH(Tabelle11[[#Headers],[Spalte38]],Spielauswertung!$B514:$E514,0))+AY525)</f>
        <v>100</v>
      </c>
      <c r="AZ526" s="1">
        <f>IF(IFERROR(MATCH(Tabelle11[[#Headers],[Spalte39]],Spielauswertung!$B514:$E514,0),0)=0,AZ525,INDEX(Spielauswertung!$AB514:$AE514,MATCH(Tabelle11[[#Headers],[Spalte39]],Spielauswertung!$B514:$E514,0))+AZ525)</f>
        <v>100</v>
      </c>
      <c r="BA526" s="1">
        <f>IF(IFERROR(MATCH(Tabelle11[[#Headers],[Spalte40]],Spielauswertung!$B514:$E514,0),0)=0,BA525,INDEX(Spielauswertung!$AB514:$AE514,MATCH(Tabelle11[[#Headers],[Spalte40]],Spielauswertung!$B514:$E514,0))+BA525)</f>
        <v>100</v>
      </c>
      <c r="BB526" s="1">
        <f>IF(IFERROR(MATCH(Tabelle11[[#Headers],[Spalte41]],Spielauswertung!$B514:$E514,0),0)=0,BB525,INDEX(Spielauswertung!$AB514:$AE514,MATCH(Tabelle11[[#Headers],[Spalte41]],Spielauswertung!$B514:$E514,0))+BB525)</f>
        <v>100</v>
      </c>
      <c r="BC526" s="1">
        <f>IF(IFERROR(MATCH(Tabelle11[[#Headers],[Spalte42]],Spielauswertung!$B514:$E514,0),0)=0,BC525,INDEX(Spielauswertung!$AB514:$AE514,MATCH(Tabelle11[[#Headers],[Spalte42]],Spielauswertung!$B514:$E514,0))+BC525)</f>
        <v>100</v>
      </c>
      <c r="BD526" s="1">
        <f>IF(IFERROR(MATCH(Tabelle11[[#Headers],[Spalte43]],Spielauswertung!$B514:$E514,0),0)=0,BD525,INDEX(Spielauswertung!$AB514:$AE514,MATCH(Tabelle11[[#Headers],[Spalte43]],Spielauswertung!$B514:$E514,0))+BD525)</f>
        <v>100</v>
      </c>
      <c r="BE526" s="1">
        <f>IF(IFERROR(MATCH(Tabelle11[[#Headers],[Spalte44]],Spielauswertung!$B514:$E514,0),0)=0,BE525,INDEX(Spielauswertung!$AB514:$AE514,MATCH(Tabelle11[[#Headers],[Spalte44]],Spielauswertung!$B514:$E514,0))+BE525)</f>
        <v>100</v>
      </c>
      <c r="BF526" s="1">
        <f>IF(IFERROR(MATCH(Tabelle11[[#Headers],[Spalte45]],Spielauswertung!$B514:$E514,0),0)=0,BF525,INDEX(Spielauswertung!$AB514:$AE514,MATCH(Tabelle11[[#Headers],[Spalte45]],Spielauswertung!$B514:$E514,0))+BF525)</f>
        <v>100</v>
      </c>
      <c r="BG526" s="1">
        <f>IF(IFERROR(MATCH(Tabelle11[[#Headers],[Spalte46]],Spielauswertung!$B514:$E514,0),0)=0,BG525,INDEX(Spielauswertung!$AB514:$AE514,MATCH(Tabelle11[[#Headers],[Spalte46]],Spielauswertung!$B514:$E514,0))+BG525)</f>
        <v>100</v>
      </c>
      <c r="BH526" s="1">
        <f>IF(IFERROR(MATCH(Tabelle11[[#Headers],[Spalte47]],Spielauswertung!$B514:$E514,0),0)=0,BH525,INDEX(Spielauswertung!$AB514:$AE514,MATCH(Tabelle11[[#Headers],[Spalte47]],Spielauswertung!$B514:$E514,0))+BH525)</f>
        <v>100</v>
      </c>
    </row>
    <row r="527" spans="1:60" x14ac:dyDescent="0.25">
      <c r="A527">
        <f t="shared" ref="A527:A590" si="9">A526+1</f>
        <v>514</v>
      </c>
      <c r="B527" s="1">
        <f>IF(IFERROR(MATCH(Tabelle11[[#Headers],[Aleix_V]],Spielauswertung!$B515:$E515,0),0)=0,B526,INDEX(Spielauswertung!$AB515:$AE515,MATCH(Tabelle11[[#Headers],[Aleix_V]],Spielauswertung!$B515:$E515,0))+B526)</f>
        <v>104.14934138064426</v>
      </c>
      <c r="C527" s="1">
        <f>IF(IFERROR(MATCH(Tabelle11[[#Headers],[Andres_H]],Spielauswertung!$B515:$E515,0),0)=0,C526,INDEX(Spielauswertung!$AB515:$AE515,MATCH(Tabelle11[[#Headers],[Andres_H]],Spielauswertung!$B515:$E515,0))+C526)</f>
        <v>95.535732339111306</v>
      </c>
      <c r="D527" s="1">
        <f>IF(IFERROR(MATCH(Tabelle11[[#Headers],[Anton_K]],Spielauswertung!$B515:$E515,0),0)=0,D526,INDEX(Spielauswertung!$AB515:$AE515,MATCH(Tabelle11[[#Headers],[Anton_K]],Spielauswertung!$B515:$E515,0))+D526)</f>
        <v>98.41146373956164</v>
      </c>
      <c r="E527" s="1">
        <f>IF(IFERROR(MATCH(Tabelle11[[#Headers],[Bastian_G]],Spielauswertung!$B515:$E515,0),0)=0,E526,INDEX(Spielauswertung!$AB515:$AE515,MATCH(Tabelle11[[#Headers],[Bastian_G]],Spielauswertung!$B515:$E515,0))+E526)</f>
        <v>114.70468415380692</v>
      </c>
      <c r="F527" s="1">
        <f>IF(IFERROR(MATCH(Tabelle11[[#Headers],[Ben_S]],Spielauswertung!$B515:$E515,0),0)=0,F526,INDEX(Spielauswertung!$AB515:$AE515,MATCH(Tabelle11[[#Headers],[Ben_S]],Spielauswertung!$B515:$E515,0))+F526)</f>
        <v>95.932799101521084</v>
      </c>
      <c r="G527" s="1">
        <f>IF(IFERROR(MATCH(Tabelle11[[#Headers],[Benedikt_K]],Spielauswertung!$B515:$E515,0),0)=0,G526,INDEX(Spielauswertung!$AB515:$AE515,MATCH(Tabelle11[[#Headers],[Benedikt_K]],Spielauswertung!$B515:$E515,0))+G526)</f>
        <v>101.20264176422626</v>
      </c>
      <c r="H527" s="1">
        <f>IF(IFERROR(MATCH(Tabelle11[[#Headers],[Benedikt_R]],Spielauswertung!$B515:$E515,0),0)=0,H526,INDEX(Spielauswertung!$AB515:$AE515,MATCH(Tabelle11[[#Headers],[Benedikt_R]],Spielauswertung!$B515:$E515,0))+H526)</f>
        <v>102.6264770510757</v>
      </c>
      <c r="I527" s="1">
        <f>IF(IFERROR(MATCH(Tabelle11[[#Headers],[Carsten_H]],Spielauswertung!$B515:$E515,0),0)=0,I526,INDEX(Spielauswertung!$AB515:$AE515,MATCH(Tabelle11[[#Headers],[Carsten_H]],Spielauswertung!$B515:$E515,0))+I526)</f>
        <v>93.891592096763162</v>
      </c>
      <c r="J527" s="1">
        <f>IF(IFERROR(MATCH(Tabelle11[[#Headers],[Christoph_R]],Spielauswertung!$B515:$E515,0),0)=0,J526,INDEX(Spielauswertung!$AB515:$AE515,MATCH(Tabelle11[[#Headers],[Christoph_R]],Spielauswertung!$B515:$E515,0))+J526)</f>
        <v>109.73261611443155</v>
      </c>
      <c r="K527" s="1">
        <f>IF(IFERROR(MATCH(Tabelle11[[#Headers],[Claudius_J]],Spielauswertung!$B515:$E515,0),0)=0,K526,INDEX(Spielauswertung!$AB515:$AE515,MATCH(Tabelle11[[#Headers],[Claudius_J]],Spielauswertung!$B515:$E515,0))+K526)</f>
        <v>106.16590636000029</v>
      </c>
      <c r="L527" s="1">
        <f>IF(IFERROR(MATCH(Tabelle11[[#Headers],[Daniel_D]],Spielauswertung!$B515:$E515,0),0)=0,L526,INDEX(Spielauswertung!$AB515:$AE515,MATCH(Tabelle11[[#Headers],[Daniel_D]],Spielauswertung!$B515:$E515,0))+L526)</f>
        <v>99.359008586072193</v>
      </c>
      <c r="M527" s="1">
        <f>IF(IFERROR(MATCH(Tabelle11[[#Headers],[David_R]],Spielauswertung!$B515:$E515,0),0)=0,M526,INDEX(Spielauswertung!$AB515:$AE515,MATCH(Tabelle11[[#Headers],[David_R]],Spielauswertung!$B515:$E515,0))+M526)</f>
        <v>96.715943522481638</v>
      </c>
      <c r="N527" s="1">
        <f>IF(IFERROR(MATCH(Tabelle11[[#Headers],[Dennis_P]],Spielauswertung!$B515:$E515,0),0)=0,N526,INDEX(Spielauswertung!$AB515:$AE515,MATCH(Tabelle11[[#Headers],[Dennis_P]],Spielauswertung!$B515:$E515,0))+N526)</f>
        <v>100.04773223105254</v>
      </c>
      <c r="O527" s="1">
        <f>IF(IFERROR(MATCH(Tabelle11[[#Headers],[Dennis_R]],Spielauswertung!$B515:$E515,0),0)=0,O526,INDEX(Spielauswertung!$AB515:$AE515,MATCH(Tabelle11[[#Headers],[Dennis_R]],Spielauswertung!$B515:$E515,0))+O526)</f>
        <v>75.131680864937195</v>
      </c>
      <c r="P527" s="1">
        <f>IF(IFERROR(MATCH(Tabelle11[[#Headers],[Detlef_R]],Spielauswertung!$B515:$E515,0),0)=0,P526,INDEX(Spielauswertung!$AB515:$AE515,MATCH(Tabelle11[[#Headers],[Detlef_R]],Spielauswertung!$B515:$E515,0))+P526)</f>
        <v>87.984671797367014</v>
      </c>
      <c r="Q527" s="1">
        <f>IF(IFERROR(MATCH(Tabelle11[[#Headers],[Dmitrij_M]],Spielauswertung!$B515:$E515,0),0)=0,Q526,INDEX(Spielauswertung!$AB515:$AE515,MATCH(Tabelle11[[#Headers],[Dmitrij_M]],Spielauswertung!$B515:$E515,0))+Q526)</f>
        <v>100.69975721846207</v>
      </c>
      <c r="R527" s="1">
        <f>IF(IFERROR(MATCH(Tabelle11[[#Headers],[Fabian_M]],Spielauswertung!$B515:$E515,0),0)=0,R526,INDEX(Spielauswertung!$AB515:$AE515,MATCH(Tabelle11[[#Headers],[Fabian_M]],Spielauswertung!$B515:$E515,0))+R526)</f>
        <v>96.683396186978783</v>
      </c>
      <c r="S527" s="1">
        <f>IF(IFERROR(MATCH(Tabelle11[[#Headers],[Hannes_S]],Spielauswertung!$B515:$E515,0),0)=0,S526,INDEX(Spielauswertung!$AB515:$AE515,MATCH(Tabelle11[[#Headers],[Hannes_S]],Spielauswertung!$B515:$E515,0))+S526)</f>
        <v>104.49767560739703</v>
      </c>
      <c r="T527" s="1">
        <f>IF(IFERROR(MATCH(Tabelle11[[#Headers],[Jan_B]],Spielauswertung!$B515:$E515,0),0)=0,T526,INDEX(Spielauswertung!$AB515:$AE515,MATCH(Tabelle11[[#Headers],[Jan_B]],Spielauswertung!$B515:$E515,0))+T526)</f>
        <v>97.165990768993908</v>
      </c>
      <c r="U527" s="1">
        <f>IF(IFERROR(MATCH(Tabelle11[[#Headers],[Jan_Hendrik_B]],Spielauswertung!$B515:$E515,0),0)=0,U526,INDEX(Spielauswertung!$AB515:$AE515,MATCH(Tabelle11[[#Headers],[Jan_Hendrik_B]],Spielauswertung!$B515:$E515,0))+U526)</f>
        <v>100.75492416935522</v>
      </c>
      <c r="V527" s="1">
        <f>IF(IFERROR(MATCH(Tabelle11[[#Headers],[Jens_N]],Spielauswertung!$B515:$E515,0),0)=0,V526,INDEX(Spielauswertung!$AB515:$AE515,MATCH(Tabelle11[[#Headers],[Jens_N]],Spielauswertung!$B515:$E515,0))+V526)</f>
        <v>99.338116533130048</v>
      </c>
      <c r="W527" s="1">
        <f>IF(IFERROR(MATCH(Tabelle11[[#Headers],[Johannes_S]],Spielauswertung!$B515:$E515,0),0)=0,W526,INDEX(Spielauswertung!$AB515:$AE515,MATCH(Tabelle11[[#Headers],[Johannes_S]],Spielauswertung!$B515:$E515,0))+W526)</f>
        <v>102.20284750979505</v>
      </c>
      <c r="X527" s="1">
        <f>IF(IFERROR(MATCH(Tabelle11[[#Headers],[Jonathan_F]],Spielauswertung!$B515:$E515,0),0)=0,X526,INDEX(Spielauswertung!$AB515:$AE515,MATCH(Tabelle11[[#Headers],[Jonathan_F]],Spielauswertung!$B515:$E515,0))+X526)</f>
        <v>98.938308797866256</v>
      </c>
      <c r="Y527" s="1">
        <f>IF(IFERROR(MATCH(Tabelle11[[#Headers],[Julius_P]],Spielauswertung!$B515:$E515,0),0)=0,Y526,INDEX(Spielauswertung!$AB515:$AE515,MATCH(Tabelle11[[#Headers],[Julius_P]],Spielauswertung!$B515:$E515,0))+Y526)</f>
        <v>96.540305101873642</v>
      </c>
      <c r="Z527" s="1">
        <f>IF(IFERROR(MATCH(Tabelle11[[#Headers],[Louis_W]],Spielauswertung!$B515:$E515,0),0)=0,Z526,INDEX(Spielauswertung!$AB515:$AE515,MATCH(Tabelle11[[#Headers],[Louis_W]],Spielauswertung!$B515:$E515,0))+Z526)</f>
        <v>87.497452285475362</v>
      </c>
      <c r="AA527" s="1">
        <f>IF(IFERROR(MATCH(Tabelle11[[#Headers],[Lukas_L]],Spielauswertung!$B515:$E515,0),0)=0,AA526,INDEX(Spielauswertung!$AB515:$AE515,MATCH(Tabelle11[[#Headers],[Lukas_L]],Spielauswertung!$B515:$E515,0))+AA526)</f>
        <v>97.557204275970349</v>
      </c>
      <c r="AB527" s="1">
        <f>IF(IFERROR(MATCH(Tabelle11[[#Headers],[Marcin_S]],Spielauswertung!$B515:$E515,0),0)=0,AB526,INDEX(Spielauswertung!$AB515:$AE515,MATCH(Tabelle11[[#Headers],[Marcin_S]],Spielauswertung!$B515:$E515,0))+AB526)</f>
        <v>81.504592795638743</v>
      </c>
      <c r="AC527" s="1">
        <f>IF(IFERROR(MATCH(Tabelle11[[#Headers],[Marco_K]],Spielauswertung!$B515:$E515,0),0)=0,AC526,INDEX(Spielauswertung!$AB515:$AE515,MATCH(Tabelle11[[#Headers],[Marco_K]],Spielauswertung!$B515:$E515,0))+AC526)</f>
        <v>102.12169819441469</v>
      </c>
      <c r="AD527" s="1">
        <f>IF(IFERROR(MATCH(Tabelle11[[#Headers],[Marius_M]],Spielauswertung!$B515:$E515,0),0)=0,AD526,INDEX(Spielauswertung!$AB515:$AE515,MATCH(Tabelle11[[#Headers],[Marius_M]],Spielauswertung!$B515:$E515,0))+AD526)</f>
        <v>124.54012374585781</v>
      </c>
      <c r="AE527" s="1">
        <f>IF(IFERROR(MATCH(Tabelle11[[#Headers],[Marvin_W]],Spielauswertung!$B515:$E515,0),0)=0,AE526,INDEX(Spielauswertung!$AB515:$AE515,MATCH(Tabelle11[[#Headers],[Marvin_W]],Spielauswertung!$B515:$E515,0))+AE526)</f>
        <v>98.174104176182624</v>
      </c>
      <c r="AF527" s="1">
        <f>IF(IFERROR(MATCH(Tabelle11[[#Headers],[Matthias_H]],Spielauswertung!$B515:$E515,0),0)=0,AF526,INDEX(Spielauswertung!$AB515:$AE515,MATCH(Tabelle11[[#Headers],[Matthias_H]],Spielauswertung!$B515:$E515,0))+AF526)</f>
        <v>105.42130178599372</v>
      </c>
      <c r="AG527" s="1">
        <f>IF(IFERROR(MATCH(Tabelle11[[#Headers],[Michael_D]],Spielauswertung!$B515:$E515,0),0)=0,AG526,INDEX(Spielauswertung!$AB515:$AE515,MATCH(Tabelle11[[#Headers],[Michael_D]],Spielauswertung!$B515:$E515,0))+AG526)</f>
        <v>97.325259927934127</v>
      </c>
      <c r="AH527" s="1">
        <f>IF(IFERROR(MATCH(Tabelle11[[#Headers],[Patrick_S]],Spielauswertung!$B515:$E515,0),0)=0,AH526,INDEX(Spielauswertung!$AB515:$AE515,MATCH(Tabelle11[[#Headers],[Patrick_S]],Spielauswertung!$B515:$E515,0))+AH526)</f>
        <v>98.975330692053802</v>
      </c>
      <c r="AI527" s="1">
        <f>IF(IFERROR(MATCH(Tabelle11[[#Headers],[Rano_M]],Spielauswertung!$B515:$E515,0),0)=0,AI526,INDEX(Spielauswertung!$AB515:$AE515,MATCH(Tabelle11[[#Headers],[Rano_M]],Spielauswertung!$B515:$E515,0))+AI526)</f>
        <v>109.38890657420265</v>
      </c>
      <c r="AJ527" s="1">
        <f>IF(IFERROR(MATCH(Tabelle11[[#Headers],[Rene_N]],Spielauswertung!$B515:$E515,0),0)=0,AJ526,INDEX(Spielauswertung!$AB515:$AE515,MATCH(Tabelle11[[#Headers],[Rene_N]],Spielauswertung!$B515:$E515,0))+AJ526)</f>
        <v>101.06482124619033</v>
      </c>
      <c r="AK527" s="1">
        <f>IF(IFERROR(MATCH(Tabelle11[[#Headers],[Rene_P]],Spielauswertung!$B515:$E515,0),0)=0,AK526,INDEX(Spielauswertung!$AB515:$AE515,MATCH(Tabelle11[[#Headers],[Rene_P]],Spielauswertung!$B515:$E515,0))+AK526)</f>
        <v>90.704997420314484</v>
      </c>
      <c r="AL527" s="1">
        <f>IF(IFERROR(MATCH(Tabelle11[[#Headers],[Richard_D]],Spielauswertung!$B515:$E515,0),0)=0,AL526,INDEX(Spielauswertung!$AB515:$AE515,MATCH(Tabelle11[[#Headers],[Richard_D]],Spielauswertung!$B515:$E515,0))+AL526)</f>
        <v>109.17717466870806</v>
      </c>
      <c r="AM527" s="1">
        <f>IF(IFERROR(MATCH(Tabelle11[[#Headers],[Rodrigo_R]],Spielauswertung!$B515:$E515,0),0)=0,AM526,INDEX(Spielauswertung!$AB515:$AE515,MATCH(Tabelle11[[#Headers],[Rodrigo_R]],Spielauswertung!$B515:$E515,0))+AM526)</f>
        <v>116.7028707921346</v>
      </c>
      <c r="AN527" s="1">
        <f>IF(IFERROR(MATCH(Tabelle11[[#Headers],[Sebastian_A]],Spielauswertung!$B515:$E515,0),0)=0,AN526,INDEX(Spielauswertung!$AB515:$AE515,MATCH(Tabelle11[[#Headers],[Sebastian_A]],Spielauswertung!$B515:$E515,0))+AN526)</f>
        <v>102.89457418671324</v>
      </c>
      <c r="AO527" s="1">
        <f>IF(IFERROR(MATCH(Tabelle11[[#Headers],[Sebastian_St]],Spielauswertung!$B515:$E515,0),0)=0,AO526,INDEX(Spielauswertung!$AB515:$AE515,MATCH(Tabelle11[[#Headers],[Sebastian_St]],Spielauswertung!$B515:$E515,0))+AO526)</f>
        <v>97.749574367408982</v>
      </c>
      <c r="AP527" s="1">
        <f>IF(IFERROR(MATCH(Tabelle11[[#Headers],[Simon_U]],Spielauswertung!$B515:$E515,0),0)=0,AP526,INDEX(Spielauswertung!$AB515:$AE515,MATCH(Tabelle11[[#Headers],[Simon_U]],Spielauswertung!$B515:$E515,0))+AP526)</f>
        <v>99.623054841470903</v>
      </c>
      <c r="AQ527" s="1">
        <f>IF(IFERROR(MATCH(Tabelle11[[#Headers],[Steffen_R]],Spielauswertung!$B515:$E515,0),0)=0,AQ526,INDEX(Spielauswertung!$AB515:$AE515,MATCH(Tabelle11[[#Headers],[Steffen_R]],Spielauswertung!$B515:$E515,0))+AQ526)</f>
        <v>93.247497067190949</v>
      </c>
      <c r="AR527" s="1">
        <f>IF(IFERROR(MATCH(Tabelle11[[#Headers],[Tim_R]],Spielauswertung!$B515:$E515,0),0)=0,AR526,INDEX(Spielauswertung!$AB515:$AE515,MATCH(Tabelle11[[#Headers],[Tim_R]],Spielauswertung!$B515:$E515,0))+AR526)</f>
        <v>103.07503787023374</v>
      </c>
      <c r="AS527" s="1">
        <f>IF(IFERROR(MATCH(Tabelle11[[#Headers],[Tobias_S]],Spielauswertung!$B515:$E515,0),0)=0,AS526,INDEX(Spielauswertung!$AB515:$AE515,MATCH(Tabelle11[[#Headers],[Tobias_S]],Spielauswertung!$B515:$E515,0))+AS526)</f>
        <v>98.6003422659997</v>
      </c>
      <c r="AT527" s="1">
        <f>IF(IFERROR(MATCH(Tabelle11[[#Headers],[Tom_R]],Spielauswertung!$B515:$E515,0),0)=0,AT526,INDEX(Spielauswertung!$AB515:$AE515,MATCH(Tabelle11[[#Headers],[Tom_R]],Spielauswertung!$B515:$E515,0))+AT526)</f>
        <v>113.65706124889796</v>
      </c>
      <c r="AU527" s="1">
        <f>IF(IFERROR(MATCH(Tabelle11[[#Headers],[Ton_L]],Spielauswertung!$B515:$E515,0),0)=0,AU526,INDEX(Spielauswertung!$AB515:$AE515,MATCH(Tabelle11[[#Headers],[Ton_L]],Spielauswertung!$B515:$E515,0))+AU526)</f>
        <v>92.683083360025861</v>
      </c>
      <c r="AV527" s="1">
        <f>IF(IFERROR(MATCH(Tabelle11[[#Headers],[Yixin_G]],Spielauswertung!$B515:$E515,0),0)=0,AV526,INDEX(Spielauswertung!$AB515:$AE515,MATCH(Tabelle11[[#Headers],[Yixin_G]],Spielauswertung!$B515:$E515,0))+AV526)</f>
        <v>99.900323214082661</v>
      </c>
      <c r="AW527" s="1">
        <f>IF(IFERROR(MATCH(Tabelle11[[#Headers],[Spalte36]],Spielauswertung!$B515:$E515,0),0)=0,AW526,INDEX(Spielauswertung!$AB515:$AE515,MATCH(Tabelle11[[#Headers],[Spalte36]],Spielauswertung!$B515:$E515,0))+AW526)</f>
        <v>100</v>
      </c>
      <c r="AX527" s="1">
        <f>IF(IFERROR(MATCH(Tabelle11[[#Headers],[Spalte37]],Spielauswertung!$B515:$E515,0),0)=0,AX526,INDEX(Spielauswertung!$AB515:$AE515,MATCH(Tabelle11[[#Headers],[Spalte37]],Spielauswertung!$B515:$E515,0))+AX526)</f>
        <v>100</v>
      </c>
      <c r="AY527" s="1">
        <f>IF(IFERROR(MATCH(Tabelle11[[#Headers],[Spalte38]],Spielauswertung!$B515:$E515,0),0)=0,AY526,INDEX(Spielauswertung!$AB515:$AE515,MATCH(Tabelle11[[#Headers],[Spalte38]],Spielauswertung!$B515:$E515,0))+AY526)</f>
        <v>100</v>
      </c>
      <c r="AZ527" s="1">
        <f>IF(IFERROR(MATCH(Tabelle11[[#Headers],[Spalte39]],Spielauswertung!$B515:$E515,0),0)=0,AZ526,INDEX(Spielauswertung!$AB515:$AE515,MATCH(Tabelle11[[#Headers],[Spalte39]],Spielauswertung!$B515:$E515,0))+AZ526)</f>
        <v>100</v>
      </c>
      <c r="BA527" s="1">
        <f>IF(IFERROR(MATCH(Tabelle11[[#Headers],[Spalte40]],Spielauswertung!$B515:$E515,0),0)=0,BA526,INDEX(Spielauswertung!$AB515:$AE515,MATCH(Tabelle11[[#Headers],[Spalte40]],Spielauswertung!$B515:$E515,0))+BA526)</f>
        <v>100</v>
      </c>
      <c r="BB527" s="1">
        <f>IF(IFERROR(MATCH(Tabelle11[[#Headers],[Spalte41]],Spielauswertung!$B515:$E515,0),0)=0,BB526,INDEX(Spielauswertung!$AB515:$AE515,MATCH(Tabelle11[[#Headers],[Spalte41]],Spielauswertung!$B515:$E515,0))+BB526)</f>
        <v>100</v>
      </c>
      <c r="BC527" s="1">
        <f>IF(IFERROR(MATCH(Tabelle11[[#Headers],[Spalte42]],Spielauswertung!$B515:$E515,0),0)=0,BC526,INDEX(Spielauswertung!$AB515:$AE515,MATCH(Tabelle11[[#Headers],[Spalte42]],Spielauswertung!$B515:$E515,0))+BC526)</f>
        <v>100</v>
      </c>
      <c r="BD527" s="1">
        <f>IF(IFERROR(MATCH(Tabelle11[[#Headers],[Spalte43]],Spielauswertung!$B515:$E515,0),0)=0,BD526,INDEX(Spielauswertung!$AB515:$AE515,MATCH(Tabelle11[[#Headers],[Spalte43]],Spielauswertung!$B515:$E515,0))+BD526)</f>
        <v>100</v>
      </c>
      <c r="BE527" s="1">
        <f>IF(IFERROR(MATCH(Tabelle11[[#Headers],[Spalte44]],Spielauswertung!$B515:$E515,0),0)=0,BE526,INDEX(Spielauswertung!$AB515:$AE515,MATCH(Tabelle11[[#Headers],[Spalte44]],Spielauswertung!$B515:$E515,0))+BE526)</f>
        <v>100</v>
      </c>
      <c r="BF527" s="1">
        <f>IF(IFERROR(MATCH(Tabelle11[[#Headers],[Spalte45]],Spielauswertung!$B515:$E515,0),0)=0,BF526,INDEX(Spielauswertung!$AB515:$AE515,MATCH(Tabelle11[[#Headers],[Spalte45]],Spielauswertung!$B515:$E515,0))+BF526)</f>
        <v>100</v>
      </c>
      <c r="BG527" s="1">
        <f>IF(IFERROR(MATCH(Tabelle11[[#Headers],[Spalte46]],Spielauswertung!$B515:$E515,0),0)=0,BG526,INDEX(Spielauswertung!$AB515:$AE515,MATCH(Tabelle11[[#Headers],[Spalte46]],Spielauswertung!$B515:$E515,0))+BG526)</f>
        <v>100</v>
      </c>
      <c r="BH527" s="1">
        <f>IF(IFERROR(MATCH(Tabelle11[[#Headers],[Spalte47]],Spielauswertung!$B515:$E515,0),0)=0,BH526,INDEX(Spielauswertung!$AB515:$AE515,MATCH(Tabelle11[[#Headers],[Spalte47]],Spielauswertung!$B515:$E515,0))+BH526)</f>
        <v>100</v>
      </c>
    </row>
    <row r="528" spans="1:60" x14ac:dyDescent="0.25">
      <c r="A528">
        <f t="shared" si="9"/>
        <v>515</v>
      </c>
      <c r="B528" s="1">
        <f>IF(IFERROR(MATCH(Tabelle11[[#Headers],[Aleix_V]],Spielauswertung!$B516:$E516,0),0)=0,B527,INDEX(Spielauswertung!$AB516:$AE516,MATCH(Tabelle11[[#Headers],[Aleix_V]],Spielauswertung!$B516:$E516,0))+B527)</f>
        <v>104.14934138064426</v>
      </c>
      <c r="C528" s="1">
        <f>IF(IFERROR(MATCH(Tabelle11[[#Headers],[Andres_H]],Spielauswertung!$B516:$E516,0),0)=0,C527,INDEX(Spielauswertung!$AB516:$AE516,MATCH(Tabelle11[[#Headers],[Andres_H]],Spielauswertung!$B516:$E516,0))+C527)</f>
        <v>95.535732339111306</v>
      </c>
      <c r="D528" s="1">
        <f>IF(IFERROR(MATCH(Tabelle11[[#Headers],[Anton_K]],Spielauswertung!$B516:$E516,0),0)=0,D527,INDEX(Spielauswertung!$AB516:$AE516,MATCH(Tabelle11[[#Headers],[Anton_K]],Spielauswertung!$B516:$E516,0))+D527)</f>
        <v>98.41146373956164</v>
      </c>
      <c r="E528" s="1">
        <f>IF(IFERROR(MATCH(Tabelle11[[#Headers],[Bastian_G]],Spielauswertung!$B516:$E516,0),0)=0,E527,INDEX(Spielauswertung!$AB516:$AE516,MATCH(Tabelle11[[#Headers],[Bastian_G]],Spielauswertung!$B516:$E516,0))+E527)</f>
        <v>115.24018827230464</v>
      </c>
      <c r="F528" s="1">
        <f>IF(IFERROR(MATCH(Tabelle11[[#Headers],[Ben_S]],Spielauswertung!$B516:$E516,0),0)=0,F527,INDEX(Spielauswertung!$AB516:$AE516,MATCH(Tabelle11[[#Headers],[Ben_S]],Spielauswertung!$B516:$E516,0))+F527)</f>
        <v>95.932799101521084</v>
      </c>
      <c r="G528" s="1">
        <f>IF(IFERROR(MATCH(Tabelle11[[#Headers],[Benedikt_K]],Spielauswertung!$B516:$E516,0),0)=0,G527,INDEX(Spielauswertung!$AB516:$AE516,MATCH(Tabelle11[[#Headers],[Benedikt_K]],Spielauswertung!$B516:$E516,0))+G527)</f>
        <v>101.20264176422626</v>
      </c>
      <c r="H528" s="1">
        <f>IF(IFERROR(MATCH(Tabelle11[[#Headers],[Benedikt_R]],Spielauswertung!$B516:$E516,0),0)=0,H527,INDEX(Spielauswertung!$AB516:$AE516,MATCH(Tabelle11[[#Headers],[Benedikt_R]],Spielauswertung!$B516:$E516,0))+H527)</f>
        <v>102.6264770510757</v>
      </c>
      <c r="I528" s="1">
        <f>IF(IFERROR(MATCH(Tabelle11[[#Headers],[Carsten_H]],Spielauswertung!$B516:$E516,0),0)=0,I527,INDEX(Spielauswertung!$AB516:$AE516,MATCH(Tabelle11[[#Headers],[Carsten_H]],Spielauswertung!$B516:$E516,0))+I527)</f>
        <v>93.891592096763162</v>
      </c>
      <c r="J528" s="1">
        <f>IF(IFERROR(MATCH(Tabelle11[[#Headers],[Christoph_R]],Spielauswertung!$B516:$E516,0),0)=0,J527,INDEX(Spielauswertung!$AB516:$AE516,MATCH(Tabelle11[[#Headers],[Christoph_R]],Spielauswertung!$B516:$E516,0))+J527)</f>
        <v>109.73261611443155</v>
      </c>
      <c r="K528" s="1">
        <f>IF(IFERROR(MATCH(Tabelle11[[#Headers],[Claudius_J]],Spielauswertung!$B516:$E516,0),0)=0,K527,INDEX(Spielauswertung!$AB516:$AE516,MATCH(Tabelle11[[#Headers],[Claudius_J]],Spielauswertung!$B516:$E516,0))+K527)</f>
        <v>106.16590636000029</v>
      </c>
      <c r="L528" s="1">
        <f>IF(IFERROR(MATCH(Tabelle11[[#Headers],[Daniel_D]],Spielauswertung!$B516:$E516,0),0)=0,L527,INDEX(Spielauswertung!$AB516:$AE516,MATCH(Tabelle11[[#Headers],[Daniel_D]],Spielauswertung!$B516:$E516,0))+L527)</f>
        <v>99.359008586072193</v>
      </c>
      <c r="M528" s="1">
        <f>IF(IFERROR(MATCH(Tabelle11[[#Headers],[David_R]],Spielauswertung!$B516:$E516,0),0)=0,M527,INDEX(Spielauswertung!$AB516:$AE516,MATCH(Tabelle11[[#Headers],[David_R]],Spielauswertung!$B516:$E516,0))+M527)</f>
        <v>96.715943522481638</v>
      </c>
      <c r="N528" s="1">
        <f>IF(IFERROR(MATCH(Tabelle11[[#Headers],[Dennis_P]],Spielauswertung!$B516:$E516,0),0)=0,N527,INDEX(Spielauswertung!$AB516:$AE516,MATCH(Tabelle11[[#Headers],[Dennis_P]],Spielauswertung!$B516:$E516,0))+N527)</f>
        <v>100.04773223105254</v>
      </c>
      <c r="O528" s="1">
        <f>IF(IFERROR(MATCH(Tabelle11[[#Headers],[Dennis_R]],Spielauswertung!$B516:$E516,0),0)=0,O527,INDEX(Spielauswertung!$AB516:$AE516,MATCH(Tabelle11[[#Headers],[Dennis_R]],Spielauswertung!$B516:$E516,0))+O527)</f>
        <v>75.131680864937195</v>
      </c>
      <c r="P528" s="1">
        <f>IF(IFERROR(MATCH(Tabelle11[[#Headers],[Detlef_R]],Spielauswertung!$B516:$E516,0),0)=0,P527,INDEX(Spielauswertung!$AB516:$AE516,MATCH(Tabelle11[[#Headers],[Detlef_R]],Spielauswertung!$B516:$E516,0))+P527)</f>
        <v>87.984671797367014</v>
      </c>
      <c r="Q528" s="1">
        <f>IF(IFERROR(MATCH(Tabelle11[[#Headers],[Dmitrij_M]],Spielauswertung!$B516:$E516,0),0)=0,Q527,INDEX(Spielauswertung!$AB516:$AE516,MATCH(Tabelle11[[#Headers],[Dmitrij_M]],Spielauswertung!$B516:$E516,0))+Q527)</f>
        <v>100.69975721846207</v>
      </c>
      <c r="R528" s="1">
        <f>IF(IFERROR(MATCH(Tabelle11[[#Headers],[Fabian_M]],Spielauswertung!$B516:$E516,0),0)=0,R527,INDEX(Spielauswertung!$AB516:$AE516,MATCH(Tabelle11[[#Headers],[Fabian_M]],Spielauswertung!$B516:$E516,0))+R527)</f>
        <v>96.683396186978783</v>
      </c>
      <c r="S528" s="1">
        <f>IF(IFERROR(MATCH(Tabelle11[[#Headers],[Hannes_S]],Spielauswertung!$B516:$E516,0),0)=0,S527,INDEX(Spielauswertung!$AB516:$AE516,MATCH(Tabelle11[[#Headers],[Hannes_S]],Spielauswertung!$B516:$E516,0))+S527)</f>
        <v>103.90239128811677</v>
      </c>
      <c r="T528" s="1">
        <f>IF(IFERROR(MATCH(Tabelle11[[#Headers],[Jan_B]],Spielauswertung!$B516:$E516,0),0)=0,T527,INDEX(Spielauswertung!$AB516:$AE516,MATCH(Tabelle11[[#Headers],[Jan_B]],Spielauswertung!$B516:$E516,0))+T527)</f>
        <v>97.165990768993908</v>
      </c>
      <c r="U528" s="1">
        <f>IF(IFERROR(MATCH(Tabelle11[[#Headers],[Jan_Hendrik_B]],Spielauswertung!$B516:$E516,0),0)=0,U527,INDEX(Spielauswertung!$AB516:$AE516,MATCH(Tabelle11[[#Headers],[Jan_Hendrik_B]],Spielauswertung!$B516:$E516,0))+U527)</f>
        <v>100.75492416935522</v>
      </c>
      <c r="V528" s="1">
        <f>IF(IFERROR(MATCH(Tabelle11[[#Headers],[Jens_N]],Spielauswertung!$B516:$E516,0),0)=0,V527,INDEX(Spielauswertung!$AB516:$AE516,MATCH(Tabelle11[[#Headers],[Jens_N]],Spielauswertung!$B516:$E516,0))+V527)</f>
        <v>98.772224299304881</v>
      </c>
      <c r="W528" s="1">
        <f>IF(IFERROR(MATCH(Tabelle11[[#Headers],[Johannes_S]],Spielauswertung!$B516:$E516,0),0)=0,W527,INDEX(Spielauswertung!$AB516:$AE516,MATCH(Tabelle11[[#Headers],[Johannes_S]],Spielauswertung!$B516:$E516,0))+W527)</f>
        <v>102.20284750979505</v>
      </c>
      <c r="X528" s="1">
        <f>IF(IFERROR(MATCH(Tabelle11[[#Headers],[Jonathan_F]],Spielauswertung!$B516:$E516,0),0)=0,X527,INDEX(Spielauswertung!$AB516:$AE516,MATCH(Tabelle11[[#Headers],[Jonathan_F]],Spielauswertung!$B516:$E516,0))+X527)</f>
        <v>98.938308797866256</v>
      </c>
      <c r="Y528" s="1">
        <f>IF(IFERROR(MATCH(Tabelle11[[#Headers],[Julius_P]],Spielauswertung!$B516:$E516,0),0)=0,Y527,INDEX(Spielauswertung!$AB516:$AE516,MATCH(Tabelle11[[#Headers],[Julius_P]],Spielauswertung!$B516:$E516,0))+Y527)</f>
        <v>96.540305101873642</v>
      </c>
      <c r="Z528" s="1">
        <f>IF(IFERROR(MATCH(Tabelle11[[#Headers],[Louis_W]],Spielauswertung!$B516:$E516,0),0)=0,Z527,INDEX(Spielauswertung!$AB516:$AE516,MATCH(Tabelle11[[#Headers],[Louis_W]],Spielauswertung!$B516:$E516,0))+Z527)</f>
        <v>87.497452285475362</v>
      </c>
      <c r="AA528" s="1">
        <f>IF(IFERROR(MATCH(Tabelle11[[#Headers],[Lukas_L]],Spielauswertung!$B516:$E516,0),0)=0,AA527,INDEX(Spielauswertung!$AB516:$AE516,MATCH(Tabelle11[[#Headers],[Lukas_L]],Spielauswertung!$B516:$E516,0))+AA527)</f>
        <v>97.557204275970349</v>
      </c>
      <c r="AB528" s="1">
        <f>IF(IFERROR(MATCH(Tabelle11[[#Headers],[Marcin_S]],Spielauswertung!$B516:$E516,0),0)=0,AB527,INDEX(Spielauswertung!$AB516:$AE516,MATCH(Tabelle11[[#Headers],[Marcin_S]],Spielauswertung!$B516:$E516,0))+AB527)</f>
        <v>81.504592795638743</v>
      </c>
      <c r="AC528" s="1">
        <f>IF(IFERROR(MATCH(Tabelle11[[#Headers],[Marco_K]],Spielauswertung!$B516:$E516,0),0)=0,AC527,INDEX(Spielauswertung!$AB516:$AE516,MATCH(Tabelle11[[#Headers],[Marco_K]],Spielauswertung!$B516:$E516,0))+AC527)</f>
        <v>102.12169819441469</v>
      </c>
      <c r="AD528" s="1">
        <f>IF(IFERROR(MATCH(Tabelle11[[#Headers],[Marius_M]],Spielauswertung!$B516:$E516,0),0)=0,AD527,INDEX(Spielauswertung!$AB516:$AE516,MATCH(Tabelle11[[#Headers],[Marius_M]],Spielauswertung!$B516:$E516,0))+AD527)</f>
        <v>124.54012374585781</v>
      </c>
      <c r="AE528" s="1">
        <f>IF(IFERROR(MATCH(Tabelle11[[#Headers],[Marvin_W]],Spielauswertung!$B516:$E516,0),0)=0,AE527,INDEX(Spielauswertung!$AB516:$AE516,MATCH(Tabelle11[[#Headers],[Marvin_W]],Spielauswertung!$B516:$E516,0))+AE527)</f>
        <v>98.799776610790332</v>
      </c>
      <c r="AF528" s="1">
        <f>IF(IFERROR(MATCH(Tabelle11[[#Headers],[Matthias_H]],Spielauswertung!$B516:$E516,0),0)=0,AF527,INDEX(Spielauswertung!$AB516:$AE516,MATCH(Tabelle11[[#Headers],[Matthias_H]],Spielauswertung!$B516:$E516,0))+AF527)</f>
        <v>105.42130178599372</v>
      </c>
      <c r="AG528" s="1">
        <f>IF(IFERROR(MATCH(Tabelle11[[#Headers],[Michael_D]],Spielauswertung!$B516:$E516,0),0)=0,AG527,INDEX(Spielauswertung!$AB516:$AE516,MATCH(Tabelle11[[#Headers],[Michael_D]],Spielauswertung!$B516:$E516,0))+AG527)</f>
        <v>97.325259927934127</v>
      </c>
      <c r="AH528" s="1">
        <f>IF(IFERROR(MATCH(Tabelle11[[#Headers],[Patrick_S]],Spielauswertung!$B516:$E516,0),0)=0,AH527,INDEX(Spielauswertung!$AB516:$AE516,MATCH(Tabelle11[[#Headers],[Patrick_S]],Spielauswertung!$B516:$E516,0))+AH527)</f>
        <v>98.975330692053802</v>
      </c>
      <c r="AI528" s="1">
        <f>IF(IFERROR(MATCH(Tabelle11[[#Headers],[Rano_M]],Spielauswertung!$B516:$E516,0),0)=0,AI527,INDEX(Spielauswertung!$AB516:$AE516,MATCH(Tabelle11[[#Headers],[Rano_M]],Spielauswertung!$B516:$E516,0))+AI527)</f>
        <v>109.38890657420265</v>
      </c>
      <c r="AJ528" s="1">
        <f>IF(IFERROR(MATCH(Tabelle11[[#Headers],[Rene_N]],Spielauswertung!$B516:$E516,0),0)=0,AJ527,INDEX(Spielauswertung!$AB516:$AE516,MATCH(Tabelle11[[#Headers],[Rene_N]],Spielauswertung!$B516:$E516,0))+AJ527)</f>
        <v>101.06482124619033</v>
      </c>
      <c r="AK528" s="1">
        <f>IF(IFERROR(MATCH(Tabelle11[[#Headers],[Rene_P]],Spielauswertung!$B516:$E516,0),0)=0,AK527,INDEX(Spielauswertung!$AB516:$AE516,MATCH(Tabelle11[[#Headers],[Rene_P]],Spielauswertung!$B516:$E516,0))+AK527)</f>
        <v>90.704997420314484</v>
      </c>
      <c r="AL528" s="1">
        <f>IF(IFERROR(MATCH(Tabelle11[[#Headers],[Richard_D]],Spielauswertung!$B516:$E516,0),0)=0,AL527,INDEX(Spielauswertung!$AB516:$AE516,MATCH(Tabelle11[[#Headers],[Richard_D]],Spielauswertung!$B516:$E516,0))+AL527)</f>
        <v>109.17717466870806</v>
      </c>
      <c r="AM528" s="1">
        <f>IF(IFERROR(MATCH(Tabelle11[[#Headers],[Rodrigo_R]],Spielauswertung!$B516:$E516,0),0)=0,AM527,INDEX(Spielauswertung!$AB516:$AE516,MATCH(Tabelle11[[#Headers],[Rodrigo_R]],Spielauswertung!$B516:$E516,0))+AM527)</f>
        <v>116.7028707921346</v>
      </c>
      <c r="AN528" s="1">
        <f>IF(IFERROR(MATCH(Tabelle11[[#Headers],[Sebastian_A]],Spielauswertung!$B516:$E516,0),0)=0,AN527,INDEX(Spielauswertung!$AB516:$AE516,MATCH(Tabelle11[[#Headers],[Sebastian_A]],Spielauswertung!$B516:$E516,0))+AN527)</f>
        <v>102.89457418671324</v>
      </c>
      <c r="AO528" s="1">
        <f>IF(IFERROR(MATCH(Tabelle11[[#Headers],[Sebastian_St]],Spielauswertung!$B516:$E516,0),0)=0,AO527,INDEX(Spielauswertung!$AB516:$AE516,MATCH(Tabelle11[[#Headers],[Sebastian_St]],Spielauswertung!$B516:$E516,0))+AO527)</f>
        <v>97.749574367408982</v>
      </c>
      <c r="AP528" s="1">
        <f>IF(IFERROR(MATCH(Tabelle11[[#Headers],[Simon_U]],Spielauswertung!$B516:$E516,0),0)=0,AP527,INDEX(Spielauswertung!$AB516:$AE516,MATCH(Tabelle11[[#Headers],[Simon_U]],Spielauswertung!$B516:$E516,0))+AP527)</f>
        <v>99.623054841470903</v>
      </c>
      <c r="AQ528" s="1">
        <f>IF(IFERROR(MATCH(Tabelle11[[#Headers],[Steffen_R]],Spielauswertung!$B516:$E516,0),0)=0,AQ527,INDEX(Spielauswertung!$AB516:$AE516,MATCH(Tabelle11[[#Headers],[Steffen_R]],Spielauswertung!$B516:$E516,0))+AQ527)</f>
        <v>93.247497067190949</v>
      </c>
      <c r="AR528" s="1">
        <f>IF(IFERROR(MATCH(Tabelle11[[#Headers],[Tim_R]],Spielauswertung!$B516:$E516,0),0)=0,AR527,INDEX(Spielauswertung!$AB516:$AE516,MATCH(Tabelle11[[#Headers],[Tim_R]],Spielauswertung!$B516:$E516,0))+AR527)</f>
        <v>103.07503787023374</v>
      </c>
      <c r="AS528" s="1">
        <f>IF(IFERROR(MATCH(Tabelle11[[#Headers],[Tobias_S]],Spielauswertung!$B516:$E516,0),0)=0,AS527,INDEX(Spielauswertung!$AB516:$AE516,MATCH(Tabelle11[[#Headers],[Tobias_S]],Spielauswertung!$B516:$E516,0))+AS527)</f>
        <v>98.6003422659997</v>
      </c>
      <c r="AT528" s="1">
        <f>IF(IFERROR(MATCH(Tabelle11[[#Headers],[Tom_R]],Spielauswertung!$B516:$E516,0),0)=0,AT527,INDEX(Spielauswertung!$AB516:$AE516,MATCH(Tabelle11[[#Headers],[Tom_R]],Spielauswertung!$B516:$E516,0))+AT527)</f>
        <v>113.65706124889796</v>
      </c>
      <c r="AU528" s="1">
        <f>IF(IFERROR(MATCH(Tabelle11[[#Headers],[Ton_L]],Spielauswertung!$B516:$E516,0),0)=0,AU527,INDEX(Spielauswertung!$AB516:$AE516,MATCH(Tabelle11[[#Headers],[Ton_L]],Spielauswertung!$B516:$E516,0))+AU527)</f>
        <v>92.683083360025861</v>
      </c>
      <c r="AV528" s="1">
        <f>IF(IFERROR(MATCH(Tabelle11[[#Headers],[Yixin_G]],Spielauswertung!$B516:$E516,0),0)=0,AV527,INDEX(Spielauswertung!$AB516:$AE516,MATCH(Tabelle11[[#Headers],[Yixin_G]],Spielauswertung!$B516:$E516,0))+AV527)</f>
        <v>99.900323214082661</v>
      </c>
      <c r="AW528" s="1">
        <f>IF(IFERROR(MATCH(Tabelle11[[#Headers],[Spalte36]],Spielauswertung!$B516:$E516,0),0)=0,AW527,INDEX(Spielauswertung!$AB516:$AE516,MATCH(Tabelle11[[#Headers],[Spalte36]],Spielauswertung!$B516:$E516,0))+AW527)</f>
        <v>100</v>
      </c>
      <c r="AX528" s="1">
        <f>IF(IFERROR(MATCH(Tabelle11[[#Headers],[Spalte37]],Spielauswertung!$B516:$E516,0),0)=0,AX527,INDEX(Spielauswertung!$AB516:$AE516,MATCH(Tabelle11[[#Headers],[Spalte37]],Spielauswertung!$B516:$E516,0))+AX527)</f>
        <v>100</v>
      </c>
      <c r="AY528" s="1">
        <f>IF(IFERROR(MATCH(Tabelle11[[#Headers],[Spalte38]],Spielauswertung!$B516:$E516,0),0)=0,AY527,INDEX(Spielauswertung!$AB516:$AE516,MATCH(Tabelle11[[#Headers],[Spalte38]],Spielauswertung!$B516:$E516,0))+AY527)</f>
        <v>100</v>
      </c>
      <c r="AZ528" s="1">
        <f>IF(IFERROR(MATCH(Tabelle11[[#Headers],[Spalte39]],Spielauswertung!$B516:$E516,0),0)=0,AZ527,INDEX(Spielauswertung!$AB516:$AE516,MATCH(Tabelle11[[#Headers],[Spalte39]],Spielauswertung!$B516:$E516,0))+AZ527)</f>
        <v>100</v>
      </c>
      <c r="BA528" s="1">
        <f>IF(IFERROR(MATCH(Tabelle11[[#Headers],[Spalte40]],Spielauswertung!$B516:$E516,0),0)=0,BA527,INDEX(Spielauswertung!$AB516:$AE516,MATCH(Tabelle11[[#Headers],[Spalte40]],Spielauswertung!$B516:$E516,0))+BA527)</f>
        <v>100</v>
      </c>
      <c r="BB528" s="1">
        <f>IF(IFERROR(MATCH(Tabelle11[[#Headers],[Spalte41]],Spielauswertung!$B516:$E516,0),0)=0,BB527,INDEX(Spielauswertung!$AB516:$AE516,MATCH(Tabelle11[[#Headers],[Spalte41]],Spielauswertung!$B516:$E516,0))+BB527)</f>
        <v>100</v>
      </c>
      <c r="BC528" s="1">
        <f>IF(IFERROR(MATCH(Tabelle11[[#Headers],[Spalte42]],Spielauswertung!$B516:$E516,0),0)=0,BC527,INDEX(Spielauswertung!$AB516:$AE516,MATCH(Tabelle11[[#Headers],[Spalte42]],Spielauswertung!$B516:$E516,0))+BC527)</f>
        <v>100</v>
      </c>
      <c r="BD528" s="1">
        <f>IF(IFERROR(MATCH(Tabelle11[[#Headers],[Spalte43]],Spielauswertung!$B516:$E516,0),0)=0,BD527,INDEX(Spielauswertung!$AB516:$AE516,MATCH(Tabelle11[[#Headers],[Spalte43]],Spielauswertung!$B516:$E516,0))+BD527)</f>
        <v>100</v>
      </c>
      <c r="BE528" s="1">
        <f>IF(IFERROR(MATCH(Tabelle11[[#Headers],[Spalte44]],Spielauswertung!$B516:$E516,0),0)=0,BE527,INDEX(Spielauswertung!$AB516:$AE516,MATCH(Tabelle11[[#Headers],[Spalte44]],Spielauswertung!$B516:$E516,0))+BE527)</f>
        <v>100</v>
      </c>
      <c r="BF528" s="1">
        <f>IF(IFERROR(MATCH(Tabelle11[[#Headers],[Spalte45]],Spielauswertung!$B516:$E516,0),0)=0,BF527,INDEX(Spielauswertung!$AB516:$AE516,MATCH(Tabelle11[[#Headers],[Spalte45]],Spielauswertung!$B516:$E516,0))+BF527)</f>
        <v>100</v>
      </c>
      <c r="BG528" s="1">
        <f>IF(IFERROR(MATCH(Tabelle11[[#Headers],[Spalte46]],Spielauswertung!$B516:$E516,0),0)=0,BG527,INDEX(Spielauswertung!$AB516:$AE516,MATCH(Tabelle11[[#Headers],[Spalte46]],Spielauswertung!$B516:$E516,0))+BG527)</f>
        <v>100</v>
      </c>
      <c r="BH528" s="1">
        <f>IF(IFERROR(MATCH(Tabelle11[[#Headers],[Spalte47]],Spielauswertung!$B516:$E516,0),0)=0,BH527,INDEX(Spielauswertung!$AB516:$AE516,MATCH(Tabelle11[[#Headers],[Spalte47]],Spielauswertung!$B516:$E516,0))+BH527)</f>
        <v>100</v>
      </c>
    </row>
    <row r="529" spans="1:60" x14ac:dyDescent="0.25">
      <c r="A529">
        <f t="shared" si="9"/>
        <v>516</v>
      </c>
      <c r="B529" s="1">
        <f>IF(IFERROR(MATCH(Tabelle11[[#Headers],[Aleix_V]],Spielauswertung!$B517:$E517,0),0)=0,B528,INDEX(Spielauswertung!$AB517:$AE517,MATCH(Tabelle11[[#Headers],[Aleix_V]],Spielauswertung!$B517:$E517,0))+B528)</f>
        <v>104.14934138064426</v>
      </c>
      <c r="C529" s="1">
        <f>IF(IFERROR(MATCH(Tabelle11[[#Headers],[Andres_H]],Spielauswertung!$B517:$E517,0),0)=0,C528,INDEX(Spielauswertung!$AB517:$AE517,MATCH(Tabelle11[[#Headers],[Andres_H]],Spielauswertung!$B517:$E517,0))+C528)</f>
        <v>95.535732339111306</v>
      </c>
      <c r="D529" s="1">
        <f>IF(IFERROR(MATCH(Tabelle11[[#Headers],[Anton_K]],Spielauswertung!$B517:$E517,0),0)=0,D528,INDEX(Spielauswertung!$AB517:$AE517,MATCH(Tabelle11[[#Headers],[Anton_K]],Spielauswertung!$B517:$E517,0))+D528)</f>
        <v>98.41146373956164</v>
      </c>
      <c r="E529" s="1">
        <f>IF(IFERROR(MATCH(Tabelle11[[#Headers],[Bastian_G]],Spielauswertung!$B517:$E517,0),0)=0,E528,INDEX(Spielauswertung!$AB517:$AE517,MATCH(Tabelle11[[#Headers],[Bastian_G]],Spielauswertung!$B517:$E517,0))+E528)</f>
        <v>114.41999709683257</v>
      </c>
      <c r="F529" s="1">
        <f>IF(IFERROR(MATCH(Tabelle11[[#Headers],[Ben_S]],Spielauswertung!$B517:$E517,0),0)=0,F528,INDEX(Spielauswertung!$AB517:$AE517,MATCH(Tabelle11[[#Headers],[Ben_S]],Spielauswertung!$B517:$E517,0))+F528)</f>
        <v>95.932799101521084</v>
      </c>
      <c r="G529" s="1">
        <f>IF(IFERROR(MATCH(Tabelle11[[#Headers],[Benedikt_K]],Spielauswertung!$B517:$E517,0),0)=0,G528,INDEX(Spielauswertung!$AB517:$AE517,MATCH(Tabelle11[[#Headers],[Benedikt_K]],Spielauswertung!$B517:$E517,0))+G528)</f>
        <v>101.20264176422626</v>
      </c>
      <c r="H529" s="1">
        <f>IF(IFERROR(MATCH(Tabelle11[[#Headers],[Benedikt_R]],Spielauswertung!$B517:$E517,0),0)=0,H528,INDEX(Spielauswertung!$AB517:$AE517,MATCH(Tabelle11[[#Headers],[Benedikt_R]],Spielauswertung!$B517:$E517,0))+H528)</f>
        <v>102.6264770510757</v>
      </c>
      <c r="I529" s="1">
        <f>IF(IFERROR(MATCH(Tabelle11[[#Headers],[Carsten_H]],Spielauswertung!$B517:$E517,0),0)=0,I528,INDEX(Spielauswertung!$AB517:$AE517,MATCH(Tabelle11[[#Headers],[Carsten_H]],Spielauswertung!$B517:$E517,0))+I528)</f>
        <v>94.712801634870573</v>
      </c>
      <c r="J529" s="1">
        <f>IF(IFERROR(MATCH(Tabelle11[[#Headers],[Christoph_R]],Spielauswertung!$B517:$E517,0),0)=0,J528,INDEX(Spielauswertung!$AB517:$AE517,MATCH(Tabelle11[[#Headers],[Christoph_R]],Spielauswertung!$B517:$E517,0))+J528)</f>
        <v>109.73261611443155</v>
      </c>
      <c r="K529" s="1">
        <f>IF(IFERROR(MATCH(Tabelle11[[#Headers],[Claudius_J]],Spielauswertung!$B517:$E517,0),0)=0,K528,INDEX(Spielauswertung!$AB517:$AE517,MATCH(Tabelle11[[#Headers],[Claudius_J]],Spielauswertung!$B517:$E517,0))+K528)</f>
        <v>106.16590636000029</v>
      </c>
      <c r="L529" s="1">
        <f>IF(IFERROR(MATCH(Tabelle11[[#Headers],[Daniel_D]],Spielauswertung!$B517:$E517,0),0)=0,L528,INDEX(Spielauswertung!$AB517:$AE517,MATCH(Tabelle11[[#Headers],[Daniel_D]],Spielauswertung!$B517:$E517,0))+L528)</f>
        <v>100.13502952343046</v>
      </c>
      <c r="M529" s="1">
        <f>IF(IFERROR(MATCH(Tabelle11[[#Headers],[David_R]],Spielauswertung!$B517:$E517,0),0)=0,M528,INDEX(Spielauswertung!$AB517:$AE517,MATCH(Tabelle11[[#Headers],[David_R]],Spielauswertung!$B517:$E517,0))+M528)</f>
        <v>96.715943522481638</v>
      </c>
      <c r="N529" s="1">
        <f>IF(IFERROR(MATCH(Tabelle11[[#Headers],[Dennis_P]],Spielauswertung!$B517:$E517,0),0)=0,N528,INDEX(Spielauswertung!$AB517:$AE517,MATCH(Tabelle11[[#Headers],[Dennis_P]],Spielauswertung!$B517:$E517,0))+N528)</f>
        <v>100.04773223105254</v>
      </c>
      <c r="O529" s="1">
        <f>IF(IFERROR(MATCH(Tabelle11[[#Headers],[Dennis_R]],Spielauswertung!$B517:$E517,0),0)=0,O528,INDEX(Spielauswertung!$AB517:$AE517,MATCH(Tabelle11[[#Headers],[Dennis_R]],Spielauswertung!$B517:$E517,0))+O528)</f>
        <v>75.131680864937195</v>
      </c>
      <c r="P529" s="1">
        <f>IF(IFERROR(MATCH(Tabelle11[[#Headers],[Detlef_R]],Spielauswertung!$B517:$E517,0),0)=0,P528,INDEX(Spielauswertung!$AB517:$AE517,MATCH(Tabelle11[[#Headers],[Detlef_R]],Spielauswertung!$B517:$E517,0))+P528)</f>
        <v>87.984671797367014</v>
      </c>
      <c r="Q529" s="1">
        <f>IF(IFERROR(MATCH(Tabelle11[[#Headers],[Dmitrij_M]],Spielauswertung!$B517:$E517,0),0)=0,Q528,INDEX(Spielauswertung!$AB517:$AE517,MATCH(Tabelle11[[#Headers],[Dmitrij_M]],Spielauswertung!$B517:$E517,0))+Q528)</f>
        <v>100.69975721846207</v>
      </c>
      <c r="R529" s="1">
        <f>IF(IFERROR(MATCH(Tabelle11[[#Headers],[Fabian_M]],Spielauswertung!$B517:$E517,0),0)=0,R528,INDEX(Spielauswertung!$AB517:$AE517,MATCH(Tabelle11[[#Headers],[Fabian_M]],Spielauswertung!$B517:$E517,0))+R528)</f>
        <v>96.683396186978783</v>
      </c>
      <c r="S529" s="1">
        <f>IF(IFERROR(MATCH(Tabelle11[[#Headers],[Hannes_S]],Spielauswertung!$B517:$E517,0),0)=0,S528,INDEX(Spielauswertung!$AB517:$AE517,MATCH(Tabelle11[[#Headers],[Hannes_S]],Spielauswertung!$B517:$E517,0))+S528)</f>
        <v>103.90239128811677</v>
      </c>
      <c r="T529" s="1">
        <f>IF(IFERROR(MATCH(Tabelle11[[#Headers],[Jan_B]],Spielauswertung!$B517:$E517,0),0)=0,T528,INDEX(Spielauswertung!$AB517:$AE517,MATCH(Tabelle11[[#Headers],[Jan_B]],Spielauswertung!$B517:$E517,0))+T528)</f>
        <v>97.165990768993908</v>
      </c>
      <c r="U529" s="1">
        <f>IF(IFERROR(MATCH(Tabelle11[[#Headers],[Jan_Hendrik_B]],Spielauswertung!$B517:$E517,0),0)=0,U528,INDEX(Spielauswertung!$AB517:$AE517,MATCH(Tabelle11[[#Headers],[Jan_Hendrik_B]],Spielauswertung!$B517:$E517,0))+U528)</f>
        <v>100.75492416935522</v>
      </c>
      <c r="V529" s="1">
        <f>IF(IFERROR(MATCH(Tabelle11[[#Headers],[Jens_N]],Spielauswertung!$B517:$E517,0),0)=0,V528,INDEX(Spielauswertung!$AB517:$AE517,MATCH(Tabelle11[[#Headers],[Jens_N]],Spielauswertung!$B517:$E517,0))+V528)</f>
        <v>98.772224299304881</v>
      </c>
      <c r="W529" s="1">
        <f>IF(IFERROR(MATCH(Tabelle11[[#Headers],[Johannes_S]],Spielauswertung!$B517:$E517,0),0)=0,W528,INDEX(Spielauswertung!$AB517:$AE517,MATCH(Tabelle11[[#Headers],[Johannes_S]],Spielauswertung!$B517:$E517,0))+W528)</f>
        <v>102.20284750979505</v>
      </c>
      <c r="X529" s="1">
        <f>IF(IFERROR(MATCH(Tabelle11[[#Headers],[Jonathan_F]],Spielauswertung!$B517:$E517,0),0)=0,X528,INDEX(Spielauswertung!$AB517:$AE517,MATCH(Tabelle11[[#Headers],[Jonathan_F]],Spielauswertung!$B517:$E517,0))+X528)</f>
        <v>98.938308797866256</v>
      </c>
      <c r="Y529" s="1">
        <f>IF(IFERROR(MATCH(Tabelle11[[#Headers],[Julius_P]],Spielauswertung!$B517:$E517,0),0)=0,Y528,INDEX(Spielauswertung!$AB517:$AE517,MATCH(Tabelle11[[#Headers],[Julius_P]],Spielauswertung!$B517:$E517,0))+Y528)</f>
        <v>96.540305101873642</v>
      </c>
      <c r="Z529" s="1">
        <f>IF(IFERROR(MATCH(Tabelle11[[#Headers],[Louis_W]],Spielauswertung!$B517:$E517,0),0)=0,Z528,INDEX(Spielauswertung!$AB517:$AE517,MATCH(Tabelle11[[#Headers],[Louis_W]],Spielauswertung!$B517:$E517,0))+Z528)</f>
        <v>87.497452285475362</v>
      </c>
      <c r="AA529" s="1">
        <f>IF(IFERROR(MATCH(Tabelle11[[#Headers],[Lukas_L]],Spielauswertung!$B517:$E517,0),0)=0,AA528,INDEX(Spielauswertung!$AB517:$AE517,MATCH(Tabelle11[[#Headers],[Lukas_L]],Spielauswertung!$B517:$E517,0))+AA528)</f>
        <v>97.557204275970349</v>
      </c>
      <c r="AB529" s="1">
        <f>IF(IFERROR(MATCH(Tabelle11[[#Headers],[Marcin_S]],Spielauswertung!$B517:$E517,0),0)=0,AB528,INDEX(Spielauswertung!$AB517:$AE517,MATCH(Tabelle11[[#Headers],[Marcin_S]],Spielauswertung!$B517:$E517,0))+AB528)</f>
        <v>81.504592795638743</v>
      </c>
      <c r="AC529" s="1">
        <f>IF(IFERROR(MATCH(Tabelle11[[#Headers],[Marco_K]],Spielauswertung!$B517:$E517,0),0)=0,AC528,INDEX(Spielauswertung!$AB517:$AE517,MATCH(Tabelle11[[#Headers],[Marco_K]],Spielauswertung!$B517:$E517,0))+AC528)</f>
        <v>102.12169819441469</v>
      </c>
      <c r="AD529" s="1">
        <f>IF(IFERROR(MATCH(Tabelle11[[#Headers],[Marius_M]],Spielauswertung!$B517:$E517,0),0)=0,AD528,INDEX(Spielauswertung!$AB517:$AE517,MATCH(Tabelle11[[#Headers],[Marius_M]],Spielauswertung!$B517:$E517,0))+AD528)</f>
        <v>124.54012374585781</v>
      </c>
      <c r="AE529" s="1">
        <f>IF(IFERROR(MATCH(Tabelle11[[#Headers],[Marvin_W]],Spielauswertung!$B517:$E517,0),0)=0,AE528,INDEX(Spielauswertung!$AB517:$AE517,MATCH(Tabelle11[[#Headers],[Marvin_W]],Spielauswertung!$B517:$E517,0))+AE528)</f>
        <v>98.799776610790332</v>
      </c>
      <c r="AF529" s="1">
        <f>IF(IFERROR(MATCH(Tabelle11[[#Headers],[Matthias_H]],Spielauswertung!$B517:$E517,0),0)=0,AF528,INDEX(Spielauswertung!$AB517:$AE517,MATCH(Tabelle11[[#Headers],[Matthias_H]],Spielauswertung!$B517:$E517,0))+AF528)</f>
        <v>105.42130178599372</v>
      </c>
      <c r="AG529" s="1">
        <f>IF(IFERROR(MATCH(Tabelle11[[#Headers],[Michael_D]],Spielauswertung!$B517:$E517,0),0)=0,AG528,INDEX(Spielauswertung!$AB517:$AE517,MATCH(Tabelle11[[#Headers],[Michael_D]],Spielauswertung!$B517:$E517,0))+AG528)</f>
        <v>97.325259927934127</v>
      </c>
      <c r="AH529" s="1">
        <f>IF(IFERROR(MATCH(Tabelle11[[#Headers],[Patrick_S]],Spielauswertung!$B517:$E517,0),0)=0,AH528,INDEX(Spielauswertung!$AB517:$AE517,MATCH(Tabelle11[[#Headers],[Patrick_S]],Spielauswertung!$B517:$E517,0))+AH528)</f>
        <v>98.975330692053802</v>
      </c>
      <c r="AI529" s="1">
        <f>IF(IFERROR(MATCH(Tabelle11[[#Headers],[Rano_M]],Spielauswertung!$B517:$E517,0),0)=0,AI528,INDEX(Spielauswertung!$AB517:$AE517,MATCH(Tabelle11[[#Headers],[Rano_M]],Spielauswertung!$B517:$E517,0))+AI528)</f>
        <v>109.38890657420265</v>
      </c>
      <c r="AJ529" s="1">
        <f>IF(IFERROR(MATCH(Tabelle11[[#Headers],[Rene_N]],Spielauswertung!$B517:$E517,0),0)=0,AJ528,INDEX(Spielauswertung!$AB517:$AE517,MATCH(Tabelle11[[#Headers],[Rene_N]],Spielauswertung!$B517:$E517,0))+AJ528)</f>
        <v>101.06482124619033</v>
      </c>
      <c r="AK529" s="1">
        <f>IF(IFERROR(MATCH(Tabelle11[[#Headers],[Rene_P]],Spielauswertung!$B517:$E517,0),0)=0,AK528,INDEX(Spielauswertung!$AB517:$AE517,MATCH(Tabelle11[[#Headers],[Rene_P]],Spielauswertung!$B517:$E517,0))+AK528)</f>
        <v>90.704997420314484</v>
      </c>
      <c r="AL529" s="1">
        <f>IF(IFERROR(MATCH(Tabelle11[[#Headers],[Richard_D]],Spielauswertung!$B517:$E517,0),0)=0,AL528,INDEX(Spielauswertung!$AB517:$AE517,MATCH(Tabelle11[[#Headers],[Richard_D]],Spielauswertung!$B517:$E517,0))+AL528)</f>
        <v>108.40013536871443</v>
      </c>
      <c r="AM529" s="1">
        <f>IF(IFERROR(MATCH(Tabelle11[[#Headers],[Rodrigo_R]],Spielauswertung!$B517:$E517,0),0)=0,AM528,INDEX(Spielauswertung!$AB517:$AE517,MATCH(Tabelle11[[#Headers],[Rodrigo_R]],Spielauswertung!$B517:$E517,0))+AM528)</f>
        <v>116.7028707921346</v>
      </c>
      <c r="AN529" s="1">
        <f>IF(IFERROR(MATCH(Tabelle11[[#Headers],[Sebastian_A]],Spielauswertung!$B517:$E517,0),0)=0,AN528,INDEX(Spielauswertung!$AB517:$AE517,MATCH(Tabelle11[[#Headers],[Sebastian_A]],Spielauswertung!$B517:$E517,0))+AN528)</f>
        <v>102.89457418671324</v>
      </c>
      <c r="AO529" s="1">
        <f>IF(IFERROR(MATCH(Tabelle11[[#Headers],[Sebastian_St]],Spielauswertung!$B517:$E517,0),0)=0,AO528,INDEX(Spielauswertung!$AB517:$AE517,MATCH(Tabelle11[[#Headers],[Sebastian_St]],Spielauswertung!$B517:$E517,0))+AO528)</f>
        <v>97.749574367408982</v>
      </c>
      <c r="AP529" s="1">
        <f>IF(IFERROR(MATCH(Tabelle11[[#Headers],[Simon_U]],Spielauswertung!$B517:$E517,0),0)=0,AP528,INDEX(Spielauswertung!$AB517:$AE517,MATCH(Tabelle11[[#Headers],[Simon_U]],Spielauswertung!$B517:$E517,0))+AP528)</f>
        <v>99.623054841470903</v>
      </c>
      <c r="AQ529" s="1">
        <f>IF(IFERROR(MATCH(Tabelle11[[#Headers],[Steffen_R]],Spielauswertung!$B517:$E517,0),0)=0,AQ528,INDEX(Spielauswertung!$AB517:$AE517,MATCH(Tabelle11[[#Headers],[Steffen_R]],Spielauswertung!$B517:$E517,0))+AQ528)</f>
        <v>93.247497067190949</v>
      </c>
      <c r="AR529" s="1">
        <f>IF(IFERROR(MATCH(Tabelle11[[#Headers],[Tim_R]],Spielauswertung!$B517:$E517,0),0)=0,AR528,INDEX(Spielauswertung!$AB517:$AE517,MATCH(Tabelle11[[#Headers],[Tim_R]],Spielauswertung!$B517:$E517,0))+AR528)</f>
        <v>103.07503787023374</v>
      </c>
      <c r="AS529" s="1">
        <f>IF(IFERROR(MATCH(Tabelle11[[#Headers],[Tobias_S]],Spielauswertung!$B517:$E517,0),0)=0,AS528,INDEX(Spielauswertung!$AB517:$AE517,MATCH(Tabelle11[[#Headers],[Tobias_S]],Spielauswertung!$B517:$E517,0))+AS528)</f>
        <v>98.6003422659997</v>
      </c>
      <c r="AT529" s="1">
        <f>IF(IFERROR(MATCH(Tabelle11[[#Headers],[Tom_R]],Spielauswertung!$B517:$E517,0),0)=0,AT528,INDEX(Spielauswertung!$AB517:$AE517,MATCH(Tabelle11[[#Headers],[Tom_R]],Spielauswertung!$B517:$E517,0))+AT528)</f>
        <v>113.65706124889796</v>
      </c>
      <c r="AU529" s="1">
        <f>IF(IFERROR(MATCH(Tabelle11[[#Headers],[Ton_L]],Spielauswertung!$B517:$E517,0),0)=0,AU528,INDEX(Spielauswertung!$AB517:$AE517,MATCH(Tabelle11[[#Headers],[Ton_L]],Spielauswertung!$B517:$E517,0))+AU528)</f>
        <v>92.683083360025861</v>
      </c>
      <c r="AV529" s="1">
        <f>IF(IFERROR(MATCH(Tabelle11[[#Headers],[Yixin_G]],Spielauswertung!$B517:$E517,0),0)=0,AV528,INDEX(Spielauswertung!$AB517:$AE517,MATCH(Tabelle11[[#Headers],[Yixin_G]],Spielauswertung!$B517:$E517,0))+AV528)</f>
        <v>99.900323214082661</v>
      </c>
      <c r="AW529" s="1">
        <f>IF(IFERROR(MATCH(Tabelle11[[#Headers],[Spalte36]],Spielauswertung!$B517:$E517,0),0)=0,AW528,INDEX(Spielauswertung!$AB517:$AE517,MATCH(Tabelle11[[#Headers],[Spalte36]],Spielauswertung!$B517:$E517,0))+AW528)</f>
        <v>100</v>
      </c>
      <c r="AX529" s="1">
        <f>IF(IFERROR(MATCH(Tabelle11[[#Headers],[Spalte37]],Spielauswertung!$B517:$E517,0),0)=0,AX528,INDEX(Spielauswertung!$AB517:$AE517,MATCH(Tabelle11[[#Headers],[Spalte37]],Spielauswertung!$B517:$E517,0))+AX528)</f>
        <v>100</v>
      </c>
      <c r="AY529" s="1">
        <f>IF(IFERROR(MATCH(Tabelle11[[#Headers],[Spalte38]],Spielauswertung!$B517:$E517,0),0)=0,AY528,INDEX(Spielauswertung!$AB517:$AE517,MATCH(Tabelle11[[#Headers],[Spalte38]],Spielauswertung!$B517:$E517,0))+AY528)</f>
        <v>100</v>
      </c>
      <c r="AZ529" s="1">
        <f>IF(IFERROR(MATCH(Tabelle11[[#Headers],[Spalte39]],Spielauswertung!$B517:$E517,0),0)=0,AZ528,INDEX(Spielauswertung!$AB517:$AE517,MATCH(Tabelle11[[#Headers],[Spalte39]],Spielauswertung!$B517:$E517,0))+AZ528)</f>
        <v>100</v>
      </c>
      <c r="BA529" s="1">
        <f>IF(IFERROR(MATCH(Tabelle11[[#Headers],[Spalte40]],Spielauswertung!$B517:$E517,0),0)=0,BA528,INDEX(Spielauswertung!$AB517:$AE517,MATCH(Tabelle11[[#Headers],[Spalte40]],Spielauswertung!$B517:$E517,0))+BA528)</f>
        <v>100</v>
      </c>
      <c r="BB529" s="1">
        <f>IF(IFERROR(MATCH(Tabelle11[[#Headers],[Spalte41]],Spielauswertung!$B517:$E517,0),0)=0,BB528,INDEX(Spielauswertung!$AB517:$AE517,MATCH(Tabelle11[[#Headers],[Spalte41]],Spielauswertung!$B517:$E517,0))+BB528)</f>
        <v>100</v>
      </c>
      <c r="BC529" s="1">
        <f>IF(IFERROR(MATCH(Tabelle11[[#Headers],[Spalte42]],Spielauswertung!$B517:$E517,0),0)=0,BC528,INDEX(Spielauswertung!$AB517:$AE517,MATCH(Tabelle11[[#Headers],[Spalte42]],Spielauswertung!$B517:$E517,0))+BC528)</f>
        <v>100</v>
      </c>
      <c r="BD529" s="1">
        <f>IF(IFERROR(MATCH(Tabelle11[[#Headers],[Spalte43]],Spielauswertung!$B517:$E517,0),0)=0,BD528,INDEX(Spielauswertung!$AB517:$AE517,MATCH(Tabelle11[[#Headers],[Spalte43]],Spielauswertung!$B517:$E517,0))+BD528)</f>
        <v>100</v>
      </c>
      <c r="BE529" s="1">
        <f>IF(IFERROR(MATCH(Tabelle11[[#Headers],[Spalte44]],Spielauswertung!$B517:$E517,0),0)=0,BE528,INDEX(Spielauswertung!$AB517:$AE517,MATCH(Tabelle11[[#Headers],[Spalte44]],Spielauswertung!$B517:$E517,0))+BE528)</f>
        <v>100</v>
      </c>
      <c r="BF529" s="1">
        <f>IF(IFERROR(MATCH(Tabelle11[[#Headers],[Spalte45]],Spielauswertung!$B517:$E517,0),0)=0,BF528,INDEX(Spielauswertung!$AB517:$AE517,MATCH(Tabelle11[[#Headers],[Spalte45]],Spielauswertung!$B517:$E517,0))+BF528)</f>
        <v>100</v>
      </c>
      <c r="BG529" s="1">
        <f>IF(IFERROR(MATCH(Tabelle11[[#Headers],[Spalte46]],Spielauswertung!$B517:$E517,0),0)=0,BG528,INDEX(Spielauswertung!$AB517:$AE517,MATCH(Tabelle11[[#Headers],[Spalte46]],Spielauswertung!$B517:$E517,0))+BG528)</f>
        <v>100</v>
      </c>
      <c r="BH529" s="1">
        <f>IF(IFERROR(MATCH(Tabelle11[[#Headers],[Spalte47]],Spielauswertung!$B517:$E517,0),0)=0,BH528,INDEX(Spielauswertung!$AB517:$AE517,MATCH(Tabelle11[[#Headers],[Spalte47]],Spielauswertung!$B517:$E517,0))+BH528)</f>
        <v>100</v>
      </c>
    </row>
    <row r="530" spans="1:60" x14ac:dyDescent="0.25">
      <c r="A530">
        <f t="shared" si="9"/>
        <v>517</v>
      </c>
      <c r="B530" s="1">
        <f>IF(IFERROR(MATCH(Tabelle11[[#Headers],[Aleix_V]],Spielauswertung!$B518:$E518,0),0)=0,B529,INDEX(Spielauswertung!$AB518:$AE518,MATCH(Tabelle11[[#Headers],[Aleix_V]],Spielauswertung!$B518:$E518,0))+B529)</f>
        <v>104.14934138064426</v>
      </c>
      <c r="C530" s="1">
        <f>IF(IFERROR(MATCH(Tabelle11[[#Headers],[Andres_H]],Spielauswertung!$B518:$E518,0),0)=0,C529,INDEX(Spielauswertung!$AB518:$AE518,MATCH(Tabelle11[[#Headers],[Andres_H]],Spielauswertung!$B518:$E518,0))+C529)</f>
        <v>95.535732339111306</v>
      </c>
      <c r="D530" s="1">
        <f>IF(IFERROR(MATCH(Tabelle11[[#Headers],[Anton_K]],Spielauswertung!$B518:$E518,0),0)=0,D529,INDEX(Spielauswertung!$AB518:$AE518,MATCH(Tabelle11[[#Headers],[Anton_K]],Spielauswertung!$B518:$E518,0))+D529)</f>
        <v>98.41146373956164</v>
      </c>
      <c r="E530" s="1">
        <f>IF(IFERROR(MATCH(Tabelle11[[#Headers],[Bastian_G]],Spielauswertung!$B518:$E518,0),0)=0,E529,INDEX(Spielauswertung!$AB518:$AE518,MATCH(Tabelle11[[#Headers],[Bastian_G]],Spielauswertung!$B518:$E518,0))+E529)</f>
        <v>114.55700465733739</v>
      </c>
      <c r="F530" s="1">
        <f>IF(IFERROR(MATCH(Tabelle11[[#Headers],[Ben_S]],Spielauswertung!$B518:$E518,0),0)=0,F529,INDEX(Spielauswertung!$AB518:$AE518,MATCH(Tabelle11[[#Headers],[Ben_S]],Spielauswertung!$B518:$E518,0))+F529)</f>
        <v>95.932799101521084</v>
      </c>
      <c r="G530" s="1">
        <f>IF(IFERROR(MATCH(Tabelle11[[#Headers],[Benedikt_K]],Spielauswertung!$B518:$E518,0),0)=0,G529,INDEX(Spielauswertung!$AB518:$AE518,MATCH(Tabelle11[[#Headers],[Benedikt_K]],Spielauswertung!$B518:$E518,0))+G529)</f>
        <v>101.20264176422626</v>
      </c>
      <c r="H530" s="1">
        <f>IF(IFERROR(MATCH(Tabelle11[[#Headers],[Benedikt_R]],Spielauswertung!$B518:$E518,0),0)=0,H529,INDEX(Spielauswertung!$AB518:$AE518,MATCH(Tabelle11[[#Headers],[Benedikt_R]],Spielauswertung!$B518:$E518,0))+H529)</f>
        <v>102.6264770510757</v>
      </c>
      <c r="I530" s="1">
        <f>IF(IFERROR(MATCH(Tabelle11[[#Headers],[Carsten_H]],Spielauswertung!$B518:$E518,0),0)=0,I529,INDEX(Spielauswertung!$AB518:$AE518,MATCH(Tabelle11[[#Headers],[Carsten_H]],Spielauswertung!$B518:$E518,0))+I529)</f>
        <v>94.575908318629573</v>
      </c>
      <c r="J530" s="1">
        <f>IF(IFERROR(MATCH(Tabelle11[[#Headers],[Christoph_R]],Spielauswertung!$B518:$E518,0),0)=0,J529,INDEX(Spielauswertung!$AB518:$AE518,MATCH(Tabelle11[[#Headers],[Christoph_R]],Spielauswertung!$B518:$E518,0))+J529)</f>
        <v>109.73261611443155</v>
      </c>
      <c r="K530" s="1">
        <f>IF(IFERROR(MATCH(Tabelle11[[#Headers],[Claudius_J]],Spielauswertung!$B518:$E518,0),0)=0,K529,INDEX(Spielauswertung!$AB518:$AE518,MATCH(Tabelle11[[#Headers],[Claudius_J]],Spielauswertung!$B518:$E518,0))+K529)</f>
        <v>106.16590636000029</v>
      </c>
      <c r="L530" s="1">
        <f>IF(IFERROR(MATCH(Tabelle11[[#Headers],[Daniel_D]],Spielauswertung!$B518:$E518,0),0)=0,L529,INDEX(Spielauswertung!$AB518:$AE518,MATCH(Tabelle11[[#Headers],[Daniel_D]],Spielauswertung!$B518:$E518,0))+L529)</f>
        <v>99.990299180470089</v>
      </c>
      <c r="M530" s="1">
        <f>IF(IFERROR(MATCH(Tabelle11[[#Headers],[David_R]],Spielauswertung!$B518:$E518,0),0)=0,M529,INDEX(Spielauswertung!$AB518:$AE518,MATCH(Tabelle11[[#Headers],[David_R]],Spielauswertung!$B518:$E518,0))+M529)</f>
        <v>96.715943522481638</v>
      </c>
      <c r="N530" s="1">
        <f>IF(IFERROR(MATCH(Tabelle11[[#Headers],[Dennis_P]],Spielauswertung!$B518:$E518,0),0)=0,N529,INDEX(Spielauswertung!$AB518:$AE518,MATCH(Tabelle11[[#Headers],[Dennis_P]],Spielauswertung!$B518:$E518,0))+N529)</f>
        <v>100.04773223105254</v>
      </c>
      <c r="O530" s="1">
        <f>IF(IFERROR(MATCH(Tabelle11[[#Headers],[Dennis_R]],Spielauswertung!$B518:$E518,0),0)=0,O529,INDEX(Spielauswertung!$AB518:$AE518,MATCH(Tabelle11[[#Headers],[Dennis_R]],Spielauswertung!$B518:$E518,0))+O529)</f>
        <v>75.131680864937195</v>
      </c>
      <c r="P530" s="1">
        <f>IF(IFERROR(MATCH(Tabelle11[[#Headers],[Detlef_R]],Spielauswertung!$B518:$E518,0),0)=0,P529,INDEX(Spielauswertung!$AB518:$AE518,MATCH(Tabelle11[[#Headers],[Detlef_R]],Spielauswertung!$B518:$E518,0))+P529)</f>
        <v>87.984671797367014</v>
      </c>
      <c r="Q530" s="1">
        <f>IF(IFERROR(MATCH(Tabelle11[[#Headers],[Dmitrij_M]],Spielauswertung!$B518:$E518,0),0)=0,Q529,INDEX(Spielauswertung!$AB518:$AE518,MATCH(Tabelle11[[#Headers],[Dmitrij_M]],Spielauswertung!$B518:$E518,0))+Q529)</f>
        <v>100.69975721846207</v>
      </c>
      <c r="R530" s="1">
        <f>IF(IFERROR(MATCH(Tabelle11[[#Headers],[Fabian_M]],Spielauswertung!$B518:$E518,0),0)=0,R529,INDEX(Spielauswertung!$AB518:$AE518,MATCH(Tabelle11[[#Headers],[Fabian_M]],Spielauswertung!$B518:$E518,0))+R529)</f>
        <v>96.683396186978783</v>
      </c>
      <c r="S530" s="1">
        <f>IF(IFERROR(MATCH(Tabelle11[[#Headers],[Hannes_S]],Spielauswertung!$B518:$E518,0),0)=0,S529,INDEX(Spielauswertung!$AB518:$AE518,MATCH(Tabelle11[[#Headers],[Hannes_S]],Spielauswertung!$B518:$E518,0))+S529)</f>
        <v>103.90239128811677</v>
      </c>
      <c r="T530" s="1">
        <f>IF(IFERROR(MATCH(Tabelle11[[#Headers],[Jan_B]],Spielauswertung!$B518:$E518,0),0)=0,T529,INDEX(Spielauswertung!$AB518:$AE518,MATCH(Tabelle11[[#Headers],[Jan_B]],Spielauswertung!$B518:$E518,0))+T529)</f>
        <v>97.165990768993908</v>
      </c>
      <c r="U530" s="1">
        <f>IF(IFERROR(MATCH(Tabelle11[[#Headers],[Jan_Hendrik_B]],Spielauswertung!$B518:$E518,0),0)=0,U529,INDEX(Spielauswertung!$AB518:$AE518,MATCH(Tabelle11[[#Headers],[Jan_Hendrik_B]],Spielauswertung!$B518:$E518,0))+U529)</f>
        <v>100.75492416935522</v>
      </c>
      <c r="V530" s="1">
        <f>IF(IFERROR(MATCH(Tabelle11[[#Headers],[Jens_N]],Spielauswertung!$B518:$E518,0),0)=0,V529,INDEX(Spielauswertung!$AB518:$AE518,MATCH(Tabelle11[[#Headers],[Jens_N]],Spielauswertung!$B518:$E518,0))+V529)</f>
        <v>98.772224299304881</v>
      </c>
      <c r="W530" s="1">
        <f>IF(IFERROR(MATCH(Tabelle11[[#Headers],[Johannes_S]],Spielauswertung!$B518:$E518,0),0)=0,W529,INDEX(Spielauswertung!$AB518:$AE518,MATCH(Tabelle11[[#Headers],[Johannes_S]],Spielauswertung!$B518:$E518,0))+W529)</f>
        <v>102.20284750979505</v>
      </c>
      <c r="X530" s="1">
        <f>IF(IFERROR(MATCH(Tabelle11[[#Headers],[Jonathan_F]],Spielauswertung!$B518:$E518,0),0)=0,X529,INDEX(Spielauswertung!$AB518:$AE518,MATCH(Tabelle11[[#Headers],[Jonathan_F]],Spielauswertung!$B518:$E518,0))+X529)</f>
        <v>98.938308797866256</v>
      </c>
      <c r="Y530" s="1">
        <f>IF(IFERROR(MATCH(Tabelle11[[#Headers],[Julius_P]],Spielauswertung!$B518:$E518,0),0)=0,Y529,INDEX(Spielauswertung!$AB518:$AE518,MATCH(Tabelle11[[#Headers],[Julius_P]],Spielauswertung!$B518:$E518,0))+Y529)</f>
        <v>96.540305101873642</v>
      </c>
      <c r="Z530" s="1">
        <f>IF(IFERROR(MATCH(Tabelle11[[#Headers],[Louis_W]],Spielauswertung!$B518:$E518,0),0)=0,Z529,INDEX(Spielauswertung!$AB518:$AE518,MATCH(Tabelle11[[#Headers],[Louis_W]],Spielauswertung!$B518:$E518,0))+Z529)</f>
        <v>87.497452285475362</v>
      </c>
      <c r="AA530" s="1">
        <f>IF(IFERROR(MATCH(Tabelle11[[#Headers],[Lukas_L]],Spielauswertung!$B518:$E518,0),0)=0,AA529,INDEX(Spielauswertung!$AB518:$AE518,MATCH(Tabelle11[[#Headers],[Lukas_L]],Spielauswertung!$B518:$E518,0))+AA529)</f>
        <v>97.557204275970349</v>
      </c>
      <c r="AB530" s="1">
        <f>IF(IFERROR(MATCH(Tabelle11[[#Headers],[Marcin_S]],Spielauswertung!$B518:$E518,0),0)=0,AB529,INDEX(Spielauswertung!$AB518:$AE518,MATCH(Tabelle11[[#Headers],[Marcin_S]],Spielauswertung!$B518:$E518,0))+AB529)</f>
        <v>81.504592795638743</v>
      </c>
      <c r="AC530" s="1">
        <f>IF(IFERROR(MATCH(Tabelle11[[#Headers],[Marco_K]],Spielauswertung!$B518:$E518,0),0)=0,AC529,INDEX(Spielauswertung!$AB518:$AE518,MATCH(Tabelle11[[#Headers],[Marco_K]],Spielauswertung!$B518:$E518,0))+AC529)</f>
        <v>102.12169819441469</v>
      </c>
      <c r="AD530" s="1">
        <f>IF(IFERROR(MATCH(Tabelle11[[#Headers],[Marius_M]],Spielauswertung!$B518:$E518,0),0)=0,AD529,INDEX(Spielauswertung!$AB518:$AE518,MATCH(Tabelle11[[#Headers],[Marius_M]],Spielauswertung!$B518:$E518,0))+AD529)</f>
        <v>124.54012374585781</v>
      </c>
      <c r="AE530" s="1">
        <f>IF(IFERROR(MATCH(Tabelle11[[#Headers],[Marvin_W]],Spielauswertung!$B518:$E518,0),0)=0,AE529,INDEX(Spielauswertung!$AB518:$AE518,MATCH(Tabelle11[[#Headers],[Marvin_W]],Spielauswertung!$B518:$E518,0))+AE529)</f>
        <v>98.799776610790332</v>
      </c>
      <c r="AF530" s="1">
        <f>IF(IFERROR(MATCH(Tabelle11[[#Headers],[Matthias_H]],Spielauswertung!$B518:$E518,0),0)=0,AF529,INDEX(Spielauswertung!$AB518:$AE518,MATCH(Tabelle11[[#Headers],[Matthias_H]],Spielauswertung!$B518:$E518,0))+AF529)</f>
        <v>105.42130178599372</v>
      </c>
      <c r="AG530" s="1">
        <f>IF(IFERROR(MATCH(Tabelle11[[#Headers],[Michael_D]],Spielauswertung!$B518:$E518,0),0)=0,AG529,INDEX(Spielauswertung!$AB518:$AE518,MATCH(Tabelle11[[#Headers],[Michael_D]],Spielauswertung!$B518:$E518,0))+AG529)</f>
        <v>97.325259927934127</v>
      </c>
      <c r="AH530" s="1">
        <f>IF(IFERROR(MATCH(Tabelle11[[#Headers],[Patrick_S]],Spielauswertung!$B518:$E518,0),0)=0,AH529,INDEX(Spielauswertung!$AB518:$AE518,MATCH(Tabelle11[[#Headers],[Patrick_S]],Spielauswertung!$B518:$E518,0))+AH529)</f>
        <v>98.975330692053802</v>
      </c>
      <c r="AI530" s="1">
        <f>IF(IFERROR(MATCH(Tabelle11[[#Headers],[Rano_M]],Spielauswertung!$B518:$E518,0),0)=0,AI529,INDEX(Spielauswertung!$AB518:$AE518,MATCH(Tabelle11[[#Headers],[Rano_M]],Spielauswertung!$B518:$E518,0))+AI529)</f>
        <v>109.38890657420265</v>
      </c>
      <c r="AJ530" s="1">
        <f>IF(IFERROR(MATCH(Tabelle11[[#Headers],[Rene_N]],Spielauswertung!$B518:$E518,0),0)=0,AJ529,INDEX(Spielauswertung!$AB518:$AE518,MATCH(Tabelle11[[#Headers],[Rene_N]],Spielauswertung!$B518:$E518,0))+AJ529)</f>
        <v>101.06482124619033</v>
      </c>
      <c r="AK530" s="1">
        <f>IF(IFERROR(MATCH(Tabelle11[[#Headers],[Rene_P]],Spielauswertung!$B518:$E518,0),0)=0,AK529,INDEX(Spielauswertung!$AB518:$AE518,MATCH(Tabelle11[[#Headers],[Rene_P]],Spielauswertung!$B518:$E518,0))+AK529)</f>
        <v>90.704997420314484</v>
      </c>
      <c r="AL530" s="1">
        <f>IF(IFERROR(MATCH(Tabelle11[[#Headers],[Richard_D]],Spielauswertung!$B518:$E518,0),0)=0,AL529,INDEX(Spielauswertung!$AB518:$AE518,MATCH(Tabelle11[[#Headers],[Richard_D]],Spielauswertung!$B518:$E518,0))+AL529)</f>
        <v>108.544751467411</v>
      </c>
      <c r="AM530" s="1">
        <f>IF(IFERROR(MATCH(Tabelle11[[#Headers],[Rodrigo_R]],Spielauswertung!$B518:$E518,0),0)=0,AM529,INDEX(Spielauswertung!$AB518:$AE518,MATCH(Tabelle11[[#Headers],[Rodrigo_R]],Spielauswertung!$B518:$E518,0))+AM529)</f>
        <v>116.7028707921346</v>
      </c>
      <c r="AN530" s="1">
        <f>IF(IFERROR(MATCH(Tabelle11[[#Headers],[Sebastian_A]],Spielauswertung!$B518:$E518,0),0)=0,AN529,INDEX(Spielauswertung!$AB518:$AE518,MATCH(Tabelle11[[#Headers],[Sebastian_A]],Spielauswertung!$B518:$E518,0))+AN529)</f>
        <v>102.89457418671324</v>
      </c>
      <c r="AO530" s="1">
        <f>IF(IFERROR(MATCH(Tabelle11[[#Headers],[Sebastian_St]],Spielauswertung!$B518:$E518,0),0)=0,AO529,INDEX(Spielauswertung!$AB518:$AE518,MATCH(Tabelle11[[#Headers],[Sebastian_St]],Spielauswertung!$B518:$E518,0))+AO529)</f>
        <v>97.749574367408982</v>
      </c>
      <c r="AP530" s="1">
        <f>IF(IFERROR(MATCH(Tabelle11[[#Headers],[Simon_U]],Spielauswertung!$B518:$E518,0),0)=0,AP529,INDEX(Spielauswertung!$AB518:$AE518,MATCH(Tabelle11[[#Headers],[Simon_U]],Spielauswertung!$B518:$E518,0))+AP529)</f>
        <v>99.623054841470903</v>
      </c>
      <c r="AQ530" s="1">
        <f>IF(IFERROR(MATCH(Tabelle11[[#Headers],[Steffen_R]],Spielauswertung!$B518:$E518,0),0)=0,AQ529,INDEX(Spielauswertung!$AB518:$AE518,MATCH(Tabelle11[[#Headers],[Steffen_R]],Spielauswertung!$B518:$E518,0))+AQ529)</f>
        <v>93.247497067190949</v>
      </c>
      <c r="AR530" s="1">
        <f>IF(IFERROR(MATCH(Tabelle11[[#Headers],[Tim_R]],Spielauswertung!$B518:$E518,0),0)=0,AR529,INDEX(Spielauswertung!$AB518:$AE518,MATCH(Tabelle11[[#Headers],[Tim_R]],Spielauswertung!$B518:$E518,0))+AR529)</f>
        <v>103.07503787023374</v>
      </c>
      <c r="AS530" s="1">
        <f>IF(IFERROR(MATCH(Tabelle11[[#Headers],[Tobias_S]],Spielauswertung!$B518:$E518,0),0)=0,AS529,INDEX(Spielauswertung!$AB518:$AE518,MATCH(Tabelle11[[#Headers],[Tobias_S]],Spielauswertung!$B518:$E518,0))+AS529)</f>
        <v>98.6003422659997</v>
      </c>
      <c r="AT530" s="1">
        <f>IF(IFERROR(MATCH(Tabelle11[[#Headers],[Tom_R]],Spielauswertung!$B518:$E518,0),0)=0,AT529,INDEX(Spielauswertung!$AB518:$AE518,MATCH(Tabelle11[[#Headers],[Tom_R]],Spielauswertung!$B518:$E518,0))+AT529)</f>
        <v>113.65706124889796</v>
      </c>
      <c r="AU530" s="1">
        <f>IF(IFERROR(MATCH(Tabelle11[[#Headers],[Ton_L]],Spielauswertung!$B518:$E518,0),0)=0,AU529,INDEX(Spielauswertung!$AB518:$AE518,MATCH(Tabelle11[[#Headers],[Ton_L]],Spielauswertung!$B518:$E518,0))+AU529)</f>
        <v>92.683083360025861</v>
      </c>
      <c r="AV530" s="1">
        <f>IF(IFERROR(MATCH(Tabelle11[[#Headers],[Yixin_G]],Spielauswertung!$B518:$E518,0),0)=0,AV529,INDEX(Spielauswertung!$AB518:$AE518,MATCH(Tabelle11[[#Headers],[Yixin_G]],Spielauswertung!$B518:$E518,0))+AV529)</f>
        <v>99.900323214082661</v>
      </c>
      <c r="AW530" s="1">
        <f>IF(IFERROR(MATCH(Tabelle11[[#Headers],[Spalte36]],Spielauswertung!$B518:$E518,0),0)=0,AW529,INDEX(Spielauswertung!$AB518:$AE518,MATCH(Tabelle11[[#Headers],[Spalte36]],Spielauswertung!$B518:$E518,0))+AW529)</f>
        <v>100</v>
      </c>
      <c r="AX530" s="1">
        <f>IF(IFERROR(MATCH(Tabelle11[[#Headers],[Spalte37]],Spielauswertung!$B518:$E518,0),0)=0,AX529,INDEX(Spielauswertung!$AB518:$AE518,MATCH(Tabelle11[[#Headers],[Spalte37]],Spielauswertung!$B518:$E518,0))+AX529)</f>
        <v>100</v>
      </c>
      <c r="AY530" s="1">
        <f>IF(IFERROR(MATCH(Tabelle11[[#Headers],[Spalte38]],Spielauswertung!$B518:$E518,0),0)=0,AY529,INDEX(Spielauswertung!$AB518:$AE518,MATCH(Tabelle11[[#Headers],[Spalte38]],Spielauswertung!$B518:$E518,0))+AY529)</f>
        <v>100</v>
      </c>
      <c r="AZ530" s="1">
        <f>IF(IFERROR(MATCH(Tabelle11[[#Headers],[Spalte39]],Spielauswertung!$B518:$E518,0),0)=0,AZ529,INDEX(Spielauswertung!$AB518:$AE518,MATCH(Tabelle11[[#Headers],[Spalte39]],Spielauswertung!$B518:$E518,0))+AZ529)</f>
        <v>100</v>
      </c>
      <c r="BA530" s="1">
        <f>IF(IFERROR(MATCH(Tabelle11[[#Headers],[Spalte40]],Spielauswertung!$B518:$E518,0),0)=0,BA529,INDEX(Spielauswertung!$AB518:$AE518,MATCH(Tabelle11[[#Headers],[Spalte40]],Spielauswertung!$B518:$E518,0))+BA529)</f>
        <v>100</v>
      </c>
      <c r="BB530" s="1">
        <f>IF(IFERROR(MATCH(Tabelle11[[#Headers],[Spalte41]],Spielauswertung!$B518:$E518,0),0)=0,BB529,INDEX(Spielauswertung!$AB518:$AE518,MATCH(Tabelle11[[#Headers],[Spalte41]],Spielauswertung!$B518:$E518,0))+BB529)</f>
        <v>100</v>
      </c>
      <c r="BC530" s="1">
        <f>IF(IFERROR(MATCH(Tabelle11[[#Headers],[Spalte42]],Spielauswertung!$B518:$E518,0),0)=0,BC529,INDEX(Spielauswertung!$AB518:$AE518,MATCH(Tabelle11[[#Headers],[Spalte42]],Spielauswertung!$B518:$E518,0))+BC529)</f>
        <v>100</v>
      </c>
      <c r="BD530" s="1">
        <f>IF(IFERROR(MATCH(Tabelle11[[#Headers],[Spalte43]],Spielauswertung!$B518:$E518,0),0)=0,BD529,INDEX(Spielauswertung!$AB518:$AE518,MATCH(Tabelle11[[#Headers],[Spalte43]],Spielauswertung!$B518:$E518,0))+BD529)</f>
        <v>100</v>
      </c>
      <c r="BE530" s="1">
        <f>IF(IFERROR(MATCH(Tabelle11[[#Headers],[Spalte44]],Spielauswertung!$B518:$E518,0),0)=0,BE529,INDEX(Spielauswertung!$AB518:$AE518,MATCH(Tabelle11[[#Headers],[Spalte44]],Spielauswertung!$B518:$E518,0))+BE529)</f>
        <v>100</v>
      </c>
      <c r="BF530" s="1">
        <f>IF(IFERROR(MATCH(Tabelle11[[#Headers],[Spalte45]],Spielauswertung!$B518:$E518,0),0)=0,BF529,INDEX(Spielauswertung!$AB518:$AE518,MATCH(Tabelle11[[#Headers],[Spalte45]],Spielauswertung!$B518:$E518,0))+BF529)</f>
        <v>100</v>
      </c>
      <c r="BG530" s="1">
        <f>IF(IFERROR(MATCH(Tabelle11[[#Headers],[Spalte46]],Spielauswertung!$B518:$E518,0),0)=0,BG529,INDEX(Spielauswertung!$AB518:$AE518,MATCH(Tabelle11[[#Headers],[Spalte46]],Spielauswertung!$B518:$E518,0))+BG529)</f>
        <v>100</v>
      </c>
      <c r="BH530" s="1">
        <f>IF(IFERROR(MATCH(Tabelle11[[#Headers],[Spalte47]],Spielauswertung!$B518:$E518,0),0)=0,BH529,INDEX(Spielauswertung!$AB518:$AE518,MATCH(Tabelle11[[#Headers],[Spalte47]],Spielauswertung!$B518:$E518,0))+BH529)</f>
        <v>100</v>
      </c>
    </row>
    <row r="531" spans="1:60" x14ac:dyDescent="0.25">
      <c r="A531">
        <f t="shared" si="9"/>
        <v>518</v>
      </c>
      <c r="B531" s="1">
        <f>IF(IFERROR(MATCH(Tabelle11[[#Headers],[Aleix_V]],Spielauswertung!$B519:$E519,0),0)=0,B530,INDEX(Spielauswertung!$AB519:$AE519,MATCH(Tabelle11[[#Headers],[Aleix_V]],Spielauswertung!$B519:$E519,0))+B530)</f>
        <v>104.14934138064426</v>
      </c>
      <c r="C531" s="1">
        <f>IF(IFERROR(MATCH(Tabelle11[[#Headers],[Andres_H]],Spielauswertung!$B519:$E519,0),0)=0,C530,INDEX(Spielauswertung!$AB519:$AE519,MATCH(Tabelle11[[#Headers],[Andres_H]],Spielauswertung!$B519:$E519,0))+C530)</f>
        <v>95.535732339111306</v>
      </c>
      <c r="D531" s="1">
        <f>IF(IFERROR(MATCH(Tabelle11[[#Headers],[Anton_K]],Spielauswertung!$B519:$E519,0),0)=0,D530,INDEX(Spielauswertung!$AB519:$AE519,MATCH(Tabelle11[[#Headers],[Anton_K]],Spielauswertung!$B519:$E519,0))+D530)</f>
        <v>98.017000859902538</v>
      </c>
      <c r="E531" s="1">
        <f>IF(IFERROR(MATCH(Tabelle11[[#Headers],[Bastian_G]],Spielauswertung!$B519:$E519,0),0)=0,E530,INDEX(Spielauswertung!$AB519:$AE519,MATCH(Tabelle11[[#Headers],[Bastian_G]],Spielauswertung!$B519:$E519,0))+E530)</f>
        <v>114.55700465733739</v>
      </c>
      <c r="F531" s="1">
        <f>IF(IFERROR(MATCH(Tabelle11[[#Headers],[Ben_S]],Spielauswertung!$B519:$E519,0),0)=0,F530,INDEX(Spielauswertung!$AB519:$AE519,MATCH(Tabelle11[[#Headers],[Ben_S]],Spielauswertung!$B519:$E519,0))+F530)</f>
        <v>95.932799101521084</v>
      </c>
      <c r="G531" s="1">
        <f>IF(IFERROR(MATCH(Tabelle11[[#Headers],[Benedikt_K]],Spielauswertung!$B519:$E519,0),0)=0,G530,INDEX(Spielauswertung!$AB519:$AE519,MATCH(Tabelle11[[#Headers],[Benedikt_K]],Spielauswertung!$B519:$E519,0))+G530)</f>
        <v>101.20264176422626</v>
      </c>
      <c r="H531" s="1">
        <f>IF(IFERROR(MATCH(Tabelle11[[#Headers],[Benedikt_R]],Spielauswertung!$B519:$E519,0),0)=0,H530,INDEX(Spielauswertung!$AB519:$AE519,MATCH(Tabelle11[[#Headers],[Benedikt_R]],Spielauswertung!$B519:$E519,0))+H530)</f>
        <v>102.6264770510757</v>
      </c>
      <c r="I531" s="1">
        <f>IF(IFERROR(MATCH(Tabelle11[[#Headers],[Carsten_H]],Spielauswertung!$B519:$E519,0),0)=0,I530,INDEX(Spielauswertung!$AB519:$AE519,MATCH(Tabelle11[[#Headers],[Carsten_H]],Spielauswertung!$B519:$E519,0))+I530)</f>
        <v>94.575908318629573</v>
      </c>
      <c r="J531" s="1">
        <f>IF(IFERROR(MATCH(Tabelle11[[#Headers],[Christoph_R]],Spielauswertung!$B519:$E519,0),0)=0,J530,INDEX(Spielauswertung!$AB519:$AE519,MATCH(Tabelle11[[#Headers],[Christoph_R]],Spielauswertung!$B519:$E519,0))+J530)</f>
        <v>109.73261611443155</v>
      </c>
      <c r="K531" s="1">
        <f>IF(IFERROR(MATCH(Tabelle11[[#Headers],[Claudius_J]],Spielauswertung!$B519:$E519,0),0)=0,K530,INDEX(Spielauswertung!$AB519:$AE519,MATCH(Tabelle11[[#Headers],[Claudius_J]],Spielauswertung!$B519:$E519,0))+K530)</f>
        <v>106.16590636000029</v>
      </c>
      <c r="L531" s="1">
        <f>IF(IFERROR(MATCH(Tabelle11[[#Headers],[Daniel_D]],Spielauswertung!$B519:$E519,0),0)=0,L530,INDEX(Spielauswertung!$AB519:$AE519,MATCH(Tabelle11[[#Headers],[Daniel_D]],Spielauswertung!$B519:$E519,0))+L530)</f>
        <v>99.990299180470089</v>
      </c>
      <c r="M531" s="1">
        <f>IF(IFERROR(MATCH(Tabelle11[[#Headers],[David_R]],Spielauswertung!$B519:$E519,0),0)=0,M530,INDEX(Spielauswertung!$AB519:$AE519,MATCH(Tabelle11[[#Headers],[David_R]],Spielauswertung!$B519:$E519,0))+M530)</f>
        <v>96.715943522481638</v>
      </c>
      <c r="N531" s="1">
        <f>IF(IFERROR(MATCH(Tabelle11[[#Headers],[Dennis_P]],Spielauswertung!$B519:$E519,0),0)=0,N530,INDEX(Spielauswertung!$AB519:$AE519,MATCH(Tabelle11[[#Headers],[Dennis_P]],Spielauswertung!$B519:$E519,0))+N530)</f>
        <v>100.04773223105254</v>
      </c>
      <c r="O531" s="1">
        <f>IF(IFERROR(MATCH(Tabelle11[[#Headers],[Dennis_R]],Spielauswertung!$B519:$E519,0),0)=0,O530,INDEX(Spielauswertung!$AB519:$AE519,MATCH(Tabelle11[[#Headers],[Dennis_R]],Spielauswertung!$B519:$E519,0))+O530)</f>
        <v>75.131680864937195</v>
      </c>
      <c r="P531" s="1">
        <f>IF(IFERROR(MATCH(Tabelle11[[#Headers],[Detlef_R]],Spielauswertung!$B519:$E519,0),0)=0,P530,INDEX(Spielauswertung!$AB519:$AE519,MATCH(Tabelle11[[#Headers],[Detlef_R]],Spielauswertung!$B519:$E519,0))+P530)</f>
        <v>87.984671797367014</v>
      </c>
      <c r="Q531" s="1">
        <f>IF(IFERROR(MATCH(Tabelle11[[#Headers],[Dmitrij_M]],Spielauswertung!$B519:$E519,0),0)=0,Q530,INDEX(Spielauswertung!$AB519:$AE519,MATCH(Tabelle11[[#Headers],[Dmitrij_M]],Spielauswertung!$B519:$E519,0))+Q530)</f>
        <v>100.69975721846207</v>
      </c>
      <c r="R531" s="1">
        <f>IF(IFERROR(MATCH(Tabelle11[[#Headers],[Fabian_M]],Spielauswertung!$B519:$E519,0),0)=0,R530,INDEX(Spielauswertung!$AB519:$AE519,MATCH(Tabelle11[[#Headers],[Fabian_M]],Spielauswertung!$B519:$E519,0))+R530)</f>
        <v>97.077446389559995</v>
      </c>
      <c r="S531" s="1">
        <f>IF(IFERROR(MATCH(Tabelle11[[#Headers],[Hannes_S]],Spielauswertung!$B519:$E519,0),0)=0,S530,INDEX(Spielauswertung!$AB519:$AE519,MATCH(Tabelle11[[#Headers],[Hannes_S]],Spielauswertung!$B519:$E519,0))+S530)</f>
        <v>103.90239128811677</v>
      </c>
      <c r="T531" s="1">
        <f>IF(IFERROR(MATCH(Tabelle11[[#Headers],[Jan_B]],Spielauswertung!$B519:$E519,0),0)=0,T530,INDEX(Spielauswertung!$AB519:$AE519,MATCH(Tabelle11[[#Headers],[Jan_B]],Spielauswertung!$B519:$E519,0))+T530)</f>
        <v>97.165990768993908</v>
      </c>
      <c r="U531" s="1">
        <f>IF(IFERROR(MATCH(Tabelle11[[#Headers],[Jan_Hendrik_B]],Spielauswertung!$B519:$E519,0),0)=0,U530,INDEX(Spielauswertung!$AB519:$AE519,MATCH(Tabelle11[[#Headers],[Jan_Hendrik_B]],Spielauswertung!$B519:$E519,0))+U530)</f>
        <v>100.75492416935522</v>
      </c>
      <c r="V531" s="1">
        <f>IF(IFERROR(MATCH(Tabelle11[[#Headers],[Jens_N]],Spielauswertung!$B519:$E519,0),0)=0,V530,INDEX(Spielauswertung!$AB519:$AE519,MATCH(Tabelle11[[#Headers],[Jens_N]],Spielauswertung!$B519:$E519,0))+V530)</f>
        <v>98.772224299304881</v>
      </c>
      <c r="W531" s="1">
        <f>IF(IFERROR(MATCH(Tabelle11[[#Headers],[Johannes_S]],Spielauswertung!$B519:$E519,0),0)=0,W530,INDEX(Spielauswertung!$AB519:$AE519,MATCH(Tabelle11[[#Headers],[Johannes_S]],Spielauswertung!$B519:$E519,0))+W530)</f>
        <v>102.20284750979505</v>
      </c>
      <c r="X531" s="1">
        <f>IF(IFERROR(MATCH(Tabelle11[[#Headers],[Jonathan_F]],Spielauswertung!$B519:$E519,0),0)=0,X530,INDEX(Spielauswertung!$AB519:$AE519,MATCH(Tabelle11[[#Headers],[Jonathan_F]],Spielauswertung!$B519:$E519,0))+X530)</f>
        <v>98.938308797866256</v>
      </c>
      <c r="Y531" s="1">
        <f>IF(IFERROR(MATCH(Tabelle11[[#Headers],[Julius_P]],Spielauswertung!$B519:$E519,0),0)=0,Y530,INDEX(Spielauswertung!$AB519:$AE519,MATCH(Tabelle11[[#Headers],[Julius_P]],Spielauswertung!$B519:$E519,0))+Y530)</f>
        <v>96.540305101873642</v>
      </c>
      <c r="Z531" s="1">
        <f>IF(IFERROR(MATCH(Tabelle11[[#Headers],[Louis_W]],Spielauswertung!$B519:$E519,0),0)=0,Z530,INDEX(Spielauswertung!$AB519:$AE519,MATCH(Tabelle11[[#Headers],[Louis_W]],Spielauswertung!$B519:$E519,0))+Z530)</f>
        <v>87.497452285475362</v>
      </c>
      <c r="AA531" s="1">
        <f>IF(IFERROR(MATCH(Tabelle11[[#Headers],[Lukas_L]],Spielauswertung!$B519:$E519,0),0)=0,AA530,INDEX(Spielauswertung!$AB519:$AE519,MATCH(Tabelle11[[#Headers],[Lukas_L]],Spielauswertung!$B519:$E519,0))+AA530)</f>
        <v>97.166165526338162</v>
      </c>
      <c r="AB531" s="1">
        <f>IF(IFERROR(MATCH(Tabelle11[[#Headers],[Marcin_S]],Spielauswertung!$B519:$E519,0),0)=0,AB530,INDEX(Spielauswertung!$AB519:$AE519,MATCH(Tabelle11[[#Headers],[Marcin_S]],Spielauswertung!$B519:$E519,0))+AB530)</f>
        <v>81.504592795638743</v>
      </c>
      <c r="AC531" s="1">
        <f>IF(IFERROR(MATCH(Tabelle11[[#Headers],[Marco_K]],Spielauswertung!$B519:$E519,0),0)=0,AC530,INDEX(Spielauswertung!$AB519:$AE519,MATCH(Tabelle11[[#Headers],[Marco_K]],Spielauswertung!$B519:$E519,0))+AC530)</f>
        <v>102.12169819441469</v>
      </c>
      <c r="AD531" s="1">
        <f>IF(IFERROR(MATCH(Tabelle11[[#Headers],[Marius_M]],Spielauswertung!$B519:$E519,0),0)=0,AD530,INDEX(Spielauswertung!$AB519:$AE519,MATCH(Tabelle11[[#Headers],[Marius_M]],Spielauswertung!$B519:$E519,0))+AD530)</f>
        <v>124.54012374585781</v>
      </c>
      <c r="AE531" s="1">
        <f>IF(IFERROR(MATCH(Tabelle11[[#Headers],[Marvin_W]],Spielauswertung!$B519:$E519,0),0)=0,AE530,INDEX(Spielauswertung!$AB519:$AE519,MATCH(Tabelle11[[#Headers],[Marvin_W]],Spielauswertung!$B519:$E519,0))+AE530)</f>
        <v>98.799776610790332</v>
      </c>
      <c r="AF531" s="1">
        <f>IF(IFERROR(MATCH(Tabelle11[[#Headers],[Matthias_H]],Spielauswertung!$B519:$E519,0),0)=0,AF530,INDEX(Spielauswertung!$AB519:$AE519,MATCH(Tabelle11[[#Headers],[Matthias_H]],Spielauswertung!$B519:$E519,0))+AF530)</f>
        <v>105.42130178599372</v>
      </c>
      <c r="AG531" s="1">
        <f>IF(IFERROR(MATCH(Tabelle11[[#Headers],[Michael_D]],Spielauswertung!$B519:$E519,0),0)=0,AG530,INDEX(Spielauswertung!$AB519:$AE519,MATCH(Tabelle11[[#Headers],[Michael_D]],Spielauswertung!$B519:$E519,0))+AG530)</f>
        <v>97.716711354644204</v>
      </c>
      <c r="AH531" s="1">
        <f>IF(IFERROR(MATCH(Tabelle11[[#Headers],[Patrick_S]],Spielauswertung!$B519:$E519,0),0)=0,AH530,INDEX(Spielauswertung!$AB519:$AE519,MATCH(Tabelle11[[#Headers],[Patrick_S]],Spielauswertung!$B519:$E519,0))+AH530)</f>
        <v>98.975330692053802</v>
      </c>
      <c r="AI531" s="1">
        <f>IF(IFERROR(MATCH(Tabelle11[[#Headers],[Rano_M]],Spielauswertung!$B519:$E519,0),0)=0,AI530,INDEX(Spielauswertung!$AB519:$AE519,MATCH(Tabelle11[[#Headers],[Rano_M]],Spielauswertung!$B519:$E519,0))+AI530)</f>
        <v>109.38890657420265</v>
      </c>
      <c r="AJ531" s="1">
        <f>IF(IFERROR(MATCH(Tabelle11[[#Headers],[Rene_N]],Spielauswertung!$B519:$E519,0),0)=0,AJ530,INDEX(Spielauswertung!$AB519:$AE519,MATCH(Tabelle11[[#Headers],[Rene_N]],Spielauswertung!$B519:$E519,0))+AJ530)</f>
        <v>101.06482124619033</v>
      </c>
      <c r="AK531" s="1">
        <f>IF(IFERROR(MATCH(Tabelle11[[#Headers],[Rene_P]],Spielauswertung!$B519:$E519,0),0)=0,AK530,INDEX(Spielauswertung!$AB519:$AE519,MATCH(Tabelle11[[#Headers],[Rene_P]],Spielauswertung!$B519:$E519,0))+AK530)</f>
        <v>90.704997420314484</v>
      </c>
      <c r="AL531" s="1">
        <f>IF(IFERROR(MATCH(Tabelle11[[#Headers],[Richard_D]],Spielauswertung!$B519:$E519,0),0)=0,AL530,INDEX(Spielauswertung!$AB519:$AE519,MATCH(Tabelle11[[#Headers],[Richard_D]],Spielauswertung!$B519:$E519,0))+AL530)</f>
        <v>108.544751467411</v>
      </c>
      <c r="AM531" s="1">
        <f>IF(IFERROR(MATCH(Tabelle11[[#Headers],[Rodrigo_R]],Spielauswertung!$B519:$E519,0),0)=0,AM530,INDEX(Spielauswertung!$AB519:$AE519,MATCH(Tabelle11[[#Headers],[Rodrigo_R]],Spielauswertung!$B519:$E519,0))+AM530)</f>
        <v>116.7028707921346</v>
      </c>
      <c r="AN531" s="1">
        <f>IF(IFERROR(MATCH(Tabelle11[[#Headers],[Sebastian_A]],Spielauswertung!$B519:$E519,0),0)=0,AN530,INDEX(Spielauswertung!$AB519:$AE519,MATCH(Tabelle11[[#Headers],[Sebastian_A]],Spielauswertung!$B519:$E519,0))+AN530)</f>
        <v>102.89457418671324</v>
      </c>
      <c r="AO531" s="1">
        <f>IF(IFERROR(MATCH(Tabelle11[[#Headers],[Sebastian_St]],Spielauswertung!$B519:$E519,0),0)=0,AO530,INDEX(Spielauswertung!$AB519:$AE519,MATCH(Tabelle11[[#Headers],[Sebastian_St]],Spielauswertung!$B519:$E519,0))+AO530)</f>
        <v>97.749574367408982</v>
      </c>
      <c r="AP531" s="1">
        <f>IF(IFERROR(MATCH(Tabelle11[[#Headers],[Simon_U]],Spielauswertung!$B519:$E519,0),0)=0,AP530,INDEX(Spielauswertung!$AB519:$AE519,MATCH(Tabelle11[[#Headers],[Simon_U]],Spielauswertung!$B519:$E519,0))+AP530)</f>
        <v>99.623054841470903</v>
      </c>
      <c r="AQ531" s="1">
        <f>IF(IFERROR(MATCH(Tabelle11[[#Headers],[Steffen_R]],Spielauswertung!$B519:$E519,0),0)=0,AQ530,INDEX(Spielauswertung!$AB519:$AE519,MATCH(Tabelle11[[#Headers],[Steffen_R]],Spielauswertung!$B519:$E519,0))+AQ530)</f>
        <v>93.247497067190949</v>
      </c>
      <c r="AR531" s="1">
        <f>IF(IFERROR(MATCH(Tabelle11[[#Headers],[Tim_R]],Spielauswertung!$B519:$E519,0),0)=0,AR530,INDEX(Spielauswertung!$AB519:$AE519,MATCH(Tabelle11[[#Headers],[Tim_R]],Spielauswertung!$B519:$E519,0))+AR530)</f>
        <v>103.07503787023374</v>
      </c>
      <c r="AS531" s="1">
        <f>IF(IFERROR(MATCH(Tabelle11[[#Headers],[Tobias_S]],Spielauswertung!$B519:$E519,0),0)=0,AS530,INDEX(Spielauswertung!$AB519:$AE519,MATCH(Tabelle11[[#Headers],[Tobias_S]],Spielauswertung!$B519:$E519,0))+AS530)</f>
        <v>98.6003422659997</v>
      </c>
      <c r="AT531" s="1">
        <f>IF(IFERROR(MATCH(Tabelle11[[#Headers],[Tom_R]],Spielauswertung!$B519:$E519,0),0)=0,AT530,INDEX(Spielauswertung!$AB519:$AE519,MATCH(Tabelle11[[#Headers],[Tom_R]],Spielauswertung!$B519:$E519,0))+AT530)</f>
        <v>113.65706124889796</v>
      </c>
      <c r="AU531" s="1">
        <f>IF(IFERROR(MATCH(Tabelle11[[#Headers],[Ton_L]],Spielauswertung!$B519:$E519,0),0)=0,AU530,INDEX(Spielauswertung!$AB519:$AE519,MATCH(Tabelle11[[#Headers],[Ton_L]],Spielauswertung!$B519:$E519,0))+AU530)</f>
        <v>92.683083360025861</v>
      </c>
      <c r="AV531" s="1">
        <f>IF(IFERROR(MATCH(Tabelle11[[#Headers],[Yixin_G]],Spielauswertung!$B519:$E519,0),0)=0,AV530,INDEX(Spielauswertung!$AB519:$AE519,MATCH(Tabelle11[[#Headers],[Yixin_G]],Spielauswertung!$B519:$E519,0))+AV530)</f>
        <v>99.900323214082661</v>
      </c>
      <c r="AW531" s="1">
        <f>IF(IFERROR(MATCH(Tabelle11[[#Headers],[Spalte36]],Spielauswertung!$B519:$E519,0),0)=0,AW530,INDEX(Spielauswertung!$AB519:$AE519,MATCH(Tabelle11[[#Headers],[Spalte36]],Spielauswertung!$B519:$E519,0))+AW530)</f>
        <v>100</v>
      </c>
      <c r="AX531" s="1">
        <f>IF(IFERROR(MATCH(Tabelle11[[#Headers],[Spalte37]],Spielauswertung!$B519:$E519,0),0)=0,AX530,INDEX(Spielauswertung!$AB519:$AE519,MATCH(Tabelle11[[#Headers],[Spalte37]],Spielauswertung!$B519:$E519,0))+AX530)</f>
        <v>100</v>
      </c>
      <c r="AY531" s="1">
        <f>IF(IFERROR(MATCH(Tabelle11[[#Headers],[Spalte38]],Spielauswertung!$B519:$E519,0),0)=0,AY530,INDEX(Spielauswertung!$AB519:$AE519,MATCH(Tabelle11[[#Headers],[Spalte38]],Spielauswertung!$B519:$E519,0))+AY530)</f>
        <v>100</v>
      </c>
      <c r="AZ531" s="1">
        <f>IF(IFERROR(MATCH(Tabelle11[[#Headers],[Spalte39]],Spielauswertung!$B519:$E519,0),0)=0,AZ530,INDEX(Spielauswertung!$AB519:$AE519,MATCH(Tabelle11[[#Headers],[Spalte39]],Spielauswertung!$B519:$E519,0))+AZ530)</f>
        <v>100</v>
      </c>
      <c r="BA531" s="1">
        <f>IF(IFERROR(MATCH(Tabelle11[[#Headers],[Spalte40]],Spielauswertung!$B519:$E519,0),0)=0,BA530,INDEX(Spielauswertung!$AB519:$AE519,MATCH(Tabelle11[[#Headers],[Spalte40]],Spielauswertung!$B519:$E519,0))+BA530)</f>
        <v>100</v>
      </c>
      <c r="BB531" s="1">
        <f>IF(IFERROR(MATCH(Tabelle11[[#Headers],[Spalte41]],Spielauswertung!$B519:$E519,0),0)=0,BB530,INDEX(Spielauswertung!$AB519:$AE519,MATCH(Tabelle11[[#Headers],[Spalte41]],Spielauswertung!$B519:$E519,0))+BB530)</f>
        <v>100</v>
      </c>
      <c r="BC531" s="1">
        <f>IF(IFERROR(MATCH(Tabelle11[[#Headers],[Spalte42]],Spielauswertung!$B519:$E519,0),0)=0,BC530,INDEX(Spielauswertung!$AB519:$AE519,MATCH(Tabelle11[[#Headers],[Spalte42]],Spielauswertung!$B519:$E519,0))+BC530)</f>
        <v>100</v>
      </c>
      <c r="BD531" s="1">
        <f>IF(IFERROR(MATCH(Tabelle11[[#Headers],[Spalte43]],Spielauswertung!$B519:$E519,0),0)=0,BD530,INDEX(Spielauswertung!$AB519:$AE519,MATCH(Tabelle11[[#Headers],[Spalte43]],Spielauswertung!$B519:$E519,0))+BD530)</f>
        <v>100</v>
      </c>
      <c r="BE531" s="1">
        <f>IF(IFERROR(MATCH(Tabelle11[[#Headers],[Spalte44]],Spielauswertung!$B519:$E519,0),0)=0,BE530,INDEX(Spielauswertung!$AB519:$AE519,MATCH(Tabelle11[[#Headers],[Spalte44]],Spielauswertung!$B519:$E519,0))+BE530)</f>
        <v>100</v>
      </c>
      <c r="BF531" s="1">
        <f>IF(IFERROR(MATCH(Tabelle11[[#Headers],[Spalte45]],Spielauswertung!$B519:$E519,0),0)=0,BF530,INDEX(Spielauswertung!$AB519:$AE519,MATCH(Tabelle11[[#Headers],[Spalte45]],Spielauswertung!$B519:$E519,0))+BF530)</f>
        <v>100</v>
      </c>
      <c r="BG531" s="1">
        <f>IF(IFERROR(MATCH(Tabelle11[[#Headers],[Spalte46]],Spielauswertung!$B519:$E519,0),0)=0,BG530,INDEX(Spielauswertung!$AB519:$AE519,MATCH(Tabelle11[[#Headers],[Spalte46]],Spielauswertung!$B519:$E519,0))+BG530)</f>
        <v>100</v>
      </c>
      <c r="BH531" s="1">
        <f>IF(IFERROR(MATCH(Tabelle11[[#Headers],[Spalte47]],Spielauswertung!$B519:$E519,0),0)=0,BH530,INDEX(Spielauswertung!$AB519:$AE519,MATCH(Tabelle11[[#Headers],[Spalte47]],Spielauswertung!$B519:$E519,0))+BH530)</f>
        <v>100</v>
      </c>
    </row>
    <row r="532" spans="1:60" x14ac:dyDescent="0.25">
      <c r="A532">
        <f t="shared" si="9"/>
        <v>519</v>
      </c>
      <c r="B532" s="1">
        <f>IF(IFERROR(MATCH(Tabelle11[[#Headers],[Aleix_V]],Spielauswertung!$B520:$E520,0),0)=0,B531,INDEX(Spielauswertung!$AB520:$AE520,MATCH(Tabelle11[[#Headers],[Aleix_V]],Spielauswertung!$B520:$E520,0))+B531)</f>
        <v>104.14934138064426</v>
      </c>
      <c r="C532" s="1">
        <f>IF(IFERROR(MATCH(Tabelle11[[#Headers],[Andres_H]],Spielauswertung!$B520:$E520,0),0)=0,C531,INDEX(Spielauswertung!$AB520:$AE520,MATCH(Tabelle11[[#Headers],[Andres_H]],Spielauswertung!$B520:$E520,0))+C531)</f>
        <v>95.535732339111306</v>
      </c>
      <c r="D532" s="1">
        <f>IF(IFERROR(MATCH(Tabelle11[[#Headers],[Anton_K]],Spielauswertung!$B520:$E520,0),0)=0,D531,INDEX(Spielauswertung!$AB520:$AE520,MATCH(Tabelle11[[#Headers],[Anton_K]],Spielauswertung!$B520:$E520,0))+D531)</f>
        <v>98.46887988238646</v>
      </c>
      <c r="E532" s="1">
        <f>IF(IFERROR(MATCH(Tabelle11[[#Headers],[Bastian_G]],Spielauswertung!$B520:$E520,0),0)=0,E531,INDEX(Spielauswertung!$AB520:$AE520,MATCH(Tabelle11[[#Headers],[Bastian_G]],Spielauswertung!$B520:$E520,0))+E531)</f>
        <v>114.55700465733739</v>
      </c>
      <c r="F532" s="1">
        <f>IF(IFERROR(MATCH(Tabelle11[[#Headers],[Ben_S]],Spielauswertung!$B520:$E520,0),0)=0,F531,INDEX(Spielauswertung!$AB520:$AE520,MATCH(Tabelle11[[#Headers],[Ben_S]],Spielauswertung!$B520:$E520,0))+F531)</f>
        <v>95.932799101521084</v>
      </c>
      <c r="G532" s="1">
        <f>IF(IFERROR(MATCH(Tabelle11[[#Headers],[Benedikt_K]],Spielauswertung!$B520:$E520,0),0)=0,G531,INDEX(Spielauswertung!$AB520:$AE520,MATCH(Tabelle11[[#Headers],[Benedikt_K]],Spielauswertung!$B520:$E520,0))+G531)</f>
        <v>101.20264176422626</v>
      </c>
      <c r="H532" s="1">
        <f>IF(IFERROR(MATCH(Tabelle11[[#Headers],[Benedikt_R]],Spielauswertung!$B520:$E520,0),0)=0,H531,INDEX(Spielauswertung!$AB520:$AE520,MATCH(Tabelle11[[#Headers],[Benedikt_R]],Spielauswertung!$B520:$E520,0))+H531)</f>
        <v>102.6264770510757</v>
      </c>
      <c r="I532" s="1">
        <f>IF(IFERROR(MATCH(Tabelle11[[#Headers],[Carsten_H]],Spielauswertung!$B520:$E520,0),0)=0,I531,INDEX(Spielauswertung!$AB520:$AE520,MATCH(Tabelle11[[#Headers],[Carsten_H]],Spielauswertung!$B520:$E520,0))+I531)</f>
        <v>94.575908318629573</v>
      </c>
      <c r="J532" s="1">
        <f>IF(IFERROR(MATCH(Tabelle11[[#Headers],[Christoph_R]],Spielauswertung!$B520:$E520,0),0)=0,J531,INDEX(Spielauswertung!$AB520:$AE520,MATCH(Tabelle11[[#Headers],[Christoph_R]],Spielauswertung!$B520:$E520,0))+J531)</f>
        <v>109.73261611443155</v>
      </c>
      <c r="K532" s="1">
        <f>IF(IFERROR(MATCH(Tabelle11[[#Headers],[Claudius_J]],Spielauswertung!$B520:$E520,0),0)=0,K531,INDEX(Spielauswertung!$AB520:$AE520,MATCH(Tabelle11[[#Headers],[Claudius_J]],Spielauswertung!$B520:$E520,0))+K531)</f>
        <v>106.16590636000029</v>
      </c>
      <c r="L532" s="1">
        <f>IF(IFERROR(MATCH(Tabelle11[[#Headers],[Daniel_D]],Spielauswertung!$B520:$E520,0),0)=0,L531,INDEX(Spielauswertung!$AB520:$AE520,MATCH(Tabelle11[[#Headers],[Daniel_D]],Spielauswertung!$B520:$E520,0))+L531)</f>
        <v>99.990299180470089</v>
      </c>
      <c r="M532" s="1">
        <f>IF(IFERROR(MATCH(Tabelle11[[#Headers],[David_R]],Spielauswertung!$B520:$E520,0),0)=0,M531,INDEX(Spielauswertung!$AB520:$AE520,MATCH(Tabelle11[[#Headers],[David_R]],Spielauswertung!$B520:$E520,0))+M531)</f>
        <v>96.715943522481638</v>
      </c>
      <c r="N532" s="1">
        <f>IF(IFERROR(MATCH(Tabelle11[[#Headers],[Dennis_P]],Spielauswertung!$B520:$E520,0),0)=0,N531,INDEX(Spielauswertung!$AB520:$AE520,MATCH(Tabelle11[[#Headers],[Dennis_P]],Spielauswertung!$B520:$E520,0))+N531)</f>
        <v>100.04773223105254</v>
      </c>
      <c r="O532" s="1">
        <f>IF(IFERROR(MATCH(Tabelle11[[#Headers],[Dennis_R]],Spielauswertung!$B520:$E520,0),0)=0,O531,INDEX(Spielauswertung!$AB520:$AE520,MATCH(Tabelle11[[#Headers],[Dennis_R]],Spielauswertung!$B520:$E520,0))+O531)</f>
        <v>75.131680864937195</v>
      </c>
      <c r="P532" s="1">
        <f>IF(IFERROR(MATCH(Tabelle11[[#Headers],[Detlef_R]],Spielauswertung!$B520:$E520,0),0)=0,P531,INDEX(Spielauswertung!$AB520:$AE520,MATCH(Tabelle11[[#Headers],[Detlef_R]],Spielauswertung!$B520:$E520,0))+P531)</f>
        <v>87.984671797367014</v>
      </c>
      <c r="Q532" s="1">
        <f>IF(IFERROR(MATCH(Tabelle11[[#Headers],[Dmitrij_M]],Spielauswertung!$B520:$E520,0),0)=0,Q531,INDEX(Spielauswertung!$AB520:$AE520,MATCH(Tabelle11[[#Headers],[Dmitrij_M]],Spielauswertung!$B520:$E520,0))+Q531)</f>
        <v>100.69975721846207</v>
      </c>
      <c r="R532" s="1">
        <f>IF(IFERROR(MATCH(Tabelle11[[#Headers],[Fabian_M]],Spielauswertung!$B520:$E520,0),0)=0,R531,INDEX(Spielauswertung!$AB520:$AE520,MATCH(Tabelle11[[#Headers],[Fabian_M]],Spielauswertung!$B520:$E520,0))+R531)</f>
        <v>96.625078373147204</v>
      </c>
      <c r="S532" s="1">
        <f>IF(IFERROR(MATCH(Tabelle11[[#Headers],[Hannes_S]],Spielauswertung!$B520:$E520,0),0)=0,S531,INDEX(Spielauswertung!$AB520:$AE520,MATCH(Tabelle11[[#Headers],[Hannes_S]],Spielauswertung!$B520:$E520,0))+S531)</f>
        <v>103.90239128811677</v>
      </c>
      <c r="T532" s="1">
        <f>IF(IFERROR(MATCH(Tabelle11[[#Headers],[Jan_B]],Spielauswertung!$B520:$E520,0),0)=0,T531,INDEX(Spielauswertung!$AB520:$AE520,MATCH(Tabelle11[[#Headers],[Jan_B]],Spielauswertung!$B520:$E520,0))+T531)</f>
        <v>97.165990768993908</v>
      </c>
      <c r="U532" s="1">
        <f>IF(IFERROR(MATCH(Tabelle11[[#Headers],[Jan_Hendrik_B]],Spielauswertung!$B520:$E520,0),0)=0,U531,INDEX(Spielauswertung!$AB520:$AE520,MATCH(Tabelle11[[#Headers],[Jan_Hendrik_B]],Spielauswertung!$B520:$E520,0))+U531)</f>
        <v>100.75492416935522</v>
      </c>
      <c r="V532" s="1">
        <f>IF(IFERROR(MATCH(Tabelle11[[#Headers],[Jens_N]],Spielauswertung!$B520:$E520,0),0)=0,V531,INDEX(Spielauswertung!$AB520:$AE520,MATCH(Tabelle11[[#Headers],[Jens_N]],Spielauswertung!$B520:$E520,0))+V531)</f>
        <v>98.772224299304881</v>
      </c>
      <c r="W532" s="1">
        <f>IF(IFERROR(MATCH(Tabelle11[[#Headers],[Johannes_S]],Spielauswertung!$B520:$E520,0),0)=0,W531,INDEX(Spielauswertung!$AB520:$AE520,MATCH(Tabelle11[[#Headers],[Johannes_S]],Spielauswertung!$B520:$E520,0))+W531)</f>
        <v>102.20284750979505</v>
      </c>
      <c r="X532" s="1">
        <f>IF(IFERROR(MATCH(Tabelle11[[#Headers],[Jonathan_F]],Spielauswertung!$B520:$E520,0),0)=0,X531,INDEX(Spielauswertung!$AB520:$AE520,MATCH(Tabelle11[[#Headers],[Jonathan_F]],Spielauswertung!$B520:$E520,0))+X531)</f>
        <v>98.938308797866256</v>
      </c>
      <c r="Y532" s="1">
        <f>IF(IFERROR(MATCH(Tabelle11[[#Headers],[Julius_P]],Spielauswertung!$B520:$E520,0),0)=0,Y531,INDEX(Spielauswertung!$AB520:$AE520,MATCH(Tabelle11[[#Headers],[Julius_P]],Spielauswertung!$B520:$E520,0))+Y531)</f>
        <v>96.540305101873642</v>
      </c>
      <c r="Z532" s="1">
        <f>IF(IFERROR(MATCH(Tabelle11[[#Headers],[Louis_W]],Spielauswertung!$B520:$E520,0),0)=0,Z531,INDEX(Spielauswertung!$AB520:$AE520,MATCH(Tabelle11[[#Headers],[Louis_W]],Spielauswertung!$B520:$E520,0))+Z531)</f>
        <v>87.497452285475362</v>
      </c>
      <c r="AA532" s="1">
        <f>IF(IFERROR(MATCH(Tabelle11[[#Headers],[Lukas_L]],Spielauswertung!$B520:$E520,0),0)=0,AA531,INDEX(Spielauswertung!$AB520:$AE520,MATCH(Tabelle11[[#Headers],[Lukas_L]],Spielauswertung!$B520:$E520,0))+AA531)</f>
        <v>97.622001426576219</v>
      </c>
      <c r="AB532" s="1">
        <f>IF(IFERROR(MATCH(Tabelle11[[#Headers],[Marcin_S]],Spielauswertung!$B520:$E520,0),0)=0,AB531,INDEX(Spielauswertung!$AB520:$AE520,MATCH(Tabelle11[[#Headers],[Marcin_S]],Spielauswertung!$B520:$E520,0))+AB531)</f>
        <v>81.504592795638743</v>
      </c>
      <c r="AC532" s="1">
        <f>IF(IFERROR(MATCH(Tabelle11[[#Headers],[Marco_K]],Spielauswertung!$B520:$E520,0),0)=0,AC531,INDEX(Spielauswertung!$AB520:$AE520,MATCH(Tabelle11[[#Headers],[Marco_K]],Spielauswertung!$B520:$E520,0))+AC531)</f>
        <v>102.12169819441469</v>
      </c>
      <c r="AD532" s="1">
        <f>IF(IFERROR(MATCH(Tabelle11[[#Headers],[Marius_M]],Spielauswertung!$B520:$E520,0),0)=0,AD531,INDEX(Spielauswertung!$AB520:$AE520,MATCH(Tabelle11[[#Headers],[Marius_M]],Spielauswertung!$B520:$E520,0))+AD531)</f>
        <v>124.54012374585781</v>
      </c>
      <c r="AE532" s="1">
        <f>IF(IFERROR(MATCH(Tabelle11[[#Headers],[Marvin_W]],Spielauswertung!$B520:$E520,0),0)=0,AE531,INDEX(Spielauswertung!$AB520:$AE520,MATCH(Tabelle11[[#Headers],[Marvin_W]],Spielauswertung!$B520:$E520,0))+AE531)</f>
        <v>98.799776610790332</v>
      </c>
      <c r="AF532" s="1">
        <f>IF(IFERROR(MATCH(Tabelle11[[#Headers],[Matthias_H]],Spielauswertung!$B520:$E520,0),0)=0,AF531,INDEX(Spielauswertung!$AB520:$AE520,MATCH(Tabelle11[[#Headers],[Matthias_H]],Spielauswertung!$B520:$E520,0))+AF531)</f>
        <v>105.42130178599372</v>
      </c>
      <c r="AG532" s="1">
        <f>IF(IFERROR(MATCH(Tabelle11[[#Headers],[Michael_D]],Spielauswertung!$B520:$E520,0),0)=0,AG531,INDEX(Spielauswertung!$AB520:$AE520,MATCH(Tabelle11[[#Headers],[Michael_D]],Spielauswertung!$B520:$E520,0))+AG531)</f>
        <v>97.261364448335016</v>
      </c>
      <c r="AH532" s="1">
        <f>IF(IFERROR(MATCH(Tabelle11[[#Headers],[Patrick_S]],Spielauswertung!$B520:$E520,0),0)=0,AH531,INDEX(Spielauswertung!$AB520:$AE520,MATCH(Tabelle11[[#Headers],[Patrick_S]],Spielauswertung!$B520:$E520,0))+AH531)</f>
        <v>98.975330692053802</v>
      </c>
      <c r="AI532" s="1">
        <f>IF(IFERROR(MATCH(Tabelle11[[#Headers],[Rano_M]],Spielauswertung!$B520:$E520,0),0)=0,AI531,INDEX(Spielauswertung!$AB520:$AE520,MATCH(Tabelle11[[#Headers],[Rano_M]],Spielauswertung!$B520:$E520,0))+AI531)</f>
        <v>109.38890657420265</v>
      </c>
      <c r="AJ532" s="1">
        <f>IF(IFERROR(MATCH(Tabelle11[[#Headers],[Rene_N]],Spielauswertung!$B520:$E520,0),0)=0,AJ531,INDEX(Spielauswertung!$AB520:$AE520,MATCH(Tabelle11[[#Headers],[Rene_N]],Spielauswertung!$B520:$E520,0))+AJ531)</f>
        <v>101.06482124619033</v>
      </c>
      <c r="AK532" s="1">
        <f>IF(IFERROR(MATCH(Tabelle11[[#Headers],[Rene_P]],Spielauswertung!$B520:$E520,0),0)=0,AK531,INDEX(Spielauswertung!$AB520:$AE520,MATCH(Tabelle11[[#Headers],[Rene_P]],Spielauswertung!$B520:$E520,0))+AK531)</f>
        <v>90.704997420314484</v>
      </c>
      <c r="AL532" s="1">
        <f>IF(IFERROR(MATCH(Tabelle11[[#Headers],[Richard_D]],Spielauswertung!$B520:$E520,0),0)=0,AL531,INDEX(Spielauswertung!$AB520:$AE520,MATCH(Tabelle11[[#Headers],[Richard_D]],Spielauswertung!$B520:$E520,0))+AL531)</f>
        <v>108.544751467411</v>
      </c>
      <c r="AM532" s="1">
        <f>IF(IFERROR(MATCH(Tabelle11[[#Headers],[Rodrigo_R]],Spielauswertung!$B520:$E520,0),0)=0,AM531,INDEX(Spielauswertung!$AB520:$AE520,MATCH(Tabelle11[[#Headers],[Rodrigo_R]],Spielauswertung!$B520:$E520,0))+AM531)</f>
        <v>116.7028707921346</v>
      </c>
      <c r="AN532" s="1">
        <f>IF(IFERROR(MATCH(Tabelle11[[#Headers],[Sebastian_A]],Spielauswertung!$B520:$E520,0),0)=0,AN531,INDEX(Spielauswertung!$AB520:$AE520,MATCH(Tabelle11[[#Headers],[Sebastian_A]],Spielauswertung!$B520:$E520,0))+AN531)</f>
        <v>102.89457418671324</v>
      </c>
      <c r="AO532" s="1">
        <f>IF(IFERROR(MATCH(Tabelle11[[#Headers],[Sebastian_St]],Spielauswertung!$B520:$E520,0),0)=0,AO531,INDEX(Spielauswertung!$AB520:$AE520,MATCH(Tabelle11[[#Headers],[Sebastian_St]],Spielauswertung!$B520:$E520,0))+AO531)</f>
        <v>97.749574367408982</v>
      </c>
      <c r="AP532" s="1">
        <f>IF(IFERROR(MATCH(Tabelle11[[#Headers],[Simon_U]],Spielauswertung!$B520:$E520,0),0)=0,AP531,INDEX(Spielauswertung!$AB520:$AE520,MATCH(Tabelle11[[#Headers],[Simon_U]],Spielauswertung!$B520:$E520,0))+AP531)</f>
        <v>99.623054841470903</v>
      </c>
      <c r="AQ532" s="1">
        <f>IF(IFERROR(MATCH(Tabelle11[[#Headers],[Steffen_R]],Spielauswertung!$B520:$E520,0),0)=0,AQ531,INDEX(Spielauswertung!$AB520:$AE520,MATCH(Tabelle11[[#Headers],[Steffen_R]],Spielauswertung!$B520:$E520,0))+AQ531)</f>
        <v>93.247497067190949</v>
      </c>
      <c r="AR532" s="1">
        <f>IF(IFERROR(MATCH(Tabelle11[[#Headers],[Tim_R]],Spielauswertung!$B520:$E520,0),0)=0,AR531,INDEX(Spielauswertung!$AB520:$AE520,MATCH(Tabelle11[[#Headers],[Tim_R]],Spielauswertung!$B520:$E520,0))+AR531)</f>
        <v>103.07503787023374</v>
      </c>
      <c r="AS532" s="1">
        <f>IF(IFERROR(MATCH(Tabelle11[[#Headers],[Tobias_S]],Spielauswertung!$B520:$E520,0),0)=0,AS531,INDEX(Spielauswertung!$AB520:$AE520,MATCH(Tabelle11[[#Headers],[Tobias_S]],Spielauswertung!$B520:$E520,0))+AS531)</f>
        <v>98.6003422659997</v>
      </c>
      <c r="AT532" s="1">
        <f>IF(IFERROR(MATCH(Tabelle11[[#Headers],[Tom_R]],Spielauswertung!$B520:$E520,0),0)=0,AT531,INDEX(Spielauswertung!$AB520:$AE520,MATCH(Tabelle11[[#Headers],[Tom_R]],Spielauswertung!$B520:$E520,0))+AT531)</f>
        <v>113.65706124889796</v>
      </c>
      <c r="AU532" s="1">
        <f>IF(IFERROR(MATCH(Tabelle11[[#Headers],[Ton_L]],Spielauswertung!$B520:$E520,0),0)=0,AU531,INDEX(Spielauswertung!$AB520:$AE520,MATCH(Tabelle11[[#Headers],[Ton_L]],Spielauswertung!$B520:$E520,0))+AU531)</f>
        <v>92.683083360025861</v>
      </c>
      <c r="AV532" s="1">
        <f>IF(IFERROR(MATCH(Tabelle11[[#Headers],[Yixin_G]],Spielauswertung!$B520:$E520,0),0)=0,AV531,INDEX(Spielauswertung!$AB520:$AE520,MATCH(Tabelle11[[#Headers],[Yixin_G]],Spielauswertung!$B520:$E520,0))+AV531)</f>
        <v>99.900323214082661</v>
      </c>
      <c r="AW532" s="1">
        <f>IF(IFERROR(MATCH(Tabelle11[[#Headers],[Spalte36]],Spielauswertung!$B520:$E520,0),0)=0,AW531,INDEX(Spielauswertung!$AB520:$AE520,MATCH(Tabelle11[[#Headers],[Spalte36]],Spielauswertung!$B520:$E520,0))+AW531)</f>
        <v>100</v>
      </c>
      <c r="AX532" s="1">
        <f>IF(IFERROR(MATCH(Tabelle11[[#Headers],[Spalte37]],Spielauswertung!$B520:$E520,0),0)=0,AX531,INDEX(Spielauswertung!$AB520:$AE520,MATCH(Tabelle11[[#Headers],[Spalte37]],Spielauswertung!$B520:$E520,0))+AX531)</f>
        <v>100</v>
      </c>
      <c r="AY532" s="1">
        <f>IF(IFERROR(MATCH(Tabelle11[[#Headers],[Spalte38]],Spielauswertung!$B520:$E520,0),0)=0,AY531,INDEX(Spielauswertung!$AB520:$AE520,MATCH(Tabelle11[[#Headers],[Spalte38]],Spielauswertung!$B520:$E520,0))+AY531)</f>
        <v>100</v>
      </c>
      <c r="AZ532" s="1">
        <f>IF(IFERROR(MATCH(Tabelle11[[#Headers],[Spalte39]],Spielauswertung!$B520:$E520,0),0)=0,AZ531,INDEX(Spielauswertung!$AB520:$AE520,MATCH(Tabelle11[[#Headers],[Spalte39]],Spielauswertung!$B520:$E520,0))+AZ531)</f>
        <v>100</v>
      </c>
      <c r="BA532" s="1">
        <f>IF(IFERROR(MATCH(Tabelle11[[#Headers],[Spalte40]],Spielauswertung!$B520:$E520,0),0)=0,BA531,INDEX(Spielauswertung!$AB520:$AE520,MATCH(Tabelle11[[#Headers],[Spalte40]],Spielauswertung!$B520:$E520,0))+BA531)</f>
        <v>100</v>
      </c>
      <c r="BB532" s="1">
        <f>IF(IFERROR(MATCH(Tabelle11[[#Headers],[Spalte41]],Spielauswertung!$B520:$E520,0),0)=0,BB531,INDEX(Spielauswertung!$AB520:$AE520,MATCH(Tabelle11[[#Headers],[Spalte41]],Spielauswertung!$B520:$E520,0))+BB531)</f>
        <v>100</v>
      </c>
      <c r="BC532" s="1">
        <f>IF(IFERROR(MATCH(Tabelle11[[#Headers],[Spalte42]],Spielauswertung!$B520:$E520,0),0)=0,BC531,INDEX(Spielauswertung!$AB520:$AE520,MATCH(Tabelle11[[#Headers],[Spalte42]],Spielauswertung!$B520:$E520,0))+BC531)</f>
        <v>100</v>
      </c>
      <c r="BD532" s="1">
        <f>IF(IFERROR(MATCH(Tabelle11[[#Headers],[Spalte43]],Spielauswertung!$B520:$E520,0),0)=0,BD531,INDEX(Spielauswertung!$AB520:$AE520,MATCH(Tabelle11[[#Headers],[Spalte43]],Spielauswertung!$B520:$E520,0))+BD531)</f>
        <v>100</v>
      </c>
      <c r="BE532" s="1">
        <f>IF(IFERROR(MATCH(Tabelle11[[#Headers],[Spalte44]],Spielauswertung!$B520:$E520,0),0)=0,BE531,INDEX(Spielauswertung!$AB520:$AE520,MATCH(Tabelle11[[#Headers],[Spalte44]],Spielauswertung!$B520:$E520,0))+BE531)</f>
        <v>100</v>
      </c>
      <c r="BF532" s="1">
        <f>IF(IFERROR(MATCH(Tabelle11[[#Headers],[Spalte45]],Spielauswertung!$B520:$E520,0),0)=0,BF531,INDEX(Spielauswertung!$AB520:$AE520,MATCH(Tabelle11[[#Headers],[Spalte45]],Spielauswertung!$B520:$E520,0))+BF531)</f>
        <v>100</v>
      </c>
      <c r="BG532" s="1">
        <f>IF(IFERROR(MATCH(Tabelle11[[#Headers],[Spalte46]],Spielauswertung!$B520:$E520,0),0)=0,BG531,INDEX(Spielauswertung!$AB520:$AE520,MATCH(Tabelle11[[#Headers],[Spalte46]],Spielauswertung!$B520:$E520,0))+BG531)</f>
        <v>100</v>
      </c>
      <c r="BH532" s="1">
        <f>IF(IFERROR(MATCH(Tabelle11[[#Headers],[Spalte47]],Spielauswertung!$B520:$E520,0),0)=0,BH531,INDEX(Spielauswertung!$AB520:$AE520,MATCH(Tabelle11[[#Headers],[Spalte47]],Spielauswertung!$B520:$E520,0))+BH531)</f>
        <v>100</v>
      </c>
    </row>
    <row r="533" spans="1:60" x14ac:dyDescent="0.25">
      <c r="A533">
        <f t="shared" si="9"/>
        <v>520</v>
      </c>
      <c r="B533" s="1">
        <f>IF(IFERROR(MATCH(Tabelle11[[#Headers],[Aleix_V]],Spielauswertung!$B521:$E521,0),0)=0,B532,INDEX(Spielauswertung!$AB521:$AE521,MATCH(Tabelle11[[#Headers],[Aleix_V]],Spielauswertung!$B521:$E521,0))+B532)</f>
        <v>106.88509387855702</v>
      </c>
      <c r="C533" s="1">
        <f>IF(IFERROR(MATCH(Tabelle11[[#Headers],[Andres_H]],Spielauswertung!$B521:$E521,0),0)=0,C532,INDEX(Spielauswertung!$AB521:$AE521,MATCH(Tabelle11[[#Headers],[Andres_H]],Spielauswertung!$B521:$E521,0))+C532)</f>
        <v>95.535732339111306</v>
      </c>
      <c r="D533" s="1">
        <f>IF(IFERROR(MATCH(Tabelle11[[#Headers],[Anton_K]],Spielauswertung!$B521:$E521,0),0)=0,D532,INDEX(Spielauswertung!$AB521:$AE521,MATCH(Tabelle11[[#Headers],[Anton_K]],Spielauswertung!$B521:$E521,0))+D532)</f>
        <v>98.46887988238646</v>
      </c>
      <c r="E533" s="1">
        <f>IF(IFERROR(MATCH(Tabelle11[[#Headers],[Bastian_G]],Spielauswertung!$B521:$E521,0),0)=0,E532,INDEX(Spielauswertung!$AB521:$AE521,MATCH(Tabelle11[[#Headers],[Bastian_G]],Spielauswertung!$B521:$E521,0))+E532)</f>
        <v>114.55700465733739</v>
      </c>
      <c r="F533" s="1">
        <f>IF(IFERROR(MATCH(Tabelle11[[#Headers],[Ben_S]],Spielauswertung!$B521:$E521,0),0)=0,F532,INDEX(Spielauswertung!$AB521:$AE521,MATCH(Tabelle11[[#Headers],[Ben_S]],Spielauswertung!$B521:$E521,0))+F532)</f>
        <v>95.932799101521084</v>
      </c>
      <c r="G533" s="1">
        <f>IF(IFERROR(MATCH(Tabelle11[[#Headers],[Benedikt_K]],Spielauswertung!$B521:$E521,0),0)=0,G532,INDEX(Spielauswertung!$AB521:$AE521,MATCH(Tabelle11[[#Headers],[Benedikt_K]],Spielauswertung!$B521:$E521,0))+G532)</f>
        <v>101.20264176422626</v>
      </c>
      <c r="H533" s="1">
        <f>IF(IFERROR(MATCH(Tabelle11[[#Headers],[Benedikt_R]],Spielauswertung!$B521:$E521,0),0)=0,H532,INDEX(Spielauswertung!$AB521:$AE521,MATCH(Tabelle11[[#Headers],[Benedikt_R]],Spielauswertung!$B521:$E521,0))+H532)</f>
        <v>102.6264770510757</v>
      </c>
      <c r="I533" s="1">
        <f>IF(IFERROR(MATCH(Tabelle11[[#Headers],[Carsten_H]],Spielauswertung!$B521:$E521,0),0)=0,I532,INDEX(Spielauswertung!$AB521:$AE521,MATCH(Tabelle11[[#Headers],[Carsten_H]],Spielauswertung!$B521:$E521,0))+I532)</f>
        <v>91.674390101358043</v>
      </c>
      <c r="J533" s="1">
        <f>IF(IFERROR(MATCH(Tabelle11[[#Headers],[Christoph_R]],Spielauswertung!$B521:$E521,0),0)=0,J532,INDEX(Spielauswertung!$AB521:$AE521,MATCH(Tabelle11[[#Headers],[Christoph_R]],Spielauswertung!$B521:$E521,0))+J532)</f>
        <v>109.73261611443155</v>
      </c>
      <c r="K533" s="1">
        <f>IF(IFERROR(MATCH(Tabelle11[[#Headers],[Claudius_J]],Spielauswertung!$B521:$E521,0),0)=0,K532,INDEX(Spielauswertung!$AB521:$AE521,MATCH(Tabelle11[[#Headers],[Claudius_J]],Spielauswertung!$B521:$E521,0))+K532)</f>
        <v>106.16590636000029</v>
      </c>
      <c r="L533" s="1">
        <f>IF(IFERROR(MATCH(Tabelle11[[#Headers],[Daniel_D]],Spielauswertung!$B521:$E521,0),0)=0,L532,INDEX(Spielauswertung!$AB521:$AE521,MATCH(Tabelle11[[#Headers],[Daniel_D]],Spielauswertung!$B521:$E521,0))+L532)</f>
        <v>99.990299180470089</v>
      </c>
      <c r="M533" s="1">
        <f>IF(IFERROR(MATCH(Tabelle11[[#Headers],[David_R]],Spielauswertung!$B521:$E521,0),0)=0,M532,INDEX(Spielauswertung!$AB521:$AE521,MATCH(Tabelle11[[#Headers],[David_R]],Spielauswertung!$B521:$E521,0))+M532)</f>
        <v>96.715943522481638</v>
      </c>
      <c r="N533" s="1">
        <f>IF(IFERROR(MATCH(Tabelle11[[#Headers],[Dennis_P]],Spielauswertung!$B521:$E521,0),0)=0,N532,INDEX(Spielauswertung!$AB521:$AE521,MATCH(Tabelle11[[#Headers],[Dennis_P]],Spielauswertung!$B521:$E521,0))+N532)</f>
        <v>100.04773223105254</v>
      </c>
      <c r="O533" s="1">
        <f>IF(IFERROR(MATCH(Tabelle11[[#Headers],[Dennis_R]],Spielauswertung!$B521:$E521,0),0)=0,O532,INDEX(Spielauswertung!$AB521:$AE521,MATCH(Tabelle11[[#Headers],[Dennis_R]],Spielauswertung!$B521:$E521,0))+O532)</f>
        <v>75.131680864937195</v>
      </c>
      <c r="P533" s="1">
        <f>IF(IFERROR(MATCH(Tabelle11[[#Headers],[Detlef_R]],Spielauswertung!$B521:$E521,0),0)=0,P532,INDEX(Spielauswertung!$AB521:$AE521,MATCH(Tabelle11[[#Headers],[Detlef_R]],Spielauswertung!$B521:$E521,0))+P532)</f>
        <v>87.984671797367014</v>
      </c>
      <c r="Q533" s="1">
        <f>IF(IFERROR(MATCH(Tabelle11[[#Headers],[Dmitrij_M]],Spielauswertung!$B521:$E521,0),0)=0,Q532,INDEX(Spielauswertung!$AB521:$AE521,MATCH(Tabelle11[[#Headers],[Dmitrij_M]],Spielauswertung!$B521:$E521,0))+Q532)</f>
        <v>100.69975721846207</v>
      </c>
      <c r="R533" s="1">
        <f>IF(IFERROR(MATCH(Tabelle11[[#Headers],[Fabian_M]],Spielauswertung!$B521:$E521,0),0)=0,R532,INDEX(Spielauswertung!$AB521:$AE521,MATCH(Tabelle11[[#Headers],[Fabian_M]],Spielauswertung!$B521:$E521,0))+R532)</f>
        <v>96.625078373147204</v>
      </c>
      <c r="S533" s="1">
        <f>IF(IFERROR(MATCH(Tabelle11[[#Headers],[Hannes_S]],Spielauswertung!$B521:$E521,0),0)=0,S532,INDEX(Spielauswertung!$AB521:$AE521,MATCH(Tabelle11[[#Headers],[Hannes_S]],Spielauswertung!$B521:$E521,0))+S532)</f>
        <v>103.90239128811677</v>
      </c>
      <c r="T533" s="1">
        <f>IF(IFERROR(MATCH(Tabelle11[[#Headers],[Jan_B]],Spielauswertung!$B521:$E521,0),0)=0,T532,INDEX(Spielauswertung!$AB521:$AE521,MATCH(Tabelle11[[#Headers],[Jan_B]],Spielauswertung!$B521:$E521,0))+T532)</f>
        <v>97.165990768993908</v>
      </c>
      <c r="U533" s="1">
        <f>IF(IFERROR(MATCH(Tabelle11[[#Headers],[Jan_Hendrik_B]],Spielauswertung!$B521:$E521,0),0)=0,U532,INDEX(Spielauswertung!$AB521:$AE521,MATCH(Tabelle11[[#Headers],[Jan_Hendrik_B]],Spielauswertung!$B521:$E521,0))+U532)</f>
        <v>100.75492416935522</v>
      </c>
      <c r="V533" s="1">
        <f>IF(IFERROR(MATCH(Tabelle11[[#Headers],[Jens_N]],Spielauswertung!$B521:$E521,0),0)=0,V532,INDEX(Spielauswertung!$AB521:$AE521,MATCH(Tabelle11[[#Headers],[Jens_N]],Spielauswertung!$B521:$E521,0))+V532)</f>
        <v>98.772224299304881</v>
      </c>
      <c r="W533" s="1">
        <f>IF(IFERROR(MATCH(Tabelle11[[#Headers],[Johannes_S]],Spielauswertung!$B521:$E521,0),0)=0,W532,INDEX(Spielauswertung!$AB521:$AE521,MATCH(Tabelle11[[#Headers],[Johannes_S]],Spielauswertung!$B521:$E521,0))+W532)</f>
        <v>102.20284750979505</v>
      </c>
      <c r="X533" s="1">
        <f>IF(IFERROR(MATCH(Tabelle11[[#Headers],[Jonathan_F]],Spielauswertung!$B521:$E521,0),0)=0,X532,INDEX(Spielauswertung!$AB521:$AE521,MATCH(Tabelle11[[#Headers],[Jonathan_F]],Spielauswertung!$B521:$E521,0))+X532)</f>
        <v>98.938308797866256</v>
      </c>
      <c r="Y533" s="1">
        <f>IF(IFERROR(MATCH(Tabelle11[[#Headers],[Julius_P]],Spielauswertung!$B521:$E521,0),0)=0,Y532,INDEX(Spielauswertung!$AB521:$AE521,MATCH(Tabelle11[[#Headers],[Julius_P]],Spielauswertung!$B521:$E521,0))+Y532)</f>
        <v>96.540305101873642</v>
      </c>
      <c r="Z533" s="1">
        <f>IF(IFERROR(MATCH(Tabelle11[[#Headers],[Louis_W]],Spielauswertung!$B521:$E521,0),0)=0,Z532,INDEX(Spielauswertung!$AB521:$AE521,MATCH(Tabelle11[[#Headers],[Louis_W]],Spielauswertung!$B521:$E521,0))+Z532)</f>
        <v>87.497452285475362</v>
      </c>
      <c r="AA533" s="1">
        <f>IF(IFERROR(MATCH(Tabelle11[[#Headers],[Lukas_L]],Spielauswertung!$B521:$E521,0),0)=0,AA532,INDEX(Spielauswertung!$AB521:$AE521,MATCH(Tabelle11[[#Headers],[Lukas_L]],Spielauswertung!$B521:$E521,0))+AA532)</f>
        <v>97.622001426576219</v>
      </c>
      <c r="AB533" s="1">
        <f>IF(IFERROR(MATCH(Tabelle11[[#Headers],[Marcin_S]],Spielauswertung!$B521:$E521,0),0)=0,AB532,INDEX(Spielauswertung!$AB521:$AE521,MATCH(Tabelle11[[#Headers],[Marcin_S]],Spielauswertung!$B521:$E521,0))+AB532)</f>
        <v>85.000430405090754</v>
      </c>
      <c r="AC533" s="1">
        <f>IF(IFERROR(MATCH(Tabelle11[[#Headers],[Marco_K]],Spielauswertung!$B521:$E521,0),0)=0,AC532,INDEX(Spielauswertung!$AB521:$AE521,MATCH(Tabelle11[[#Headers],[Marco_K]],Spielauswertung!$B521:$E521,0))+AC532)</f>
        <v>102.12169819441469</v>
      </c>
      <c r="AD533" s="1">
        <f>IF(IFERROR(MATCH(Tabelle11[[#Headers],[Marius_M]],Spielauswertung!$B521:$E521,0),0)=0,AD532,INDEX(Spielauswertung!$AB521:$AE521,MATCH(Tabelle11[[#Headers],[Marius_M]],Spielauswertung!$B521:$E521,0))+AD532)</f>
        <v>124.54012374585781</v>
      </c>
      <c r="AE533" s="1">
        <f>IF(IFERROR(MATCH(Tabelle11[[#Headers],[Marvin_W]],Spielauswertung!$B521:$E521,0),0)=0,AE532,INDEX(Spielauswertung!$AB521:$AE521,MATCH(Tabelle11[[#Headers],[Marvin_W]],Spielauswertung!$B521:$E521,0))+AE532)</f>
        <v>98.799776610790332</v>
      </c>
      <c r="AF533" s="1">
        <f>IF(IFERROR(MATCH(Tabelle11[[#Headers],[Matthias_H]],Spielauswertung!$B521:$E521,0),0)=0,AF532,INDEX(Spielauswertung!$AB521:$AE521,MATCH(Tabelle11[[#Headers],[Matthias_H]],Spielauswertung!$B521:$E521,0))+AF532)</f>
        <v>105.42130178599372</v>
      </c>
      <c r="AG533" s="1">
        <f>IF(IFERROR(MATCH(Tabelle11[[#Headers],[Michael_D]],Spielauswertung!$B521:$E521,0),0)=0,AG532,INDEX(Spielauswertung!$AB521:$AE521,MATCH(Tabelle11[[#Headers],[Michael_D]],Spielauswertung!$B521:$E521,0))+AG532)</f>
        <v>97.261364448335016</v>
      </c>
      <c r="AH533" s="1">
        <f>IF(IFERROR(MATCH(Tabelle11[[#Headers],[Patrick_S]],Spielauswertung!$B521:$E521,0),0)=0,AH532,INDEX(Spielauswertung!$AB521:$AE521,MATCH(Tabelle11[[#Headers],[Patrick_S]],Spielauswertung!$B521:$E521,0))+AH532)</f>
        <v>98.975330692053802</v>
      </c>
      <c r="AI533" s="1">
        <f>IF(IFERROR(MATCH(Tabelle11[[#Headers],[Rano_M]],Spielauswertung!$B521:$E521,0),0)=0,AI532,INDEX(Spielauswertung!$AB521:$AE521,MATCH(Tabelle11[[#Headers],[Rano_M]],Spielauswertung!$B521:$E521,0))+AI532)</f>
        <v>109.38890657420265</v>
      </c>
      <c r="AJ533" s="1">
        <f>IF(IFERROR(MATCH(Tabelle11[[#Headers],[Rene_N]],Spielauswertung!$B521:$E521,0),0)=0,AJ532,INDEX(Spielauswertung!$AB521:$AE521,MATCH(Tabelle11[[#Headers],[Rene_N]],Spielauswertung!$B521:$E521,0))+AJ532)</f>
        <v>101.06482124619033</v>
      </c>
      <c r="AK533" s="1">
        <f>IF(IFERROR(MATCH(Tabelle11[[#Headers],[Rene_P]],Spielauswertung!$B521:$E521,0),0)=0,AK532,INDEX(Spielauswertung!$AB521:$AE521,MATCH(Tabelle11[[#Headers],[Rene_P]],Spielauswertung!$B521:$E521,0))+AK532)</f>
        <v>90.704997420314484</v>
      </c>
      <c r="AL533" s="1">
        <f>IF(IFERROR(MATCH(Tabelle11[[#Headers],[Richard_D]],Spielauswertung!$B521:$E521,0),0)=0,AL532,INDEX(Spielauswertung!$AB521:$AE521,MATCH(Tabelle11[[#Headers],[Richard_D]],Spielauswertung!$B521:$E521,0))+AL532)</f>
        <v>105.21467957731777</v>
      </c>
      <c r="AM533" s="1">
        <f>IF(IFERROR(MATCH(Tabelle11[[#Headers],[Rodrigo_R]],Spielauswertung!$B521:$E521,0),0)=0,AM532,INDEX(Spielauswertung!$AB521:$AE521,MATCH(Tabelle11[[#Headers],[Rodrigo_R]],Spielauswertung!$B521:$E521,0))+AM532)</f>
        <v>116.7028707921346</v>
      </c>
      <c r="AN533" s="1">
        <f>IF(IFERROR(MATCH(Tabelle11[[#Headers],[Sebastian_A]],Spielauswertung!$B521:$E521,0),0)=0,AN532,INDEX(Spielauswertung!$AB521:$AE521,MATCH(Tabelle11[[#Headers],[Sebastian_A]],Spielauswertung!$B521:$E521,0))+AN532)</f>
        <v>102.89457418671324</v>
      </c>
      <c r="AO533" s="1">
        <f>IF(IFERROR(MATCH(Tabelle11[[#Headers],[Sebastian_St]],Spielauswertung!$B521:$E521,0),0)=0,AO532,INDEX(Spielauswertung!$AB521:$AE521,MATCH(Tabelle11[[#Headers],[Sebastian_St]],Spielauswertung!$B521:$E521,0))+AO532)</f>
        <v>97.749574367408982</v>
      </c>
      <c r="AP533" s="1">
        <f>IF(IFERROR(MATCH(Tabelle11[[#Headers],[Simon_U]],Spielauswertung!$B521:$E521,0),0)=0,AP532,INDEX(Spielauswertung!$AB521:$AE521,MATCH(Tabelle11[[#Headers],[Simon_U]],Spielauswertung!$B521:$E521,0))+AP532)</f>
        <v>99.623054841470903</v>
      </c>
      <c r="AQ533" s="1">
        <f>IF(IFERROR(MATCH(Tabelle11[[#Headers],[Steffen_R]],Spielauswertung!$B521:$E521,0),0)=0,AQ532,INDEX(Spielauswertung!$AB521:$AE521,MATCH(Tabelle11[[#Headers],[Steffen_R]],Spielauswertung!$B521:$E521,0))+AQ532)</f>
        <v>93.247497067190949</v>
      </c>
      <c r="AR533" s="1">
        <f>IF(IFERROR(MATCH(Tabelle11[[#Headers],[Tim_R]],Spielauswertung!$B521:$E521,0),0)=0,AR532,INDEX(Spielauswertung!$AB521:$AE521,MATCH(Tabelle11[[#Headers],[Tim_R]],Spielauswertung!$B521:$E521,0))+AR532)</f>
        <v>103.07503787023374</v>
      </c>
      <c r="AS533" s="1">
        <f>IF(IFERROR(MATCH(Tabelle11[[#Headers],[Tobias_S]],Spielauswertung!$B521:$E521,0),0)=0,AS532,INDEX(Spielauswertung!$AB521:$AE521,MATCH(Tabelle11[[#Headers],[Tobias_S]],Spielauswertung!$B521:$E521,0))+AS532)</f>
        <v>98.6003422659997</v>
      </c>
      <c r="AT533" s="1">
        <f>IF(IFERROR(MATCH(Tabelle11[[#Headers],[Tom_R]],Spielauswertung!$B521:$E521,0),0)=0,AT532,INDEX(Spielauswertung!$AB521:$AE521,MATCH(Tabelle11[[#Headers],[Tom_R]],Spielauswertung!$B521:$E521,0))+AT532)</f>
        <v>113.65706124889796</v>
      </c>
      <c r="AU533" s="1">
        <f>IF(IFERROR(MATCH(Tabelle11[[#Headers],[Ton_L]],Spielauswertung!$B521:$E521,0),0)=0,AU532,INDEX(Spielauswertung!$AB521:$AE521,MATCH(Tabelle11[[#Headers],[Ton_L]],Spielauswertung!$B521:$E521,0))+AU532)</f>
        <v>92.683083360025861</v>
      </c>
      <c r="AV533" s="1">
        <f>IF(IFERROR(MATCH(Tabelle11[[#Headers],[Yixin_G]],Spielauswertung!$B521:$E521,0),0)=0,AV532,INDEX(Spielauswertung!$AB521:$AE521,MATCH(Tabelle11[[#Headers],[Yixin_G]],Spielauswertung!$B521:$E521,0))+AV532)</f>
        <v>99.900323214082661</v>
      </c>
      <c r="AW533" s="1">
        <f>IF(IFERROR(MATCH(Tabelle11[[#Headers],[Spalte36]],Spielauswertung!$B521:$E521,0),0)=0,AW532,INDEX(Spielauswertung!$AB521:$AE521,MATCH(Tabelle11[[#Headers],[Spalte36]],Spielauswertung!$B521:$E521,0))+AW532)</f>
        <v>100</v>
      </c>
      <c r="AX533" s="1">
        <f>IF(IFERROR(MATCH(Tabelle11[[#Headers],[Spalte37]],Spielauswertung!$B521:$E521,0),0)=0,AX532,INDEX(Spielauswertung!$AB521:$AE521,MATCH(Tabelle11[[#Headers],[Spalte37]],Spielauswertung!$B521:$E521,0))+AX532)</f>
        <v>100</v>
      </c>
      <c r="AY533" s="1">
        <f>IF(IFERROR(MATCH(Tabelle11[[#Headers],[Spalte38]],Spielauswertung!$B521:$E521,0),0)=0,AY532,INDEX(Spielauswertung!$AB521:$AE521,MATCH(Tabelle11[[#Headers],[Spalte38]],Spielauswertung!$B521:$E521,0))+AY532)</f>
        <v>100</v>
      </c>
      <c r="AZ533" s="1">
        <f>IF(IFERROR(MATCH(Tabelle11[[#Headers],[Spalte39]],Spielauswertung!$B521:$E521,0),0)=0,AZ532,INDEX(Spielauswertung!$AB521:$AE521,MATCH(Tabelle11[[#Headers],[Spalte39]],Spielauswertung!$B521:$E521,0))+AZ532)</f>
        <v>100</v>
      </c>
      <c r="BA533" s="1">
        <f>IF(IFERROR(MATCH(Tabelle11[[#Headers],[Spalte40]],Spielauswertung!$B521:$E521,0),0)=0,BA532,INDEX(Spielauswertung!$AB521:$AE521,MATCH(Tabelle11[[#Headers],[Spalte40]],Spielauswertung!$B521:$E521,0))+BA532)</f>
        <v>100</v>
      </c>
      <c r="BB533" s="1">
        <f>IF(IFERROR(MATCH(Tabelle11[[#Headers],[Spalte41]],Spielauswertung!$B521:$E521,0),0)=0,BB532,INDEX(Spielauswertung!$AB521:$AE521,MATCH(Tabelle11[[#Headers],[Spalte41]],Spielauswertung!$B521:$E521,0))+BB532)</f>
        <v>100</v>
      </c>
      <c r="BC533" s="1">
        <f>IF(IFERROR(MATCH(Tabelle11[[#Headers],[Spalte42]],Spielauswertung!$B521:$E521,0),0)=0,BC532,INDEX(Spielauswertung!$AB521:$AE521,MATCH(Tabelle11[[#Headers],[Spalte42]],Spielauswertung!$B521:$E521,0))+BC532)</f>
        <v>100</v>
      </c>
      <c r="BD533" s="1">
        <f>IF(IFERROR(MATCH(Tabelle11[[#Headers],[Spalte43]],Spielauswertung!$B521:$E521,0),0)=0,BD532,INDEX(Spielauswertung!$AB521:$AE521,MATCH(Tabelle11[[#Headers],[Spalte43]],Spielauswertung!$B521:$E521,0))+BD532)</f>
        <v>100</v>
      </c>
      <c r="BE533" s="1">
        <f>IF(IFERROR(MATCH(Tabelle11[[#Headers],[Spalte44]],Spielauswertung!$B521:$E521,0),0)=0,BE532,INDEX(Spielauswertung!$AB521:$AE521,MATCH(Tabelle11[[#Headers],[Spalte44]],Spielauswertung!$B521:$E521,0))+BE532)</f>
        <v>100</v>
      </c>
      <c r="BF533" s="1">
        <f>IF(IFERROR(MATCH(Tabelle11[[#Headers],[Spalte45]],Spielauswertung!$B521:$E521,0),0)=0,BF532,INDEX(Spielauswertung!$AB521:$AE521,MATCH(Tabelle11[[#Headers],[Spalte45]],Spielauswertung!$B521:$E521,0))+BF532)</f>
        <v>100</v>
      </c>
      <c r="BG533" s="1">
        <f>IF(IFERROR(MATCH(Tabelle11[[#Headers],[Spalte46]],Spielauswertung!$B521:$E521,0),0)=0,BG532,INDEX(Spielauswertung!$AB521:$AE521,MATCH(Tabelle11[[#Headers],[Spalte46]],Spielauswertung!$B521:$E521,0))+BG532)</f>
        <v>100</v>
      </c>
      <c r="BH533" s="1">
        <f>IF(IFERROR(MATCH(Tabelle11[[#Headers],[Spalte47]],Spielauswertung!$B521:$E521,0),0)=0,BH532,INDEX(Spielauswertung!$AB521:$AE521,MATCH(Tabelle11[[#Headers],[Spalte47]],Spielauswertung!$B521:$E521,0))+BH532)</f>
        <v>100</v>
      </c>
    </row>
    <row r="534" spans="1:60" x14ac:dyDescent="0.25">
      <c r="A534">
        <f t="shared" si="9"/>
        <v>521</v>
      </c>
      <c r="B534" s="1">
        <f>IF(IFERROR(MATCH(Tabelle11[[#Headers],[Aleix_V]],Spielauswertung!$B522:$E522,0),0)=0,B533,INDEX(Spielauswertung!$AB522:$AE522,MATCH(Tabelle11[[#Headers],[Aleix_V]],Spielauswertung!$B522:$E522,0))+B533)</f>
        <v>107.25321432777773</v>
      </c>
      <c r="C534" s="1">
        <f>IF(IFERROR(MATCH(Tabelle11[[#Headers],[Andres_H]],Spielauswertung!$B522:$E522,0),0)=0,C533,INDEX(Spielauswertung!$AB522:$AE522,MATCH(Tabelle11[[#Headers],[Andres_H]],Spielauswertung!$B522:$E522,0))+C533)</f>
        <v>95.535732339111306</v>
      </c>
      <c r="D534" s="1">
        <f>IF(IFERROR(MATCH(Tabelle11[[#Headers],[Anton_K]],Spielauswertung!$B522:$E522,0),0)=0,D533,INDEX(Spielauswertung!$AB522:$AE522,MATCH(Tabelle11[[#Headers],[Anton_K]],Spielauswertung!$B522:$E522,0))+D533)</f>
        <v>98.46887988238646</v>
      </c>
      <c r="E534" s="1">
        <f>IF(IFERROR(MATCH(Tabelle11[[#Headers],[Bastian_G]],Spielauswertung!$B522:$E522,0),0)=0,E533,INDEX(Spielauswertung!$AB522:$AE522,MATCH(Tabelle11[[#Headers],[Bastian_G]],Spielauswertung!$B522:$E522,0))+E533)</f>
        <v>114.55700465733739</v>
      </c>
      <c r="F534" s="1">
        <f>IF(IFERROR(MATCH(Tabelle11[[#Headers],[Ben_S]],Spielauswertung!$B522:$E522,0),0)=0,F533,INDEX(Spielauswertung!$AB522:$AE522,MATCH(Tabelle11[[#Headers],[Ben_S]],Spielauswertung!$B522:$E522,0))+F533)</f>
        <v>95.932799101521084</v>
      </c>
      <c r="G534" s="1">
        <f>IF(IFERROR(MATCH(Tabelle11[[#Headers],[Benedikt_K]],Spielauswertung!$B522:$E522,0),0)=0,G533,INDEX(Spielauswertung!$AB522:$AE522,MATCH(Tabelle11[[#Headers],[Benedikt_K]],Spielauswertung!$B522:$E522,0))+G533)</f>
        <v>101.20264176422626</v>
      </c>
      <c r="H534" s="1">
        <f>IF(IFERROR(MATCH(Tabelle11[[#Headers],[Benedikt_R]],Spielauswertung!$B522:$E522,0),0)=0,H533,INDEX(Spielauswertung!$AB522:$AE522,MATCH(Tabelle11[[#Headers],[Benedikt_R]],Spielauswertung!$B522:$E522,0))+H533)</f>
        <v>102.6264770510757</v>
      </c>
      <c r="I534" s="1">
        <f>IF(IFERROR(MATCH(Tabelle11[[#Headers],[Carsten_H]],Spielauswertung!$B522:$E522,0),0)=0,I533,INDEX(Spielauswertung!$AB522:$AE522,MATCH(Tabelle11[[#Headers],[Carsten_H]],Spielauswertung!$B522:$E522,0))+I533)</f>
        <v>91.287455601467229</v>
      </c>
      <c r="J534" s="1">
        <f>IF(IFERROR(MATCH(Tabelle11[[#Headers],[Christoph_R]],Spielauswertung!$B522:$E522,0),0)=0,J533,INDEX(Spielauswertung!$AB522:$AE522,MATCH(Tabelle11[[#Headers],[Christoph_R]],Spielauswertung!$B522:$E522,0))+J533)</f>
        <v>109.73261611443155</v>
      </c>
      <c r="K534" s="1">
        <f>IF(IFERROR(MATCH(Tabelle11[[#Headers],[Claudius_J]],Spielauswertung!$B522:$E522,0),0)=0,K533,INDEX(Spielauswertung!$AB522:$AE522,MATCH(Tabelle11[[#Headers],[Claudius_J]],Spielauswertung!$B522:$E522,0))+K533)</f>
        <v>106.16590636000029</v>
      </c>
      <c r="L534" s="1">
        <f>IF(IFERROR(MATCH(Tabelle11[[#Headers],[Daniel_D]],Spielauswertung!$B522:$E522,0),0)=0,L533,INDEX(Spielauswertung!$AB522:$AE522,MATCH(Tabelle11[[#Headers],[Daniel_D]],Spielauswertung!$B522:$E522,0))+L533)</f>
        <v>99.990299180470089</v>
      </c>
      <c r="M534" s="1">
        <f>IF(IFERROR(MATCH(Tabelle11[[#Headers],[David_R]],Spielauswertung!$B522:$E522,0),0)=0,M533,INDEX(Spielauswertung!$AB522:$AE522,MATCH(Tabelle11[[#Headers],[David_R]],Spielauswertung!$B522:$E522,0))+M533)</f>
        <v>96.715943522481638</v>
      </c>
      <c r="N534" s="1">
        <f>IF(IFERROR(MATCH(Tabelle11[[#Headers],[Dennis_P]],Spielauswertung!$B522:$E522,0),0)=0,N533,INDEX(Spielauswertung!$AB522:$AE522,MATCH(Tabelle11[[#Headers],[Dennis_P]],Spielauswertung!$B522:$E522,0))+N533)</f>
        <v>100.04773223105254</v>
      </c>
      <c r="O534" s="1">
        <f>IF(IFERROR(MATCH(Tabelle11[[#Headers],[Dennis_R]],Spielauswertung!$B522:$E522,0),0)=0,O533,INDEX(Spielauswertung!$AB522:$AE522,MATCH(Tabelle11[[#Headers],[Dennis_R]],Spielauswertung!$B522:$E522,0))+O533)</f>
        <v>75.131680864937195</v>
      </c>
      <c r="P534" s="1">
        <f>IF(IFERROR(MATCH(Tabelle11[[#Headers],[Detlef_R]],Spielauswertung!$B522:$E522,0),0)=0,P533,INDEX(Spielauswertung!$AB522:$AE522,MATCH(Tabelle11[[#Headers],[Detlef_R]],Spielauswertung!$B522:$E522,0))+P533)</f>
        <v>87.984671797367014</v>
      </c>
      <c r="Q534" s="1">
        <f>IF(IFERROR(MATCH(Tabelle11[[#Headers],[Dmitrij_M]],Spielauswertung!$B522:$E522,0),0)=0,Q533,INDEX(Spielauswertung!$AB522:$AE522,MATCH(Tabelle11[[#Headers],[Dmitrij_M]],Spielauswertung!$B522:$E522,0))+Q533)</f>
        <v>100.69975721846207</v>
      </c>
      <c r="R534" s="1">
        <f>IF(IFERROR(MATCH(Tabelle11[[#Headers],[Fabian_M]],Spielauswertung!$B522:$E522,0),0)=0,R533,INDEX(Spielauswertung!$AB522:$AE522,MATCH(Tabelle11[[#Headers],[Fabian_M]],Spielauswertung!$B522:$E522,0))+R533)</f>
        <v>96.625078373147204</v>
      </c>
      <c r="S534" s="1">
        <f>IF(IFERROR(MATCH(Tabelle11[[#Headers],[Hannes_S]],Spielauswertung!$B522:$E522,0),0)=0,S533,INDEX(Spielauswertung!$AB522:$AE522,MATCH(Tabelle11[[#Headers],[Hannes_S]],Spielauswertung!$B522:$E522,0))+S533)</f>
        <v>103.90239128811677</v>
      </c>
      <c r="T534" s="1">
        <f>IF(IFERROR(MATCH(Tabelle11[[#Headers],[Jan_B]],Spielauswertung!$B522:$E522,0),0)=0,T533,INDEX(Spielauswertung!$AB522:$AE522,MATCH(Tabelle11[[#Headers],[Jan_B]],Spielauswertung!$B522:$E522,0))+T533)</f>
        <v>97.165990768993908</v>
      </c>
      <c r="U534" s="1">
        <f>IF(IFERROR(MATCH(Tabelle11[[#Headers],[Jan_Hendrik_B]],Spielauswertung!$B522:$E522,0),0)=0,U533,INDEX(Spielauswertung!$AB522:$AE522,MATCH(Tabelle11[[#Headers],[Jan_Hendrik_B]],Spielauswertung!$B522:$E522,0))+U533)</f>
        <v>100.75492416935522</v>
      </c>
      <c r="V534" s="1">
        <f>IF(IFERROR(MATCH(Tabelle11[[#Headers],[Jens_N]],Spielauswertung!$B522:$E522,0),0)=0,V533,INDEX(Spielauswertung!$AB522:$AE522,MATCH(Tabelle11[[#Headers],[Jens_N]],Spielauswertung!$B522:$E522,0))+V533)</f>
        <v>98.772224299304881</v>
      </c>
      <c r="W534" s="1">
        <f>IF(IFERROR(MATCH(Tabelle11[[#Headers],[Johannes_S]],Spielauswertung!$B522:$E522,0),0)=0,W533,INDEX(Spielauswertung!$AB522:$AE522,MATCH(Tabelle11[[#Headers],[Johannes_S]],Spielauswertung!$B522:$E522,0))+W533)</f>
        <v>102.20284750979505</v>
      </c>
      <c r="X534" s="1">
        <f>IF(IFERROR(MATCH(Tabelle11[[#Headers],[Jonathan_F]],Spielauswertung!$B522:$E522,0),0)=0,X533,INDEX(Spielauswertung!$AB522:$AE522,MATCH(Tabelle11[[#Headers],[Jonathan_F]],Spielauswertung!$B522:$E522,0))+X533)</f>
        <v>98.938308797866256</v>
      </c>
      <c r="Y534" s="1">
        <f>IF(IFERROR(MATCH(Tabelle11[[#Headers],[Julius_P]],Spielauswertung!$B522:$E522,0),0)=0,Y533,INDEX(Spielauswertung!$AB522:$AE522,MATCH(Tabelle11[[#Headers],[Julius_P]],Spielauswertung!$B522:$E522,0))+Y533)</f>
        <v>96.540305101873642</v>
      </c>
      <c r="Z534" s="1">
        <f>IF(IFERROR(MATCH(Tabelle11[[#Headers],[Louis_W]],Spielauswertung!$B522:$E522,0),0)=0,Z533,INDEX(Spielauswertung!$AB522:$AE522,MATCH(Tabelle11[[#Headers],[Louis_W]],Spielauswertung!$B522:$E522,0))+Z533)</f>
        <v>87.497452285475362</v>
      </c>
      <c r="AA534" s="1">
        <f>IF(IFERROR(MATCH(Tabelle11[[#Headers],[Lukas_L]],Spielauswertung!$B522:$E522,0),0)=0,AA533,INDEX(Spielauswertung!$AB522:$AE522,MATCH(Tabelle11[[#Headers],[Lukas_L]],Spielauswertung!$B522:$E522,0))+AA533)</f>
        <v>97.622001426576219</v>
      </c>
      <c r="AB534" s="1">
        <f>IF(IFERROR(MATCH(Tabelle11[[#Headers],[Marcin_S]],Spielauswertung!$B522:$E522,0),0)=0,AB533,INDEX(Spielauswertung!$AB522:$AE522,MATCH(Tabelle11[[#Headers],[Marcin_S]],Spielauswertung!$B522:$E522,0))+AB533)</f>
        <v>85.463329105556824</v>
      </c>
      <c r="AC534" s="1">
        <f>IF(IFERROR(MATCH(Tabelle11[[#Headers],[Marco_K]],Spielauswertung!$B522:$E522,0),0)=0,AC533,INDEX(Spielauswertung!$AB522:$AE522,MATCH(Tabelle11[[#Headers],[Marco_K]],Spielauswertung!$B522:$E522,0))+AC533)</f>
        <v>102.12169819441469</v>
      </c>
      <c r="AD534" s="1">
        <f>IF(IFERROR(MATCH(Tabelle11[[#Headers],[Marius_M]],Spielauswertung!$B522:$E522,0),0)=0,AD533,INDEX(Spielauswertung!$AB522:$AE522,MATCH(Tabelle11[[#Headers],[Marius_M]],Spielauswertung!$B522:$E522,0))+AD533)</f>
        <v>124.54012374585781</v>
      </c>
      <c r="AE534" s="1">
        <f>IF(IFERROR(MATCH(Tabelle11[[#Headers],[Marvin_W]],Spielauswertung!$B522:$E522,0),0)=0,AE533,INDEX(Spielauswertung!$AB522:$AE522,MATCH(Tabelle11[[#Headers],[Marvin_W]],Spielauswertung!$B522:$E522,0))+AE533)</f>
        <v>98.799776610790332</v>
      </c>
      <c r="AF534" s="1">
        <f>IF(IFERROR(MATCH(Tabelle11[[#Headers],[Matthias_H]],Spielauswertung!$B522:$E522,0),0)=0,AF533,INDEX(Spielauswertung!$AB522:$AE522,MATCH(Tabelle11[[#Headers],[Matthias_H]],Spielauswertung!$B522:$E522,0))+AF533)</f>
        <v>105.42130178599372</v>
      </c>
      <c r="AG534" s="1">
        <f>IF(IFERROR(MATCH(Tabelle11[[#Headers],[Michael_D]],Spielauswertung!$B522:$E522,0),0)=0,AG533,INDEX(Spielauswertung!$AB522:$AE522,MATCH(Tabelle11[[#Headers],[Michael_D]],Spielauswertung!$B522:$E522,0))+AG533)</f>
        <v>97.261364448335016</v>
      </c>
      <c r="AH534" s="1">
        <f>IF(IFERROR(MATCH(Tabelle11[[#Headers],[Patrick_S]],Spielauswertung!$B522:$E522,0),0)=0,AH533,INDEX(Spielauswertung!$AB522:$AE522,MATCH(Tabelle11[[#Headers],[Patrick_S]],Spielauswertung!$B522:$E522,0))+AH533)</f>
        <v>98.975330692053802</v>
      </c>
      <c r="AI534" s="1">
        <f>IF(IFERROR(MATCH(Tabelle11[[#Headers],[Rano_M]],Spielauswertung!$B522:$E522,0),0)=0,AI533,INDEX(Spielauswertung!$AB522:$AE522,MATCH(Tabelle11[[#Headers],[Rano_M]],Spielauswertung!$B522:$E522,0))+AI533)</f>
        <v>109.38890657420265</v>
      </c>
      <c r="AJ534" s="1">
        <f>IF(IFERROR(MATCH(Tabelle11[[#Headers],[Rene_N]],Spielauswertung!$B522:$E522,0),0)=0,AJ533,INDEX(Spielauswertung!$AB522:$AE522,MATCH(Tabelle11[[#Headers],[Rene_N]],Spielauswertung!$B522:$E522,0))+AJ533)</f>
        <v>101.06482124619033</v>
      </c>
      <c r="AK534" s="1">
        <f>IF(IFERROR(MATCH(Tabelle11[[#Headers],[Rene_P]],Spielauswertung!$B522:$E522,0),0)=0,AK533,INDEX(Spielauswertung!$AB522:$AE522,MATCH(Tabelle11[[#Headers],[Rene_P]],Spielauswertung!$B522:$E522,0))+AK533)</f>
        <v>90.704997420314484</v>
      </c>
      <c r="AL534" s="1">
        <f>IF(IFERROR(MATCH(Tabelle11[[#Headers],[Richard_D]],Spielauswertung!$B522:$E522,0),0)=0,AL533,INDEX(Spielauswertung!$AB522:$AE522,MATCH(Tabelle11[[#Headers],[Richard_D]],Spielauswertung!$B522:$E522,0))+AL533)</f>
        <v>104.7705949275218</v>
      </c>
      <c r="AM534" s="1">
        <f>IF(IFERROR(MATCH(Tabelle11[[#Headers],[Rodrigo_R]],Spielauswertung!$B522:$E522,0),0)=0,AM533,INDEX(Spielauswertung!$AB522:$AE522,MATCH(Tabelle11[[#Headers],[Rodrigo_R]],Spielauswertung!$B522:$E522,0))+AM533)</f>
        <v>116.7028707921346</v>
      </c>
      <c r="AN534" s="1">
        <f>IF(IFERROR(MATCH(Tabelle11[[#Headers],[Sebastian_A]],Spielauswertung!$B522:$E522,0),0)=0,AN533,INDEX(Spielauswertung!$AB522:$AE522,MATCH(Tabelle11[[#Headers],[Sebastian_A]],Spielauswertung!$B522:$E522,0))+AN533)</f>
        <v>102.89457418671324</v>
      </c>
      <c r="AO534" s="1">
        <f>IF(IFERROR(MATCH(Tabelle11[[#Headers],[Sebastian_St]],Spielauswertung!$B522:$E522,0),0)=0,AO533,INDEX(Spielauswertung!$AB522:$AE522,MATCH(Tabelle11[[#Headers],[Sebastian_St]],Spielauswertung!$B522:$E522,0))+AO533)</f>
        <v>97.749574367408982</v>
      </c>
      <c r="AP534" s="1">
        <f>IF(IFERROR(MATCH(Tabelle11[[#Headers],[Simon_U]],Spielauswertung!$B522:$E522,0),0)=0,AP533,INDEX(Spielauswertung!$AB522:$AE522,MATCH(Tabelle11[[#Headers],[Simon_U]],Spielauswertung!$B522:$E522,0))+AP533)</f>
        <v>99.623054841470903</v>
      </c>
      <c r="AQ534" s="1">
        <f>IF(IFERROR(MATCH(Tabelle11[[#Headers],[Steffen_R]],Spielauswertung!$B522:$E522,0),0)=0,AQ533,INDEX(Spielauswertung!$AB522:$AE522,MATCH(Tabelle11[[#Headers],[Steffen_R]],Spielauswertung!$B522:$E522,0))+AQ533)</f>
        <v>93.247497067190949</v>
      </c>
      <c r="AR534" s="1">
        <f>IF(IFERROR(MATCH(Tabelle11[[#Headers],[Tim_R]],Spielauswertung!$B522:$E522,0),0)=0,AR533,INDEX(Spielauswertung!$AB522:$AE522,MATCH(Tabelle11[[#Headers],[Tim_R]],Spielauswertung!$B522:$E522,0))+AR533)</f>
        <v>103.07503787023374</v>
      </c>
      <c r="AS534" s="1">
        <f>IF(IFERROR(MATCH(Tabelle11[[#Headers],[Tobias_S]],Spielauswertung!$B522:$E522,0),0)=0,AS533,INDEX(Spielauswertung!$AB522:$AE522,MATCH(Tabelle11[[#Headers],[Tobias_S]],Spielauswertung!$B522:$E522,0))+AS533)</f>
        <v>98.6003422659997</v>
      </c>
      <c r="AT534" s="1">
        <f>IF(IFERROR(MATCH(Tabelle11[[#Headers],[Tom_R]],Spielauswertung!$B522:$E522,0),0)=0,AT533,INDEX(Spielauswertung!$AB522:$AE522,MATCH(Tabelle11[[#Headers],[Tom_R]],Spielauswertung!$B522:$E522,0))+AT533)</f>
        <v>113.65706124889796</v>
      </c>
      <c r="AU534" s="1">
        <f>IF(IFERROR(MATCH(Tabelle11[[#Headers],[Ton_L]],Spielauswertung!$B522:$E522,0),0)=0,AU533,INDEX(Spielauswertung!$AB522:$AE522,MATCH(Tabelle11[[#Headers],[Ton_L]],Spielauswertung!$B522:$E522,0))+AU533)</f>
        <v>92.683083360025861</v>
      </c>
      <c r="AV534" s="1">
        <f>IF(IFERROR(MATCH(Tabelle11[[#Headers],[Yixin_G]],Spielauswertung!$B522:$E522,0),0)=0,AV533,INDEX(Spielauswertung!$AB522:$AE522,MATCH(Tabelle11[[#Headers],[Yixin_G]],Spielauswertung!$B522:$E522,0))+AV533)</f>
        <v>99.900323214082661</v>
      </c>
      <c r="AW534" s="1">
        <f>IF(IFERROR(MATCH(Tabelle11[[#Headers],[Spalte36]],Spielauswertung!$B522:$E522,0),0)=0,AW533,INDEX(Spielauswertung!$AB522:$AE522,MATCH(Tabelle11[[#Headers],[Spalte36]],Spielauswertung!$B522:$E522,0))+AW533)</f>
        <v>100</v>
      </c>
      <c r="AX534" s="1">
        <f>IF(IFERROR(MATCH(Tabelle11[[#Headers],[Spalte37]],Spielauswertung!$B522:$E522,0),0)=0,AX533,INDEX(Spielauswertung!$AB522:$AE522,MATCH(Tabelle11[[#Headers],[Spalte37]],Spielauswertung!$B522:$E522,0))+AX533)</f>
        <v>100</v>
      </c>
      <c r="AY534" s="1">
        <f>IF(IFERROR(MATCH(Tabelle11[[#Headers],[Spalte38]],Spielauswertung!$B522:$E522,0),0)=0,AY533,INDEX(Spielauswertung!$AB522:$AE522,MATCH(Tabelle11[[#Headers],[Spalte38]],Spielauswertung!$B522:$E522,0))+AY533)</f>
        <v>100</v>
      </c>
      <c r="AZ534" s="1">
        <f>IF(IFERROR(MATCH(Tabelle11[[#Headers],[Spalte39]],Spielauswertung!$B522:$E522,0),0)=0,AZ533,INDEX(Spielauswertung!$AB522:$AE522,MATCH(Tabelle11[[#Headers],[Spalte39]],Spielauswertung!$B522:$E522,0))+AZ533)</f>
        <v>100</v>
      </c>
      <c r="BA534" s="1">
        <f>IF(IFERROR(MATCH(Tabelle11[[#Headers],[Spalte40]],Spielauswertung!$B522:$E522,0),0)=0,BA533,INDEX(Spielauswertung!$AB522:$AE522,MATCH(Tabelle11[[#Headers],[Spalte40]],Spielauswertung!$B522:$E522,0))+BA533)</f>
        <v>100</v>
      </c>
      <c r="BB534" s="1">
        <f>IF(IFERROR(MATCH(Tabelle11[[#Headers],[Spalte41]],Spielauswertung!$B522:$E522,0),0)=0,BB533,INDEX(Spielauswertung!$AB522:$AE522,MATCH(Tabelle11[[#Headers],[Spalte41]],Spielauswertung!$B522:$E522,0))+BB533)</f>
        <v>100</v>
      </c>
      <c r="BC534" s="1">
        <f>IF(IFERROR(MATCH(Tabelle11[[#Headers],[Spalte42]],Spielauswertung!$B522:$E522,0),0)=0,BC533,INDEX(Spielauswertung!$AB522:$AE522,MATCH(Tabelle11[[#Headers],[Spalte42]],Spielauswertung!$B522:$E522,0))+BC533)</f>
        <v>100</v>
      </c>
      <c r="BD534" s="1">
        <f>IF(IFERROR(MATCH(Tabelle11[[#Headers],[Spalte43]],Spielauswertung!$B522:$E522,0),0)=0,BD533,INDEX(Spielauswertung!$AB522:$AE522,MATCH(Tabelle11[[#Headers],[Spalte43]],Spielauswertung!$B522:$E522,0))+BD533)</f>
        <v>100</v>
      </c>
      <c r="BE534" s="1">
        <f>IF(IFERROR(MATCH(Tabelle11[[#Headers],[Spalte44]],Spielauswertung!$B522:$E522,0),0)=0,BE533,INDEX(Spielauswertung!$AB522:$AE522,MATCH(Tabelle11[[#Headers],[Spalte44]],Spielauswertung!$B522:$E522,0))+BE533)</f>
        <v>100</v>
      </c>
      <c r="BF534" s="1">
        <f>IF(IFERROR(MATCH(Tabelle11[[#Headers],[Spalte45]],Spielauswertung!$B522:$E522,0),0)=0,BF533,INDEX(Spielauswertung!$AB522:$AE522,MATCH(Tabelle11[[#Headers],[Spalte45]],Spielauswertung!$B522:$E522,0))+BF533)</f>
        <v>100</v>
      </c>
      <c r="BG534" s="1">
        <f>IF(IFERROR(MATCH(Tabelle11[[#Headers],[Spalte46]],Spielauswertung!$B522:$E522,0),0)=0,BG533,INDEX(Spielauswertung!$AB522:$AE522,MATCH(Tabelle11[[#Headers],[Spalte46]],Spielauswertung!$B522:$E522,0))+BG533)</f>
        <v>100</v>
      </c>
      <c r="BH534" s="1">
        <f>IF(IFERROR(MATCH(Tabelle11[[#Headers],[Spalte47]],Spielauswertung!$B522:$E522,0),0)=0,BH533,INDEX(Spielauswertung!$AB522:$AE522,MATCH(Tabelle11[[#Headers],[Spalte47]],Spielauswertung!$B522:$E522,0))+BH533)</f>
        <v>100</v>
      </c>
    </row>
    <row r="535" spans="1:60" x14ac:dyDescent="0.25">
      <c r="A535">
        <f t="shared" si="9"/>
        <v>522</v>
      </c>
      <c r="B535" s="1">
        <f>IF(IFERROR(MATCH(Tabelle11[[#Headers],[Aleix_V]],Spielauswertung!$B523:$E523,0),0)=0,B534,INDEX(Spielauswertung!$AB523:$AE523,MATCH(Tabelle11[[#Headers],[Aleix_V]],Spielauswertung!$B523:$E523,0))+B534)</f>
        <v>103.90285593996799</v>
      </c>
      <c r="C535" s="1">
        <f>IF(IFERROR(MATCH(Tabelle11[[#Headers],[Andres_H]],Spielauswertung!$B523:$E523,0),0)=0,C534,INDEX(Spielauswertung!$AB523:$AE523,MATCH(Tabelle11[[#Headers],[Andres_H]],Spielauswertung!$B523:$E523,0))+C534)</f>
        <v>95.535732339111306</v>
      </c>
      <c r="D535" s="1">
        <f>IF(IFERROR(MATCH(Tabelle11[[#Headers],[Anton_K]],Spielauswertung!$B523:$E523,0),0)=0,D534,INDEX(Spielauswertung!$AB523:$AE523,MATCH(Tabelle11[[#Headers],[Anton_K]],Spielauswertung!$B523:$E523,0))+D534)</f>
        <v>98.46887988238646</v>
      </c>
      <c r="E535" s="1">
        <f>IF(IFERROR(MATCH(Tabelle11[[#Headers],[Bastian_G]],Spielauswertung!$B523:$E523,0),0)=0,E534,INDEX(Spielauswertung!$AB523:$AE523,MATCH(Tabelle11[[#Headers],[Bastian_G]],Spielauswertung!$B523:$E523,0))+E534)</f>
        <v>117.39492842332966</v>
      </c>
      <c r="F535" s="1">
        <f>IF(IFERROR(MATCH(Tabelle11[[#Headers],[Ben_S]],Spielauswertung!$B523:$E523,0),0)=0,F534,INDEX(Spielauswertung!$AB523:$AE523,MATCH(Tabelle11[[#Headers],[Ben_S]],Spielauswertung!$B523:$E523,0))+F534)</f>
        <v>95.932799101521084</v>
      </c>
      <c r="G535" s="1">
        <f>IF(IFERROR(MATCH(Tabelle11[[#Headers],[Benedikt_K]],Spielauswertung!$B523:$E523,0),0)=0,G534,INDEX(Spielauswertung!$AB523:$AE523,MATCH(Tabelle11[[#Headers],[Benedikt_K]],Spielauswertung!$B523:$E523,0))+G534)</f>
        <v>101.20264176422626</v>
      </c>
      <c r="H535" s="1">
        <f>IF(IFERROR(MATCH(Tabelle11[[#Headers],[Benedikt_R]],Spielauswertung!$B523:$E523,0),0)=0,H534,INDEX(Spielauswertung!$AB523:$AE523,MATCH(Tabelle11[[#Headers],[Benedikt_R]],Spielauswertung!$B523:$E523,0))+H534)</f>
        <v>102.6264770510757</v>
      </c>
      <c r="I535" s="1">
        <f>IF(IFERROR(MATCH(Tabelle11[[#Headers],[Carsten_H]],Spielauswertung!$B523:$E523,0),0)=0,I534,INDEX(Spielauswertung!$AB523:$AE523,MATCH(Tabelle11[[#Headers],[Carsten_H]],Spielauswertung!$B523:$E523,0))+I534)</f>
        <v>91.287455601467229</v>
      </c>
      <c r="J535" s="1">
        <f>IF(IFERROR(MATCH(Tabelle11[[#Headers],[Christoph_R]],Spielauswertung!$B523:$E523,0),0)=0,J534,INDEX(Spielauswertung!$AB523:$AE523,MATCH(Tabelle11[[#Headers],[Christoph_R]],Spielauswertung!$B523:$E523,0))+J534)</f>
        <v>109.73261611443155</v>
      </c>
      <c r="K535" s="1">
        <f>IF(IFERROR(MATCH(Tabelle11[[#Headers],[Claudius_J]],Spielauswertung!$B523:$E523,0),0)=0,K534,INDEX(Spielauswertung!$AB523:$AE523,MATCH(Tabelle11[[#Headers],[Claudius_J]],Spielauswertung!$B523:$E523,0))+K534)</f>
        <v>106.16590636000029</v>
      </c>
      <c r="L535" s="1">
        <f>IF(IFERROR(MATCH(Tabelle11[[#Headers],[Daniel_D]],Spielauswertung!$B523:$E523,0),0)=0,L534,INDEX(Spielauswertung!$AB523:$AE523,MATCH(Tabelle11[[#Headers],[Daniel_D]],Spielauswertung!$B523:$E523,0))+L534)</f>
        <v>99.990299180470089</v>
      </c>
      <c r="M535" s="1">
        <f>IF(IFERROR(MATCH(Tabelle11[[#Headers],[David_R]],Spielauswertung!$B523:$E523,0),0)=0,M534,INDEX(Spielauswertung!$AB523:$AE523,MATCH(Tabelle11[[#Headers],[David_R]],Spielauswertung!$B523:$E523,0))+M534)</f>
        <v>96.715943522481638</v>
      </c>
      <c r="N535" s="1">
        <f>IF(IFERROR(MATCH(Tabelle11[[#Headers],[Dennis_P]],Spielauswertung!$B523:$E523,0),0)=0,N534,INDEX(Spielauswertung!$AB523:$AE523,MATCH(Tabelle11[[#Headers],[Dennis_P]],Spielauswertung!$B523:$E523,0))+N534)</f>
        <v>100.04773223105254</v>
      </c>
      <c r="O535" s="1">
        <f>IF(IFERROR(MATCH(Tabelle11[[#Headers],[Dennis_R]],Spielauswertung!$B523:$E523,0),0)=0,O534,INDEX(Spielauswertung!$AB523:$AE523,MATCH(Tabelle11[[#Headers],[Dennis_R]],Spielauswertung!$B523:$E523,0))+O534)</f>
        <v>75.131680864937195</v>
      </c>
      <c r="P535" s="1">
        <f>IF(IFERROR(MATCH(Tabelle11[[#Headers],[Detlef_R]],Spielauswertung!$B523:$E523,0),0)=0,P534,INDEX(Spielauswertung!$AB523:$AE523,MATCH(Tabelle11[[#Headers],[Detlef_R]],Spielauswertung!$B523:$E523,0))+P534)</f>
        <v>87.984671797367014</v>
      </c>
      <c r="Q535" s="1">
        <f>IF(IFERROR(MATCH(Tabelle11[[#Headers],[Dmitrij_M]],Spielauswertung!$B523:$E523,0),0)=0,Q534,INDEX(Spielauswertung!$AB523:$AE523,MATCH(Tabelle11[[#Headers],[Dmitrij_M]],Spielauswertung!$B523:$E523,0))+Q534)</f>
        <v>100.69975721846207</v>
      </c>
      <c r="R535" s="1">
        <f>IF(IFERROR(MATCH(Tabelle11[[#Headers],[Fabian_M]],Spielauswertung!$B523:$E523,0),0)=0,R534,INDEX(Spielauswertung!$AB523:$AE523,MATCH(Tabelle11[[#Headers],[Fabian_M]],Spielauswertung!$B523:$E523,0))+R534)</f>
        <v>96.625078373147204</v>
      </c>
      <c r="S535" s="1">
        <f>IF(IFERROR(MATCH(Tabelle11[[#Headers],[Hannes_S]],Spielauswertung!$B523:$E523,0),0)=0,S534,INDEX(Spielauswertung!$AB523:$AE523,MATCH(Tabelle11[[#Headers],[Hannes_S]],Spielauswertung!$B523:$E523,0))+S534)</f>
        <v>103.90239128811677</v>
      </c>
      <c r="T535" s="1">
        <f>IF(IFERROR(MATCH(Tabelle11[[#Headers],[Jan_B]],Spielauswertung!$B523:$E523,0),0)=0,T534,INDEX(Spielauswertung!$AB523:$AE523,MATCH(Tabelle11[[#Headers],[Jan_B]],Spielauswertung!$B523:$E523,0))+T534)</f>
        <v>100.51185328225597</v>
      </c>
      <c r="U535" s="1">
        <f>IF(IFERROR(MATCH(Tabelle11[[#Headers],[Jan_Hendrik_B]],Spielauswertung!$B523:$E523,0),0)=0,U534,INDEX(Spielauswertung!$AB523:$AE523,MATCH(Tabelle11[[#Headers],[Jan_Hendrik_B]],Spielauswertung!$B523:$E523,0))+U534)</f>
        <v>100.75492416935522</v>
      </c>
      <c r="V535" s="1">
        <f>IF(IFERROR(MATCH(Tabelle11[[#Headers],[Jens_N]],Spielauswertung!$B523:$E523,0),0)=0,V534,INDEX(Spielauswertung!$AB523:$AE523,MATCH(Tabelle11[[#Headers],[Jens_N]],Spielauswertung!$B523:$E523,0))+V534)</f>
        <v>98.772224299304881</v>
      </c>
      <c r="W535" s="1">
        <f>IF(IFERROR(MATCH(Tabelle11[[#Headers],[Johannes_S]],Spielauswertung!$B523:$E523,0),0)=0,W534,INDEX(Spielauswertung!$AB523:$AE523,MATCH(Tabelle11[[#Headers],[Johannes_S]],Spielauswertung!$B523:$E523,0))+W534)</f>
        <v>102.20284750979505</v>
      </c>
      <c r="X535" s="1">
        <f>IF(IFERROR(MATCH(Tabelle11[[#Headers],[Jonathan_F]],Spielauswertung!$B523:$E523,0),0)=0,X534,INDEX(Spielauswertung!$AB523:$AE523,MATCH(Tabelle11[[#Headers],[Jonathan_F]],Spielauswertung!$B523:$E523,0))+X534)</f>
        <v>98.938308797866256</v>
      </c>
      <c r="Y535" s="1">
        <f>IF(IFERROR(MATCH(Tabelle11[[#Headers],[Julius_P]],Spielauswertung!$B523:$E523,0),0)=0,Y534,INDEX(Spielauswertung!$AB523:$AE523,MATCH(Tabelle11[[#Headers],[Julius_P]],Spielauswertung!$B523:$E523,0))+Y534)</f>
        <v>96.540305101873642</v>
      </c>
      <c r="Z535" s="1">
        <f>IF(IFERROR(MATCH(Tabelle11[[#Headers],[Louis_W]],Spielauswertung!$B523:$E523,0),0)=0,Z534,INDEX(Spielauswertung!$AB523:$AE523,MATCH(Tabelle11[[#Headers],[Louis_W]],Spielauswertung!$B523:$E523,0))+Z534)</f>
        <v>87.497452285475362</v>
      </c>
      <c r="AA535" s="1">
        <f>IF(IFERROR(MATCH(Tabelle11[[#Headers],[Lukas_L]],Spielauswertung!$B523:$E523,0),0)=0,AA534,INDEX(Spielauswertung!$AB523:$AE523,MATCH(Tabelle11[[#Headers],[Lukas_L]],Spielauswertung!$B523:$E523,0))+AA534)</f>
        <v>97.622001426576219</v>
      </c>
      <c r="AB535" s="1">
        <f>IF(IFERROR(MATCH(Tabelle11[[#Headers],[Marcin_S]],Spielauswertung!$B523:$E523,0),0)=0,AB534,INDEX(Spielauswertung!$AB523:$AE523,MATCH(Tabelle11[[#Headers],[Marcin_S]],Spielauswertung!$B523:$E523,0))+AB534)</f>
        <v>85.463329105556824</v>
      </c>
      <c r="AC535" s="1">
        <f>IF(IFERROR(MATCH(Tabelle11[[#Headers],[Marco_K]],Spielauswertung!$B523:$E523,0),0)=0,AC534,INDEX(Spielauswertung!$AB523:$AE523,MATCH(Tabelle11[[#Headers],[Marco_K]],Spielauswertung!$B523:$E523,0))+AC534)</f>
        <v>102.12169819441469</v>
      </c>
      <c r="AD535" s="1">
        <f>IF(IFERROR(MATCH(Tabelle11[[#Headers],[Marius_M]],Spielauswertung!$B523:$E523,0),0)=0,AD534,INDEX(Spielauswertung!$AB523:$AE523,MATCH(Tabelle11[[#Headers],[Marius_M]],Spielauswertung!$B523:$E523,0))+AD534)</f>
        <v>124.54012374585781</v>
      </c>
      <c r="AE535" s="1">
        <f>IF(IFERROR(MATCH(Tabelle11[[#Headers],[Marvin_W]],Spielauswertung!$B523:$E523,0),0)=0,AE534,INDEX(Spielauswertung!$AB523:$AE523,MATCH(Tabelle11[[#Headers],[Marvin_W]],Spielauswertung!$B523:$E523,0))+AE534)</f>
        <v>98.799776610790332</v>
      </c>
      <c r="AF535" s="1">
        <f>IF(IFERROR(MATCH(Tabelle11[[#Headers],[Matthias_H]],Spielauswertung!$B523:$E523,0),0)=0,AF534,INDEX(Spielauswertung!$AB523:$AE523,MATCH(Tabelle11[[#Headers],[Matthias_H]],Spielauswertung!$B523:$E523,0))+AF534)</f>
        <v>105.42130178599372</v>
      </c>
      <c r="AG535" s="1">
        <f>IF(IFERROR(MATCH(Tabelle11[[#Headers],[Michael_D]],Spielauswertung!$B523:$E523,0),0)=0,AG534,INDEX(Spielauswertung!$AB523:$AE523,MATCH(Tabelle11[[#Headers],[Michael_D]],Spielauswertung!$B523:$E523,0))+AG534)</f>
        <v>97.261364448335016</v>
      </c>
      <c r="AH535" s="1">
        <f>IF(IFERROR(MATCH(Tabelle11[[#Headers],[Patrick_S]],Spielauswertung!$B523:$E523,0),0)=0,AH534,INDEX(Spielauswertung!$AB523:$AE523,MATCH(Tabelle11[[#Headers],[Patrick_S]],Spielauswertung!$B523:$E523,0))+AH534)</f>
        <v>98.975330692053802</v>
      </c>
      <c r="AI535" s="1">
        <f>IF(IFERROR(MATCH(Tabelle11[[#Headers],[Rano_M]],Spielauswertung!$B523:$E523,0),0)=0,AI534,INDEX(Spielauswertung!$AB523:$AE523,MATCH(Tabelle11[[#Headers],[Rano_M]],Spielauswertung!$B523:$E523,0))+AI534)</f>
        <v>109.38890657420265</v>
      </c>
      <c r="AJ535" s="1">
        <f>IF(IFERROR(MATCH(Tabelle11[[#Headers],[Rene_N]],Spielauswertung!$B523:$E523,0),0)=0,AJ534,INDEX(Spielauswertung!$AB523:$AE523,MATCH(Tabelle11[[#Headers],[Rene_N]],Spielauswertung!$B523:$E523,0))+AJ534)</f>
        <v>101.06482124619033</v>
      </c>
      <c r="AK535" s="1">
        <f>IF(IFERROR(MATCH(Tabelle11[[#Headers],[Rene_P]],Spielauswertung!$B523:$E523,0),0)=0,AK534,INDEX(Spielauswertung!$AB523:$AE523,MATCH(Tabelle11[[#Headers],[Rene_P]],Spielauswertung!$B523:$E523,0))+AK534)</f>
        <v>87.871569528869884</v>
      </c>
      <c r="AL535" s="1">
        <f>IF(IFERROR(MATCH(Tabelle11[[#Headers],[Richard_D]],Spielauswertung!$B523:$E523,0),0)=0,AL534,INDEX(Spielauswertung!$AB523:$AE523,MATCH(Tabelle11[[#Headers],[Richard_D]],Spielauswertung!$B523:$E523,0))+AL534)</f>
        <v>104.7705949275218</v>
      </c>
      <c r="AM535" s="1">
        <f>IF(IFERROR(MATCH(Tabelle11[[#Headers],[Rodrigo_R]],Spielauswertung!$B523:$E523,0),0)=0,AM534,INDEX(Spielauswertung!$AB523:$AE523,MATCH(Tabelle11[[#Headers],[Rodrigo_R]],Spielauswertung!$B523:$E523,0))+AM534)</f>
        <v>116.7028707921346</v>
      </c>
      <c r="AN535" s="1">
        <f>IF(IFERROR(MATCH(Tabelle11[[#Headers],[Sebastian_A]],Spielauswertung!$B523:$E523,0),0)=0,AN534,INDEX(Spielauswertung!$AB523:$AE523,MATCH(Tabelle11[[#Headers],[Sebastian_A]],Spielauswertung!$B523:$E523,0))+AN534)</f>
        <v>102.89457418671324</v>
      </c>
      <c r="AO535" s="1">
        <f>IF(IFERROR(MATCH(Tabelle11[[#Headers],[Sebastian_St]],Spielauswertung!$B523:$E523,0),0)=0,AO534,INDEX(Spielauswertung!$AB523:$AE523,MATCH(Tabelle11[[#Headers],[Sebastian_St]],Spielauswertung!$B523:$E523,0))+AO534)</f>
        <v>97.749574367408982</v>
      </c>
      <c r="AP535" s="1">
        <f>IF(IFERROR(MATCH(Tabelle11[[#Headers],[Simon_U]],Spielauswertung!$B523:$E523,0),0)=0,AP534,INDEX(Spielauswertung!$AB523:$AE523,MATCH(Tabelle11[[#Headers],[Simon_U]],Spielauswertung!$B523:$E523,0))+AP534)</f>
        <v>99.623054841470903</v>
      </c>
      <c r="AQ535" s="1">
        <f>IF(IFERROR(MATCH(Tabelle11[[#Headers],[Steffen_R]],Spielauswertung!$B523:$E523,0),0)=0,AQ534,INDEX(Spielauswertung!$AB523:$AE523,MATCH(Tabelle11[[#Headers],[Steffen_R]],Spielauswertung!$B523:$E523,0))+AQ534)</f>
        <v>93.247497067190949</v>
      </c>
      <c r="AR535" s="1">
        <f>IF(IFERROR(MATCH(Tabelle11[[#Headers],[Tim_R]],Spielauswertung!$B523:$E523,0),0)=0,AR534,INDEX(Spielauswertung!$AB523:$AE523,MATCH(Tabelle11[[#Headers],[Tim_R]],Spielauswertung!$B523:$E523,0))+AR534)</f>
        <v>103.07503787023374</v>
      </c>
      <c r="AS535" s="1">
        <f>IF(IFERROR(MATCH(Tabelle11[[#Headers],[Tobias_S]],Spielauswertung!$B523:$E523,0),0)=0,AS534,INDEX(Spielauswertung!$AB523:$AE523,MATCH(Tabelle11[[#Headers],[Tobias_S]],Spielauswertung!$B523:$E523,0))+AS534)</f>
        <v>98.6003422659997</v>
      </c>
      <c r="AT535" s="1">
        <f>IF(IFERROR(MATCH(Tabelle11[[#Headers],[Tom_R]],Spielauswertung!$B523:$E523,0),0)=0,AT534,INDEX(Spielauswertung!$AB523:$AE523,MATCH(Tabelle11[[#Headers],[Tom_R]],Spielauswertung!$B523:$E523,0))+AT534)</f>
        <v>113.65706124889796</v>
      </c>
      <c r="AU535" s="1">
        <f>IF(IFERROR(MATCH(Tabelle11[[#Headers],[Ton_L]],Spielauswertung!$B523:$E523,0),0)=0,AU534,INDEX(Spielauswertung!$AB523:$AE523,MATCH(Tabelle11[[#Headers],[Ton_L]],Spielauswertung!$B523:$E523,0))+AU534)</f>
        <v>92.683083360025861</v>
      </c>
      <c r="AV535" s="1">
        <f>IF(IFERROR(MATCH(Tabelle11[[#Headers],[Yixin_G]],Spielauswertung!$B523:$E523,0),0)=0,AV534,INDEX(Spielauswertung!$AB523:$AE523,MATCH(Tabelle11[[#Headers],[Yixin_G]],Spielauswertung!$B523:$E523,0))+AV534)</f>
        <v>99.900323214082661</v>
      </c>
      <c r="AW535" s="1">
        <f>IF(IFERROR(MATCH(Tabelle11[[#Headers],[Spalte36]],Spielauswertung!$B523:$E523,0),0)=0,AW534,INDEX(Spielauswertung!$AB523:$AE523,MATCH(Tabelle11[[#Headers],[Spalte36]],Spielauswertung!$B523:$E523,0))+AW534)</f>
        <v>100</v>
      </c>
      <c r="AX535" s="1">
        <f>IF(IFERROR(MATCH(Tabelle11[[#Headers],[Spalte37]],Spielauswertung!$B523:$E523,0),0)=0,AX534,INDEX(Spielauswertung!$AB523:$AE523,MATCH(Tabelle11[[#Headers],[Spalte37]],Spielauswertung!$B523:$E523,0))+AX534)</f>
        <v>100</v>
      </c>
      <c r="AY535" s="1">
        <f>IF(IFERROR(MATCH(Tabelle11[[#Headers],[Spalte38]],Spielauswertung!$B523:$E523,0),0)=0,AY534,INDEX(Spielauswertung!$AB523:$AE523,MATCH(Tabelle11[[#Headers],[Spalte38]],Spielauswertung!$B523:$E523,0))+AY534)</f>
        <v>100</v>
      </c>
      <c r="AZ535" s="1">
        <f>IF(IFERROR(MATCH(Tabelle11[[#Headers],[Spalte39]],Spielauswertung!$B523:$E523,0),0)=0,AZ534,INDEX(Spielauswertung!$AB523:$AE523,MATCH(Tabelle11[[#Headers],[Spalte39]],Spielauswertung!$B523:$E523,0))+AZ534)</f>
        <v>100</v>
      </c>
      <c r="BA535" s="1">
        <f>IF(IFERROR(MATCH(Tabelle11[[#Headers],[Spalte40]],Spielauswertung!$B523:$E523,0),0)=0,BA534,INDEX(Spielauswertung!$AB523:$AE523,MATCH(Tabelle11[[#Headers],[Spalte40]],Spielauswertung!$B523:$E523,0))+BA534)</f>
        <v>100</v>
      </c>
      <c r="BB535" s="1">
        <f>IF(IFERROR(MATCH(Tabelle11[[#Headers],[Spalte41]],Spielauswertung!$B523:$E523,0),0)=0,BB534,INDEX(Spielauswertung!$AB523:$AE523,MATCH(Tabelle11[[#Headers],[Spalte41]],Spielauswertung!$B523:$E523,0))+BB534)</f>
        <v>100</v>
      </c>
      <c r="BC535" s="1">
        <f>IF(IFERROR(MATCH(Tabelle11[[#Headers],[Spalte42]],Spielauswertung!$B523:$E523,0),0)=0,BC534,INDEX(Spielauswertung!$AB523:$AE523,MATCH(Tabelle11[[#Headers],[Spalte42]],Spielauswertung!$B523:$E523,0))+BC534)</f>
        <v>100</v>
      </c>
      <c r="BD535" s="1">
        <f>IF(IFERROR(MATCH(Tabelle11[[#Headers],[Spalte43]],Spielauswertung!$B523:$E523,0),0)=0,BD534,INDEX(Spielauswertung!$AB523:$AE523,MATCH(Tabelle11[[#Headers],[Spalte43]],Spielauswertung!$B523:$E523,0))+BD534)</f>
        <v>100</v>
      </c>
      <c r="BE535" s="1">
        <f>IF(IFERROR(MATCH(Tabelle11[[#Headers],[Spalte44]],Spielauswertung!$B523:$E523,0),0)=0,BE534,INDEX(Spielauswertung!$AB523:$AE523,MATCH(Tabelle11[[#Headers],[Spalte44]],Spielauswertung!$B523:$E523,0))+BE534)</f>
        <v>100</v>
      </c>
      <c r="BF535" s="1">
        <f>IF(IFERROR(MATCH(Tabelle11[[#Headers],[Spalte45]],Spielauswertung!$B523:$E523,0),0)=0,BF534,INDEX(Spielauswertung!$AB523:$AE523,MATCH(Tabelle11[[#Headers],[Spalte45]],Spielauswertung!$B523:$E523,0))+BF534)</f>
        <v>100</v>
      </c>
      <c r="BG535" s="1">
        <f>IF(IFERROR(MATCH(Tabelle11[[#Headers],[Spalte46]],Spielauswertung!$B523:$E523,0),0)=0,BG534,INDEX(Spielauswertung!$AB523:$AE523,MATCH(Tabelle11[[#Headers],[Spalte46]],Spielauswertung!$B523:$E523,0))+BG534)</f>
        <v>100</v>
      </c>
      <c r="BH535" s="1">
        <f>IF(IFERROR(MATCH(Tabelle11[[#Headers],[Spalte47]],Spielauswertung!$B523:$E523,0),0)=0,BH534,INDEX(Spielauswertung!$AB523:$AE523,MATCH(Tabelle11[[#Headers],[Spalte47]],Spielauswertung!$B523:$E523,0))+BH534)</f>
        <v>100</v>
      </c>
    </row>
    <row r="536" spans="1:60" x14ac:dyDescent="0.25">
      <c r="A536">
        <f t="shared" si="9"/>
        <v>523</v>
      </c>
      <c r="B536" s="1">
        <f>IF(IFERROR(MATCH(Tabelle11[[#Headers],[Aleix_V]],Spielauswertung!$B524:$E524,0),0)=0,B535,INDEX(Spielauswertung!$AB524:$AE524,MATCH(Tabelle11[[#Headers],[Aleix_V]],Spielauswertung!$B524:$E524,0))+B535)</f>
        <v>104.13372635609988</v>
      </c>
      <c r="C536" s="1">
        <f>IF(IFERROR(MATCH(Tabelle11[[#Headers],[Andres_H]],Spielauswertung!$B524:$E524,0),0)=0,C535,INDEX(Spielauswertung!$AB524:$AE524,MATCH(Tabelle11[[#Headers],[Andres_H]],Spielauswertung!$B524:$E524,0))+C535)</f>
        <v>95.535732339111306</v>
      </c>
      <c r="D536" s="1">
        <f>IF(IFERROR(MATCH(Tabelle11[[#Headers],[Anton_K]],Spielauswertung!$B524:$E524,0),0)=0,D535,INDEX(Spielauswertung!$AB524:$AE524,MATCH(Tabelle11[[#Headers],[Anton_K]],Spielauswertung!$B524:$E524,0))+D535)</f>
        <v>98.46887988238646</v>
      </c>
      <c r="E536" s="1">
        <f>IF(IFERROR(MATCH(Tabelle11[[#Headers],[Bastian_G]],Spielauswertung!$B524:$E524,0),0)=0,E535,INDEX(Spielauswertung!$AB524:$AE524,MATCH(Tabelle11[[#Headers],[Bastian_G]],Spielauswertung!$B524:$E524,0))+E535)</f>
        <v>117.123478838868</v>
      </c>
      <c r="F536" s="1">
        <f>IF(IFERROR(MATCH(Tabelle11[[#Headers],[Ben_S]],Spielauswertung!$B524:$E524,0),0)=0,F535,INDEX(Spielauswertung!$AB524:$AE524,MATCH(Tabelle11[[#Headers],[Ben_S]],Spielauswertung!$B524:$E524,0))+F535)</f>
        <v>95.932799101521084</v>
      </c>
      <c r="G536" s="1">
        <f>IF(IFERROR(MATCH(Tabelle11[[#Headers],[Benedikt_K]],Spielauswertung!$B524:$E524,0),0)=0,G535,INDEX(Spielauswertung!$AB524:$AE524,MATCH(Tabelle11[[#Headers],[Benedikt_K]],Spielauswertung!$B524:$E524,0))+G535)</f>
        <v>101.20264176422626</v>
      </c>
      <c r="H536" s="1">
        <f>IF(IFERROR(MATCH(Tabelle11[[#Headers],[Benedikt_R]],Spielauswertung!$B524:$E524,0),0)=0,H535,INDEX(Spielauswertung!$AB524:$AE524,MATCH(Tabelle11[[#Headers],[Benedikt_R]],Spielauswertung!$B524:$E524,0))+H535)</f>
        <v>102.6264770510757</v>
      </c>
      <c r="I536" s="1">
        <f>IF(IFERROR(MATCH(Tabelle11[[#Headers],[Carsten_H]],Spielauswertung!$B524:$E524,0),0)=0,I535,INDEX(Spielauswertung!$AB524:$AE524,MATCH(Tabelle11[[#Headers],[Carsten_H]],Spielauswertung!$B524:$E524,0))+I535)</f>
        <v>91.287455601467229</v>
      </c>
      <c r="J536" s="1">
        <f>IF(IFERROR(MATCH(Tabelle11[[#Headers],[Christoph_R]],Spielauswertung!$B524:$E524,0),0)=0,J535,INDEX(Spielauswertung!$AB524:$AE524,MATCH(Tabelle11[[#Headers],[Christoph_R]],Spielauswertung!$B524:$E524,0))+J535)</f>
        <v>109.73261611443155</v>
      </c>
      <c r="K536" s="1">
        <f>IF(IFERROR(MATCH(Tabelle11[[#Headers],[Claudius_J]],Spielauswertung!$B524:$E524,0),0)=0,K535,INDEX(Spielauswertung!$AB524:$AE524,MATCH(Tabelle11[[#Headers],[Claudius_J]],Spielauswertung!$B524:$E524,0))+K535)</f>
        <v>106.16590636000029</v>
      </c>
      <c r="L536" s="1">
        <f>IF(IFERROR(MATCH(Tabelle11[[#Headers],[Daniel_D]],Spielauswertung!$B524:$E524,0),0)=0,L535,INDEX(Spielauswertung!$AB524:$AE524,MATCH(Tabelle11[[#Headers],[Daniel_D]],Spielauswertung!$B524:$E524,0))+L535)</f>
        <v>99.990299180470089</v>
      </c>
      <c r="M536" s="1">
        <f>IF(IFERROR(MATCH(Tabelle11[[#Headers],[David_R]],Spielauswertung!$B524:$E524,0),0)=0,M535,INDEX(Spielauswertung!$AB524:$AE524,MATCH(Tabelle11[[#Headers],[David_R]],Spielauswertung!$B524:$E524,0))+M535)</f>
        <v>96.715943522481638</v>
      </c>
      <c r="N536" s="1">
        <f>IF(IFERROR(MATCH(Tabelle11[[#Headers],[Dennis_P]],Spielauswertung!$B524:$E524,0),0)=0,N535,INDEX(Spielauswertung!$AB524:$AE524,MATCH(Tabelle11[[#Headers],[Dennis_P]],Spielauswertung!$B524:$E524,0))+N535)</f>
        <v>100.04773223105254</v>
      </c>
      <c r="O536" s="1">
        <f>IF(IFERROR(MATCH(Tabelle11[[#Headers],[Dennis_R]],Spielauswertung!$B524:$E524,0),0)=0,O535,INDEX(Spielauswertung!$AB524:$AE524,MATCH(Tabelle11[[#Headers],[Dennis_R]],Spielauswertung!$B524:$E524,0))+O535)</f>
        <v>75.131680864937195</v>
      </c>
      <c r="P536" s="1">
        <f>IF(IFERROR(MATCH(Tabelle11[[#Headers],[Detlef_R]],Spielauswertung!$B524:$E524,0),0)=0,P535,INDEX(Spielauswertung!$AB524:$AE524,MATCH(Tabelle11[[#Headers],[Detlef_R]],Spielauswertung!$B524:$E524,0))+P535)</f>
        <v>87.984671797367014</v>
      </c>
      <c r="Q536" s="1">
        <f>IF(IFERROR(MATCH(Tabelle11[[#Headers],[Dmitrij_M]],Spielauswertung!$B524:$E524,0),0)=0,Q535,INDEX(Spielauswertung!$AB524:$AE524,MATCH(Tabelle11[[#Headers],[Dmitrij_M]],Spielauswertung!$B524:$E524,0))+Q535)</f>
        <v>100.69975721846207</v>
      </c>
      <c r="R536" s="1">
        <f>IF(IFERROR(MATCH(Tabelle11[[#Headers],[Fabian_M]],Spielauswertung!$B524:$E524,0),0)=0,R535,INDEX(Spielauswertung!$AB524:$AE524,MATCH(Tabelle11[[#Headers],[Fabian_M]],Spielauswertung!$B524:$E524,0))+R535)</f>
        <v>96.625078373147204</v>
      </c>
      <c r="S536" s="1">
        <f>IF(IFERROR(MATCH(Tabelle11[[#Headers],[Hannes_S]],Spielauswertung!$B524:$E524,0),0)=0,S535,INDEX(Spielauswertung!$AB524:$AE524,MATCH(Tabelle11[[#Headers],[Hannes_S]],Spielauswertung!$B524:$E524,0))+S535)</f>
        <v>103.90239128811677</v>
      </c>
      <c r="T536" s="1">
        <f>IF(IFERROR(MATCH(Tabelle11[[#Headers],[Jan_B]],Spielauswertung!$B524:$E524,0),0)=0,T535,INDEX(Spielauswertung!$AB524:$AE524,MATCH(Tabelle11[[#Headers],[Jan_B]],Spielauswertung!$B524:$E524,0))+T535)</f>
        <v>100.2794420429173</v>
      </c>
      <c r="U536" s="1">
        <f>IF(IFERROR(MATCH(Tabelle11[[#Headers],[Jan_Hendrik_B]],Spielauswertung!$B524:$E524,0),0)=0,U535,INDEX(Spielauswertung!$AB524:$AE524,MATCH(Tabelle11[[#Headers],[Jan_Hendrik_B]],Spielauswertung!$B524:$E524,0))+U535)</f>
        <v>100.75492416935522</v>
      </c>
      <c r="V536" s="1">
        <f>IF(IFERROR(MATCH(Tabelle11[[#Headers],[Jens_N]],Spielauswertung!$B524:$E524,0),0)=0,V535,INDEX(Spielauswertung!$AB524:$AE524,MATCH(Tabelle11[[#Headers],[Jens_N]],Spielauswertung!$B524:$E524,0))+V535)</f>
        <v>98.772224299304881</v>
      </c>
      <c r="W536" s="1">
        <f>IF(IFERROR(MATCH(Tabelle11[[#Headers],[Johannes_S]],Spielauswertung!$B524:$E524,0),0)=0,W535,INDEX(Spielauswertung!$AB524:$AE524,MATCH(Tabelle11[[#Headers],[Johannes_S]],Spielauswertung!$B524:$E524,0))+W535)</f>
        <v>102.20284750979505</v>
      </c>
      <c r="X536" s="1">
        <f>IF(IFERROR(MATCH(Tabelle11[[#Headers],[Jonathan_F]],Spielauswertung!$B524:$E524,0),0)=0,X535,INDEX(Spielauswertung!$AB524:$AE524,MATCH(Tabelle11[[#Headers],[Jonathan_F]],Spielauswertung!$B524:$E524,0))+X535)</f>
        <v>98.938308797866256</v>
      </c>
      <c r="Y536" s="1">
        <f>IF(IFERROR(MATCH(Tabelle11[[#Headers],[Julius_P]],Spielauswertung!$B524:$E524,0),0)=0,Y535,INDEX(Spielauswertung!$AB524:$AE524,MATCH(Tabelle11[[#Headers],[Julius_P]],Spielauswertung!$B524:$E524,0))+Y535)</f>
        <v>96.540305101873642</v>
      </c>
      <c r="Z536" s="1">
        <f>IF(IFERROR(MATCH(Tabelle11[[#Headers],[Louis_W]],Spielauswertung!$B524:$E524,0),0)=0,Z535,INDEX(Spielauswertung!$AB524:$AE524,MATCH(Tabelle11[[#Headers],[Louis_W]],Spielauswertung!$B524:$E524,0))+Z535)</f>
        <v>87.497452285475362</v>
      </c>
      <c r="AA536" s="1">
        <f>IF(IFERROR(MATCH(Tabelle11[[#Headers],[Lukas_L]],Spielauswertung!$B524:$E524,0),0)=0,AA535,INDEX(Spielauswertung!$AB524:$AE524,MATCH(Tabelle11[[#Headers],[Lukas_L]],Spielauswertung!$B524:$E524,0))+AA535)</f>
        <v>97.622001426576219</v>
      </c>
      <c r="AB536" s="1">
        <f>IF(IFERROR(MATCH(Tabelle11[[#Headers],[Marcin_S]],Spielauswertung!$B524:$E524,0),0)=0,AB535,INDEX(Spielauswertung!$AB524:$AE524,MATCH(Tabelle11[[#Headers],[Marcin_S]],Spielauswertung!$B524:$E524,0))+AB535)</f>
        <v>85.463329105556824</v>
      </c>
      <c r="AC536" s="1">
        <f>IF(IFERROR(MATCH(Tabelle11[[#Headers],[Marco_K]],Spielauswertung!$B524:$E524,0),0)=0,AC535,INDEX(Spielauswertung!$AB524:$AE524,MATCH(Tabelle11[[#Headers],[Marco_K]],Spielauswertung!$B524:$E524,0))+AC535)</f>
        <v>102.12169819441469</v>
      </c>
      <c r="AD536" s="1">
        <f>IF(IFERROR(MATCH(Tabelle11[[#Headers],[Marius_M]],Spielauswertung!$B524:$E524,0),0)=0,AD535,INDEX(Spielauswertung!$AB524:$AE524,MATCH(Tabelle11[[#Headers],[Marius_M]],Spielauswertung!$B524:$E524,0))+AD535)</f>
        <v>124.54012374585781</v>
      </c>
      <c r="AE536" s="1">
        <f>IF(IFERROR(MATCH(Tabelle11[[#Headers],[Marvin_W]],Spielauswertung!$B524:$E524,0),0)=0,AE535,INDEX(Spielauswertung!$AB524:$AE524,MATCH(Tabelle11[[#Headers],[Marvin_W]],Spielauswertung!$B524:$E524,0))+AE535)</f>
        <v>98.799776610790332</v>
      </c>
      <c r="AF536" s="1">
        <f>IF(IFERROR(MATCH(Tabelle11[[#Headers],[Matthias_H]],Spielauswertung!$B524:$E524,0),0)=0,AF535,INDEX(Spielauswertung!$AB524:$AE524,MATCH(Tabelle11[[#Headers],[Matthias_H]],Spielauswertung!$B524:$E524,0))+AF535)</f>
        <v>105.42130178599372</v>
      </c>
      <c r="AG536" s="1">
        <f>IF(IFERROR(MATCH(Tabelle11[[#Headers],[Michael_D]],Spielauswertung!$B524:$E524,0),0)=0,AG535,INDEX(Spielauswertung!$AB524:$AE524,MATCH(Tabelle11[[#Headers],[Michael_D]],Spielauswertung!$B524:$E524,0))+AG535)</f>
        <v>97.261364448335016</v>
      </c>
      <c r="AH536" s="1">
        <f>IF(IFERROR(MATCH(Tabelle11[[#Headers],[Patrick_S]],Spielauswertung!$B524:$E524,0),0)=0,AH535,INDEX(Spielauswertung!$AB524:$AE524,MATCH(Tabelle11[[#Headers],[Patrick_S]],Spielauswertung!$B524:$E524,0))+AH535)</f>
        <v>98.975330692053802</v>
      </c>
      <c r="AI536" s="1">
        <f>IF(IFERROR(MATCH(Tabelle11[[#Headers],[Rano_M]],Spielauswertung!$B524:$E524,0),0)=0,AI535,INDEX(Spielauswertung!$AB524:$AE524,MATCH(Tabelle11[[#Headers],[Rano_M]],Spielauswertung!$B524:$E524,0))+AI535)</f>
        <v>109.38890657420265</v>
      </c>
      <c r="AJ536" s="1">
        <f>IF(IFERROR(MATCH(Tabelle11[[#Headers],[Rene_N]],Spielauswertung!$B524:$E524,0),0)=0,AJ535,INDEX(Spielauswertung!$AB524:$AE524,MATCH(Tabelle11[[#Headers],[Rene_N]],Spielauswertung!$B524:$E524,0))+AJ535)</f>
        <v>101.06482124619033</v>
      </c>
      <c r="AK536" s="1">
        <f>IF(IFERROR(MATCH(Tabelle11[[#Headers],[Rene_P]],Spielauswertung!$B524:$E524,0),0)=0,AK535,INDEX(Spielauswertung!$AB524:$AE524,MATCH(Tabelle11[[#Headers],[Rene_P]],Spielauswertung!$B524:$E524,0))+AK535)</f>
        <v>88.144559936538329</v>
      </c>
      <c r="AL536" s="1">
        <f>IF(IFERROR(MATCH(Tabelle11[[#Headers],[Richard_D]],Spielauswertung!$B524:$E524,0),0)=0,AL535,INDEX(Spielauswertung!$AB524:$AE524,MATCH(Tabelle11[[#Headers],[Richard_D]],Spielauswertung!$B524:$E524,0))+AL535)</f>
        <v>104.7705949275218</v>
      </c>
      <c r="AM536" s="1">
        <f>IF(IFERROR(MATCH(Tabelle11[[#Headers],[Rodrigo_R]],Spielauswertung!$B524:$E524,0),0)=0,AM535,INDEX(Spielauswertung!$AB524:$AE524,MATCH(Tabelle11[[#Headers],[Rodrigo_R]],Spielauswertung!$B524:$E524,0))+AM535)</f>
        <v>116.7028707921346</v>
      </c>
      <c r="AN536" s="1">
        <f>IF(IFERROR(MATCH(Tabelle11[[#Headers],[Sebastian_A]],Spielauswertung!$B524:$E524,0),0)=0,AN535,INDEX(Spielauswertung!$AB524:$AE524,MATCH(Tabelle11[[#Headers],[Sebastian_A]],Spielauswertung!$B524:$E524,0))+AN535)</f>
        <v>102.89457418671324</v>
      </c>
      <c r="AO536" s="1">
        <f>IF(IFERROR(MATCH(Tabelle11[[#Headers],[Sebastian_St]],Spielauswertung!$B524:$E524,0),0)=0,AO535,INDEX(Spielauswertung!$AB524:$AE524,MATCH(Tabelle11[[#Headers],[Sebastian_St]],Spielauswertung!$B524:$E524,0))+AO535)</f>
        <v>97.749574367408982</v>
      </c>
      <c r="AP536" s="1">
        <f>IF(IFERROR(MATCH(Tabelle11[[#Headers],[Simon_U]],Spielauswertung!$B524:$E524,0),0)=0,AP535,INDEX(Spielauswertung!$AB524:$AE524,MATCH(Tabelle11[[#Headers],[Simon_U]],Spielauswertung!$B524:$E524,0))+AP535)</f>
        <v>99.623054841470903</v>
      </c>
      <c r="AQ536" s="1">
        <f>IF(IFERROR(MATCH(Tabelle11[[#Headers],[Steffen_R]],Spielauswertung!$B524:$E524,0),0)=0,AQ535,INDEX(Spielauswertung!$AB524:$AE524,MATCH(Tabelle11[[#Headers],[Steffen_R]],Spielauswertung!$B524:$E524,0))+AQ535)</f>
        <v>93.247497067190949</v>
      </c>
      <c r="AR536" s="1">
        <f>IF(IFERROR(MATCH(Tabelle11[[#Headers],[Tim_R]],Spielauswertung!$B524:$E524,0),0)=0,AR535,INDEX(Spielauswertung!$AB524:$AE524,MATCH(Tabelle11[[#Headers],[Tim_R]],Spielauswertung!$B524:$E524,0))+AR535)</f>
        <v>103.07503787023374</v>
      </c>
      <c r="AS536" s="1">
        <f>IF(IFERROR(MATCH(Tabelle11[[#Headers],[Tobias_S]],Spielauswertung!$B524:$E524,0),0)=0,AS535,INDEX(Spielauswertung!$AB524:$AE524,MATCH(Tabelle11[[#Headers],[Tobias_S]],Spielauswertung!$B524:$E524,0))+AS535)</f>
        <v>98.6003422659997</v>
      </c>
      <c r="AT536" s="1">
        <f>IF(IFERROR(MATCH(Tabelle11[[#Headers],[Tom_R]],Spielauswertung!$B524:$E524,0),0)=0,AT535,INDEX(Spielauswertung!$AB524:$AE524,MATCH(Tabelle11[[#Headers],[Tom_R]],Spielauswertung!$B524:$E524,0))+AT535)</f>
        <v>113.65706124889796</v>
      </c>
      <c r="AU536" s="1">
        <f>IF(IFERROR(MATCH(Tabelle11[[#Headers],[Ton_L]],Spielauswertung!$B524:$E524,0),0)=0,AU535,INDEX(Spielauswertung!$AB524:$AE524,MATCH(Tabelle11[[#Headers],[Ton_L]],Spielauswertung!$B524:$E524,0))+AU535)</f>
        <v>92.683083360025861</v>
      </c>
      <c r="AV536" s="1">
        <f>IF(IFERROR(MATCH(Tabelle11[[#Headers],[Yixin_G]],Spielauswertung!$B524:$E524,0),0)=0,AV535,INDEX(Spielauswertung!$AB524:$AE524,MATCH(Tabelle11[[#Headers],[Yixin_G]],Spielauswertung!$B524:$E524,0))+AV535)</f>
        <v>99.900323214082661</v>
      </c>
      <c r="AW536" s="1">
        <f>IF(IFERROR(MATCH(Tabelle11[[#Headers],[Spalte36]],Spielauswertung!$B524:$E524,0),0)=0,AW535,INDEX(Spielauswertung!$AB524:$AE524,MATCH(Tabelle11[[#Headers],[Spalte36]],Spielauswertung!$B524:$E524,0))+AW535)</f>
        <v>100</v>
      </c>
      <c r="AX536" s="1">
        <f>IF(IFERROR(MATCH(Tabelle11[[#Headers],[Spalte37]],Spielauswertung!$B524:$E524,0),0)=0,AX535,INDEX(Spielauswertung!$AB524:$AE524,MATCH(Tabelle11[[#Headers],[Spalte37]],Spielauswertung!$B524:$E524,0))+AX535)</f>
        <v>100</v>
      </c>
      <c r="AY536" s="1">
        <f>IF(IFERROR(MATCH(Tabelle11[[#Headers],[Spalte38]],Spielauswertung!$B524:$E524,0),0)=0,AY535,INDEX(Spielauswertung!$AB524:$AE524,MATCH(Tabelle11[[#Headers],[Spalte38]],Spielauswertung!$B524:$E524,0))+AY535)</f>
        <v>100</v>
      </c>
      <c r="AZ536" s="1">
        <f>IF(IFERROR(MATCH(Tabelle11[[#Headers],[Spalte39]],Spielauswertung!$B524:$E524,0),0)=0,AZ535,INDEX(Spielauswertung!$AB524:$AE524,MATCH(Tabelle11[[#Headers],[Spalte39]],Spielauswertung!$B524:$E524,0))+AZ535)</f>
        <v>100</v>
      </c>
      <c r="BA536" s="1">
        <f>IF(IFERROR(MATCH(Tabelle11[[#Headers],[Spalte40]],Spielauswertung!$B524:$E524,0),0)=0,BA535,INDEX(Spielauswertung!$AB524:$AE524,MATCH(Tabelle11[[#Headers],[Spalte40]],Spielauswertung!$B524:$E524,0))+BA535)</f>
        <v>100</v>
      </c>
      <c r="BB536" s="1">
        <f>IF(IFERROR(MATCH(Tabelle11[[#Headers],[Spalte41]],Spielauswertung!$B524:$E524,0),0)=0,BB535,INDEX(Spielauswertung!$AB524:$AE524,MATCH(Tabelle11[[#Headers],[Spalte41]],Spielauswertung!$B524:$E524,0))+BB535)</f>
        <v>100</v>
      </c>
      <c r="BC536" s="1">
        <f>IF(IFERROR(MATCH(Tabelle11[[#Headers],[Spalte42]],Spielauswertung!$B524:$E524,0),0)=0,BC535,INDEX(Spielauswertung!$AB524:$AE524,MATCH(Tabelle11[[#Headers],[Spalte42]],Spielauswertung!$B524:$E524,0))+BC535)</f>
        <v>100</v>
      </c>
      <c r="BD536" s="1">
        <f>IF(IFERROR(MATCH(Tabelle11[[#Headers],[Spalte43]],Spielauswertung!$B524:$E524,0),0)=0,BD535,INDEX(Spielauswertung!$AB524:$AE524,MATCH(Tabelle11[[#Headers],[Spalte43]],Spielauswertung!$B524:$E524,0))+BD535)</f>
        <v>100</v>
      </c>
      <c r="BE536" s="1">
        <f>IF(IFERROR(MATCH(Tabelle11[[#Headers],[Spalte44]],Spielauswertung!$B524:$E524,0),0)=0,BE535,INDEX(Spielauswertung!$AB524:$AE524,MATCH(Tabelle11[[#Headers],[Spalte44]],Spielauswertung!$B524:$E524,0))+BE535)</f>
        <v>100</v>
      </c>
      <c r="BF536" s="1">
        <f>IF(IFERROR(MATCH(Tabelle11[[#Headers],[Spalte45]],Spielauswertung!$B524:$E524,0),0)=0,BF535,INDEX(Spielauswertung!$AB524:$AE524,MATCH(Tabelle11[[#Headers],[Spalte45]],Spielauswertung!$B524:$E524,0))+BF535)</f>
        <v>100</v>
      </c>
      <c r="BG536" s="1">
        <f>IF(IFERROR(MATCH(Tabelle11[[#Headers],[Spalte46]],Spielauswertung!$B524:$E524,0),0)=0,BG535,INDEX(Spielauswertung!$AB524:$AE524,MATCH(Tabelle11[[#Headers],[Spalte46]],Spielauswertung!$B524:$E524,0))+BG535)</f>
        <v>100</v>
      </c>
      <c r="BH536" s="1">
        <f>IF(IFERROR(MATCH(Tabelle11[[#Headers],[Spalte47]],Spielauswertung!$B524:$E524,0),0)=0,BH535,INDEX(Spielauswertung!$AB524:$AE524,MATCH(Tabelle11[[#Headers],[Spalte47]],Spielauswertung!$B524:$E524,0))+BH535)</f>
        <v>100</v>
      </c>
    </row>
    <row r="537" spans="1:60" x14ac:dyDescent="0.25">
      <c r="A537">
        <f t="shared" si="9"/>
        <v>524</v>
      </c>
      <c r="B537" s="1">
        <f>IF(IFERROR(MATCH(Tabelle11[[#Headers],[Aleix_V]],Spielauswertung!$B525:$E525,0),0)=0,B536,INDEX(Spielauswertung!$AB525:$AE525,MATCH(Tabelle11[[#Headers],[Aleix_V]],Spielauswertung!$B525:$E525,0))+B536)</f>
        <v>104.13372635609988</v>
      </c>
      <c r="C537" s="1">
        <f>IF(IFERROR(MATCH(Tabelle11[[#Headers],[Andres_H]],Spielauswertung!$B525:$E525,0),0)=0,C536,INDEX(Spielauswertung!$AB525:$AE525,MATCH(Tabelle11[[#Headers],[Andres_H]],Spielauswertung!$B525:$E525,0))+C536)</f>
        <v>95.535732339111306</v>
      </c>
      <c r="D537" s="1">
        <f>IF(IFERROR(MATCH(Tabelle11[[#Headers],[Anton_K]],Spielauswertung!$B525:$E525,0),0)=0,D536,INDEX(Spielauswertung!$AB525:$AE525,MATCH(Tabelle11[[#Headers],[Anton_K]],Spielauswertung!$B525:$E525,0))+D536)</f>
        <v>99.079442733336563</v>
      </c>
      <c r="E537" s="1">
        <f>IF(IFERROR(MATCH(Tabelle11[[#Headers],[Bastian_G]],Spielauswertung!$B525:$E525,0),0)=0,E536,INDEX(Spielauswertung!$AB525:$AE525,MATCH(Tabelle11[[#Headers],[Bastian_G]],Spielauswertung!$B525:$E525,0))+E536)</f>
        <v>117.123478838868</v>
      </c>
      <c r="F537" s="1">
        <f>IF(IFERROR(MATCH(Tabelle11[[#Headers],[Ben_S]],Spielauswertung!$B525:$E525,0),0)=0,F536,INDEX(Spielauswertung!$AB525:$AE525,MATCH(Tabelle11[[#Headers],[Ben_S]],Spielauswertung!$B525:$E525,0))+F536)</f>
        <v>95.932799101521084</v>
      </c>
      <c r="G537" s="1">
        <f>IF(IFERROR(MATCH(Tabelle11[[#Headers],[Benedikt_K]],Spielauswertung!$B525:$E525,0),0)=0,G536,INDEX(Spielauswertung!$AB525:$AE525,MATCH(Tabelle11[[#Headers],[Benedikt_K]],Spielauswertung!$B525:$E525,0))+G536)</f>
        <v>101.20264176422626</v>
      </c>
      <c r="H537" s="1">
        <f>IF(IFERROR(MATCH(Tabelle11[[#Headers],[Benedikt_R]],Spielauswertung!$B525:$E525,0),0)=0,H536,INDEX(Spielauswertung!$AB525:$AE525,MATCH(Tabelle11[[#Headers],[Benedikt_R]],Spielauswertung!$B525:$E525,0))+H536)</f>
        <v>102.6264770510757</v>
      </c>
      <c r="I537" s="1">
        <f>IF(IFERROR(MATCH(Tabelle11[[#Headers],[Carsten_H]],Spielauswertung!$B525:$E525,0),0)=0,I536,INDEX(Spielauswertung!$AB525:$AE525,MATCH(Tabelle11[[#Headers],[Carsten_H]],Spielauswertung!$B525:$E525,0))+I536)</f>
        <v>91.287455601467229</v>
      </c>
      <c r="J537" s="1">
        <f>IF(IFERROR(MATCH(Tabelle11[[#Headers],[Christoph_R]],Spielauswertung!$B525:$E525,0),0)=0,J536,INDEX(Spielauswertung!$AB525:$AE525,MATCH(Tabelle11[[#Headers],[Christoph_R]],Spielauswertung!$B525:$E525,0))+J536)</f>
        <v>109.73261611443155</v>
      </c>
      <c r="K537" s="1">
        <f>IF(IFERROR(MATCH(Tabelle11[[#Headers],[Claudius_J]],Spielauswertung!$B525:$E525,0),0)=0,K536,INDEX(Spielauswertung!$AB525:$AE525,MATCH(Tabelle11[[#Headers],[Claudius_J]],Spielauswertung!$B525:$E525,0))+K536)</f>
        <v>106.16590636000029</v>
      </c>
      <c r="L537" s="1">
        <f>IF(IFERROR(MATCH(Tabelle11[[#Headers],[Daniel_D]],Spielauswertung!$B525:$E525,0),0)=0,L536,INDEX(Spielauswertung!$AB525:$AE525,MATCH(Tabelle11[[#Headers],[Daniel_D]],Spielauswertung!$B525:$E525,0))+L536)</f>
        <v>99.990299180470089</v>
      </c>
      <c r="M537" s="1">
        <f>IF(IFERROR(MATCH(Tabelle11[[#Headers],[David_R]],Spielauswertung!$B525:$E525,0),0)=0,M536,INDEX(Spielauswertung!$AB525:$AE525,MATCH(Tabelle11[[#Headers],[David_R]],Spielauswertung!$B525:$E525,0))+M536)</f>
        <v>96.715943522481638</v>
      </c>
      <c r="N537" s="1">
        <f>IF(IFERROR(MATCH(Tabelle11[[#Headers],[Dennis_P]],Spielauswertung!$B525:$E525,0),0)=0,N536,INDEX(Spielauswertung!$AB525:$AE525,MATCH(Tabelle11[[#Headers],[Dennis_P]],Spielauswertung!$B525:$E525,0))+N536)</f>
        <v>100.04773223105254</v>
      </c>
      <c r="O537" s="1">
        <f>IF(IFERROR(MATCH(Tabelle11[[#Headers],[Dennis_R]],Spielauswertung!$B525:$E525,0),0)=0,O536,INDEX(Spielauswertung!$AB525:$AE525,MATCH(Tabelle11[[#Headers],[Dennis_R]],Spielauswertung!$B525:$E525,0))+O536)</f>
        <v>75.131680864937195</v>
      </c>
      <c r="P537" s="1">
        <f>IF(IFERROR(MATCH(Tabelle11[[#Headers],[Detlef_R]],Spielauswertung!$B525:$E525,0),0)=0,P536,INDEX(Spielauswertung!$AB525:$AE525,MATCH(Tabelle11[[#Headers],[Detlef_R]],Spielauswertung!$B525:$E525,0))+P536)</f>
        <v>87.984671797367014</v>
      </c>
      <c r="Q537" s="1">
        <f>IF(IFERROR(MATCH(Tabelle11[[#Headers],[Dmitrij_M]],Spielauswertung!$B525:$E525,0),0)=0,Q536,INDEX(Spielauswertung!$AB525:$AE525,MATCH(Tabelle11[[#Headers],[Dmitrij_M]],Spielauswertung!$B525:$E525,0))+Q536)</f>
        <v>100.69975721846207</v>
      </c>
      <c r="R537" s="1">
        <f>IF(IFERROR(MATCH(Tabelle11[[#Headers],[Fabian_M]],Spielauswertung!$B525:$E525,0),0)=0,R536,INDEX(Spielauswertung!$AB525:$AE525,MATCH(Tabelle11[[#Headers],[Fabian_M]],Spielauswertung!$B525:$E525,0))+R536)</f>
        <v>96.013879585512285</v>
      </c>
      <c r="S537" s="1">
        <f>IF(IFERROR(MATCH(Tabelle11[[#Headers],[Hannes_S]],Spielauswertung!$B525:$E525,0),0)=0,S536,INDEX(Spielauswertung!$AB525:$AE525,MATCH(Tabelle11[[#Headers],[Hannes_S]],Spielauswertung!$B525:$E525,0))+S536)</f>
        <v>103.90239128811677</v>
      </c>
      <c r="T537" s="1">
        <f>IF(IFERROR(MATCH(Tabelle11[[#Headers],[Jan_B]],Spielauswertung!$B525:$E525,0),0)=0,T536,INDEX(Spielauswertung!$AB525:$AE525,MATCH(Tabelle11[[#Headers],[Jan_B]],Spielauswertung!$B525:$E525,0))+T536)</f>
        <v>100.2794420429173</v>
      </c>
      <c r="U537" s="1">
        <f>IF(IFERROR(MATCH(Tabelle11[[#Headers],[Jan_Hendrik_B]],Spielauswertung!$B525:$E525,0),0)=0,U536,INDEX(Spielauswertung!$AB525:$AE525,MATCH(Tabelle11[[#Headers],[Jan_Hendrik_B]],Spielauswertung!$B525:$E525,0))+U536)</f>
        <v>100.75492416935522</v>
      </c>
      <c r="V537" s="1">
        <f>IF(IFERROR(MATCH(Tabelle11[[#Headers],[Jens_N]],Spielauswertung!$B525:$E525,0),0)=0,V536,INDEX(Spielauswertung!$AB525:$AE525,MATCH(Tabelle11[[#Headers],[Jens_N]],Spielauswertung!$B525:$E525,0))+V536)</f>
        <v>98.772224299304881</v>
      </c>
      <c r="W537" s="1">
        <f>IF(IFERROR(MATCH(Tabelle11[[#Headers],[Johannes_S]],Spielauswertung!$B525:$E525,0),0)=0,W536,INDEX(Spielauswertung!$AB525:$AE525,MATCH(Tabelle11[[#Headers],[Johannes_S]],Spielauswertung!$B525:$E525,0))+W536)</f>
        <v>102.20284750979505</v>
      </c>
      <c r="X537" s="1">
        <f>IF(IFERROR(MATCH(Tabelle11[[#Headers],[Jonathan_F]],Spielauswertung!$B525:$E525,0),0)=0,X536,INDEX(Spielauswertung!$AB525:$AE525,MATCH(Tabelle11[[#Headers],[Jonathan_F]],Spielauswertung!$B525:$E525,0))+X536)</f>
        <v>98.938308797866256</v>
      </c>
      <c r="Y537" s="1">
        <f>IF(IFERROR(MATCH(Tabelle11[[#Headers],[Julius_P]],Spielauswertung!$B525:$E525,0),0)=0,Y536,INDEX(Spielauswertung!$AB525:$AE525,MATCH(Tabelle11[[#Headers],[Julius_P]],Spielauswertung!$B525:$E525,0))+Y536)</f>
        <v>96.540305101873642</v>
      </c>
      <c r="Z537" s="1">
        <f>IF(IFERROR(MATCH(Tabelle11[[#Headers],[Louis_W]],Spielauswertung!$B525:$E525,0),0)=0,Z536,INDEX(Spielauswertung!$AB525:$AE525,MATCH(Tabelle11[[#Headers],[Louis_W]],Spielauswertung!$B525:$E525,0))+Z536)</f>
        <v>87.497452285475362</v>
      </c>
      <c r="AA537" s="1">
        <f>IF(IFERROR(MATCH(Tabelle11[[#Headers],[Lukas_L]],Spielauswertung!$B525:$E525,0),0)=0,AA536,INDEX(Spielauswertung!$AB525:$AE525,MATCH(Tabelle11[[#Headers],[Lukas_L]],Spielauswertung!$B525:$E525,0))+AA536)</f>
        <v>98.237860957750371</v>
      </c>
      <c r="AB537" s="1">
        <f>IF(IFERROR(MATCH(Tabelle11[[#Headers],[Marcin_S]],Spielauswertung!$B525:$E525,0),0)=0,AB536,INDEX(Spielauswertung!$AB525:$AE525,MATCH(Tabelle11[[#Headers],[Marcin_S]],Spielauswertung!$B525:$E525,0))+AB536)</f>
        <v>85.463329105556824</v>
      </c>
      <c r="AC537" s="1">
        <f>IF(IFERROR(MATCH(Tabelle11[[#Headers],[Marco_K]],Spielauswertung!$B525:$E525,0),0)=0,AC536,INDEX(Spielauswertung!$AB525:$AE525,MATCH(Tabelle11[[#Headers],[Marco_K]],Spielauswertung!$B525:$E525,0))+AC536)</f>
        <v>102.12169819441469</v>
      </c>
      <c r="AD537" s="1">
        <f>IF(IFERROR(MATCH(Tabelle11[[#Headers],[Marius_M]],Spielauswertung!$B525:$E525,0),0)=0,AD536,INDEX(Spielauswertung!$AB525:$AE525,MATCH(Tabelle11[[#Headers],[Marius_M]],Spielauswertung!$B525:$E525,0))+AD536)</f>
        <v>124.54012374585781</v>
      </c>
      <c r="AE537" s="1">
        <f>IF(IFERROR(MATCH(Tabelle11[[#Headers],[Marvin_W]],Spielauswertung!$B525:$E525,0),0)=0,AE536,INDEX(Spielauswertung!$AB525:$AE525,MATCH(Tabelle11[[#Headers],[Marvin_W]],Spielauswertung!$B525:$E525,0))+AE536)</f>
        <v>98.799776610790332</v>
      </c>
      <c r="AF537" s="1">
        <f>IF(IFERROR(MATCH(Tabelle11[[#Headers],[Matthias_H]],Spielauswertung!$B525:$E525,0),0)=0,AF536,INDEX(Spielauswertung!$AB525:$AE525,MATCH(Tabelle11[[#Headers],[Matthias_H]],Spielauswertung!$B525:$E525,0))+AF536)</f>
        <v>105.42130178599372</v>
      </c>
      <c r="AG537" s="1">
        <f>IF(IFERROR(MATCH(Tabelle11[[#Headers],[Michael_D]],Spielauswertung!$B525:$E525,0),0)=0,AG536,INDEX(Spielauswertung!$AB525:$AE525,MATCH(Tabelle11[[#Headers],[Michael_D]],Spielauswertung!$B525:$E525,0))+AG536)</f>
        <v>96.646140853845679</v>
      </c>
      <c r="AH537" s="1">
        <f>IF(IFERROR(MATCH(Tabelle11[[#Headers],[Patrick_S]],Spielauswertung!$B525:$E525,0),0)=0,AH536,INDEX(Spielauswertung!$AB525:$AE525,MATCH(Tabelle11[[#Headers],[Patrick_S]],Spielauswertung!$B525:$E525,0))+AH536)</f>
        <v>98.975330692053802</v>
      </c>
      <c r="AI537" s="1">
        <f>IF(IFERROR(MATCH(Tabelle11[[#Headers],[Rano_M]],Spielauswertung!$B525:$E525,0),0)=0,AI536,INDEX(Spielauswertung!$AB525:$AE525,MATCH(Tabelle11[[#Headers],[Rano_M]],Spielauswertung!$B525:$E525,0))+AI536)</f>
        <v>109.38890657420265</v>
      </c>
      <c r="AJ537" s="1">
        <f>IF(IFERROR(MATCH(Tabelle11[[#Headers],[Rene_N]],Spielauswertung!$B525:$E525,0),0)=0,AJ536,INDEX(Spielauswertung!$AB525:$AE525,MATCH(Tabelle11[[#Headers],[Rene_N]],Spielauswertung!$B525:$E525,0))+AJ536)</f>
        <v>101.06482124619033</v>
      </c>
      <c r="AK537" s="1">
        <f>IF(IFERROR(MATCH(Tabelle11[[#Headers],[Rene_P]],Spielauswertung!$B525:$E525,0),0)=0,AK536,INDEX(Spielauswertung!$AB525:$AE525,MATCH(Tabelle11[[#Headers],[Rene_P]],Spielauswertung!$B525:$E525,0))+AK536)</f>
        <v>88.144559936538329</v>
      </c>
      <c r="AL537" s="1">
        <f>IF(IFERROR(MATCH(Tabelle11[[#Headers],[Richard_D]],Spielauswertung!$B525:$E525,0),0)=0,AL536,INDEX(Spielauswertung!$AB525:$AE525,MATCH(Tabelle11[[#Headers],[Richard_D]],Spielauswertung!$B525:$E525,0))+AL536)</f>
        <v>104.7705949275218</v>
      </c>
      <c r="AM537" s="1">
        <f>IF(IFERROR(MATCH(Tabelle11[[#Headers],[Rodrigo_R]],Spielauswertung!$B525:$E525,0),0)=0,AM536,INDEX(Spielauswertung!$AB525:$AE525,MATCH(Tabelle11[[#Headers],[Rodrigo_R]],Spielauswertung!$B525:$E525,0))+AM536)</f>
        <v>116.7028707921346</v>
      </c>
      <c r="AN537" s="1">
        <f>IF(IFERROR(MATCH(Tabelle11[[#Headers],[Sebastian_A]],Spielauswertung!$B525:$E525,0),0)=0,AN536,INDEX(Spielauswertung!$AB525:$AE525,MATCH(Tabelle11[[#Headers],[Sebastian_A]],Spielauswertung!$B525:$E525,0))+AN536)</f>
        <v>102.89457418671324</v>
      </c>
      <c r="AO537" s="1">
        <f>IF(IFERROR(MATCH(Tabelle11[[#Headers],[Sebastian_St]],Spielauswertung!$B525:$E525,0),0)=0,AO536,INDEX(Spielauswertung!$AB525:$AE525,MATCH(Tabelle11[[#Headers],[Sebastian_St]],Spielauswertung!$B525:$E525,0))+AO536)</f>
        <v>97.749574367408982</v>
      </c>
      <c r="AP537" s="1">
        <f>IF(IFERROR(MATCH(Tabelle11[[#Headers],[Simon_U]],Spielauswertung!$B525:$E525,0),0)=0,AP536,INDEX(Spielauswertung!$AB525:$AE525,MATCH(Tabelle11[[#Headers],[Simon_U]],Spielauswertung!$B525:$E525,0))+AP536)</f>
        <v>99.623054841470903</v>
      </c>
      <c r="AQ537" s="1">
        <f>IF(IFERROR(MATCH(Tabelle11[[#Headers],[Steffen_R]],Spielauswertung!$B525:$E525,0),0)=0,AQ536,INDEX(Spielauswertung!$AB525:$AE525,MATCH(Tabelle11[[#Headers],[Steffen_R]],Spielauswertung!$B525:$E525,0))+AQ536)</f>
        <v>93.247497067190949</v>
      </c>
      <c r="AR537" s="1">
        <f>IF(IFERROR(MATCH(Tabelle11[[#Headers],[Tim_R]],Spielauswertung!$B525:$E525,0),0)=0,AR536,INDEX(Spielauswertung!$AB525:$AE525,MATCH(Tabelle11[[#Headers],[Tim_R]],Spielauswertung!$B525:$E525,0))+AR536)</f>
        <v>103.07503787023374</v>
      </c>
      <c r="AS537" s="1">
        <f>IF(IFERROR(MATCH(Tabelle11[[#Headers],[Tobias_S]],Spielauswertung!$B525:$E525,0),0)=0,AS536,INDEX(Spielauswertung!$AB525:$AE525,MATCH(Tabelle11[[#Headers],[Tobias_S]],Spielauswertung!$B525:$E525,0))+AS536)</f>
        <v>98.6003422659997</v>
      </c>
      <c r="AT537" s="1">
        <f>IF(IFERROR(MATCH(Tabelle11[[#Headers],[Tom_R]],Spielauswertung!$B525:$E525,0),0)=0,AT536,INDEX(Spielauswertung!$AB525:$AE525,MATCH(Tabelle11[[#Headers],[Tom_R]],Spielauswertung!$B525:$E525,0))+AT536)</f>
        <v>113.65706124889796</v>
      </c>
      <c r="AU537" s="1">
        <f>IF(IFERROR(MATCH(Tabelle11[[#Headers],[Ton_L]],Spielauswertung!$B525:$E525,0),0)=0,AU536,INDEX(Spielauswertung!$AB525:$AE525,MATCH(Tabelle11[[#Headers],[Ton_L]],Spielauswertung!$B525:$E525,0))+AU536)</f>
        <v>92.683083360025861</v>
      </c>
      <c r="AV537" s="1">
        <f>IF(IFERROR(MATCH(Tabelle11[[#Headers],[Yixin_G]],Spielauswertung!$B525:$E525,0),0)=0,AV536,INDEX(Spielauswertung!$AB525:$AE525,MATCH(Tabelle11[[#Headers],[Yixin_G]],Spielauswertung!$B525:$E525,0))+AV536)</f>
        <v>99.900323214082661</v>
      </c>
      <c r="AW537" s="1">
        <f>IF(IFERROR(MATCH(Tabelle11[[#Headers],[Spalte36]],Spielauswertung!$B525:$E525,0),0)=0,AW536,INDEX(Spielauswertung!$AB525:$AE525,MATCH(Tabelle11[[#Headers],[Spalte36]],Spielauswertung!$B525:$E525,0))+AW536)</f>
        <v>100</v>
      </c>
      <c r="AX537" s="1">
        <f>IF(IFERROR(MATCH(Tabelle11[[#Headers],[Spalte37]],Spielauswertung!$B525:$E525,0),0)=0,AX536,INDEX(Spielauswertung!$AB525:$AE525,MATCH(Tabelle11[[#Headers],[Spalte37]],Spielauswertung!$B525:$E525,0))+AX536)</f>
        <v>100</v>
      </c>
      <c r="AY537" s="1">
        <f>IF(IFERROR(MATCH(Tabelle11[[#Headers],[Spalte38]],Spielauswertung!$B525:$E525,0),0)=0,AY536,INDEX(Spielauswertung!$AB525:$AE525,MATCH(Tabelle11[[#Headers],[Spalte38]],Spielauswertung!$B525:$E525,0))+AY536)</f>
        <v>100</v>
      </c>
      <c r="AZ537" s="1">
        <f>IF(IFERROR(MATCH(Tabelle11[[#Headers],[Spalte39]],Spielauswertung!$B525:$E525,0),0)=0,AZ536,INDEX(Spielauswertung!$AB525:$AE525,MATCH(Tabelle11[[#Headers],[Spalte39]],Spielauswertung!$B525:$E525,0))+AZ536)</f>
        <v>100</v>
      </c>
      <c r="BA537" s="1">
        <f>IF(IFERROR(MATCH(Tabelle11[[#Headers],[Spalte40]],Spielauswertung!$B525:$E525,0),0)=0,BA536,INDEX(Spielauswertung!$AB525:$AE525,MATCH(Tabelle11[[#Headers],[Spalte40]],Spielauswertung!$B525:$E525,0))+BA536)</f>
        <v>100</v>
      </c>
      <c r="BB537" s="1">
        <f>IF(IFERROR(MATCH(Tabelle11[[#Headers],[Spalte41]],Spielauswertung!$B525:$E525,0),0)=0,BB536,INDEX(Spielauswertung!$AB525:$AE525,MATCH(Tabelle11[[#Headers],[Spalte41]],Spielauswertung!$B525:$E525,0))+BB536)</f>
        <v>100</v>
      </c>
      <c r="BC537" s="1">
        <f>IF(IFERROR(MATCH(Tabelle11[[#Headers],[Spalte42]],Spielauswertung!$B525:$E525,0),0)=0,BC536,INDEX(Spielauswertung!$AB525:$AE525,MATCH(Tabelle11[[#Headers],[Spalte42]],Spielauswertung!$B525:$E525,0))+BC536)</f>
        <v>100</v>
      </c>
      <c r="BD537" s="1">
        <f>IF(IFERROR(MATCH(Tabelle11[[#Headers],[Spalte43]],Spielauswertung!$B525:$E525,0),0)=0,BD536,INDEX(Spielauswertung!$AB525:$AE525,MATCH(Tabelle11[[#Headers],[Spalte43]],Spielauswertung!$B525:$E525,0))+BD536)</f>
        <v>100</v>
      </c>
      <c r="BE537" s="1">
        <f>IF(IFERROR(MATCH(Tabelle11[[#Headers],[Spalte44]],Spielauswertung!$B525:$E525,0),0)=0,BE536,INDEX(Spielauswertung!$AB525:$AE525,MATCH(Tabelle11[[#Headers],[Spalte44]],Spielauswertung!$B525:$E525,0))+BE536)</f>
        <v>100</v>
      </c>
      <c r="BF537" s="1">
        <f>IF(IFERROR(MATCH(Tabelle11[[#Headers],[Spalte45]],Spielauswertung!$B525:$E525,0),0)=0,BF536,INDEX(Spielauswertung!$AB525:$AE525,MATCH(Tabelle11[[#Headers],[Spalte45]],Spielauswertung!$B525:$E525,0))+BF536)</f>
        <v>100</v>
      </c>
      <c r="BG537" s="1">
        <f>IF(IFERROR(MATCH(Tabelle11[[#Headers],[Spalte46]],Spielauswertung!$B525:$E525,0),0)=0,BG536,INDEX(Spielauswertung!$AB525:$AE525,MATCH(Tabelle11[[#Headers],[Spalte46]],Spielauswertung!$B525:$E525,0))+BG536)</f>
        <v>100</v>
      </c>
      <c r="BH537" s="1">
        <f>IF(IFERROR(MATCH(Tabelle11[[#Headers],[Spalte47]],Spielauswertung!$B525:$E525,0),0)=0,BH536,INDEX(Spielauswertung!$AB525:$AE525,MATCH(Tabelle11[[#Headers],[Spalte47]],Spielauswertung!$B525:$E525,0))+BH536)</f>
        <v>100</v>
      </c>
    </row>
    <row r="538" spans="1:60" x14ac:dyDescent="0.25">
      <c r="A538">
        <f t="shared" si="9"/>
        <v>525</v>
      </c>
      <c r="B538" s="1">
        <f>IF(IFERROR(MATCH(Tabelle11[[#Headers],[Aleix_V]],Spielauswertung!$B526:$E526,0),0)=0,B537,INDEX(Spielauswertung!$AB526:$AE526,MATCH(Tabelle11[[#Headers],[Aleix_V]],Spielauswertung!$B526:$E526,0))+B537)</f>
        <v>104.13372635609988</v>
      </c>
      <c r="C538" s="1">
        <f>IF(IFERROR(MATCH(Tabelle11[[#Headers],[Andres_H]],Spielauswertung!$B526:$E526,0),0)=0,C537,INDEX(Spielauswertung!$AB526:$AE526,MATCH(Tabelle11[[#Headers],[Andres_H]],Spielauswertung!$B526:$E526,0))+C537)</f>
        <v>95.535732339111306</v>
      </c>
      <c r="D538" s="1">
        <f>IF(IFERROR(MATCH(Tabelle11[[#Headers],[Anton_K]],Spielauswertung!$B526:$E526,0),0)=0,D537,INDEX(Spielauswertung!$AB526:$AE526,MATCH(Tabelle11[[#Headers],[Anton_K]],Spielauswertung!$B526:$E526,0))+D537)</f>
        <v>99.287728777054667</v>
      </c>
      <c r="E538" s="1">
        <f>IF(IFERROR(MATCH(Tabelle11[[#Headers],[Bastian_G]],Spielauswertung!$B526:$E526,0),0)=0,E537,INDEX(Spielauswertung!$AB526:$AE526,MATCH(Tabelle11[[#Headers],[Bastian_G]],Spielauswertung!$B526:$E526,0))+E537)</f>
        <v>117.123478838868</v>
      </c>
      <c r="F538" s="1">
        <f>IF(IFERROR(MATCH(Tabelle11[[#Headers],[Ben_S]],Spielauswertung!$B526:$E526,0),0)=0,F537,INDEX(Spielauswertung!$AB526:$AE526,MATCH(Tabelle11[[#Headers],[Ben_S]],Spielauswertung!$B526:$E526,0))+F537)</f>
        <v>95.932799101521084</v>
      </c>
      <c r="G538" s="1">
        <f>IF(IFERROR(MATCH(Tabelle11[[#Headers],[Benedikt_K]],Spielauswertung!$B526:$E526,0),0)=0,G537,INDEX(Spielauswertung!$AB526:$AE526,MATCH(Tabelle11[[#Headers],[Benedikt_K]],Spielauswertung!$B526:$E526,0))+G537)</f>
        <v>101.20264176422626</v>
      </c>
      <c r="H538" s="1">
        <f>IF(IFERROR(MATCH(Tabelle11[[#Headers],[Benedikt_R]],Spielauswertung!$B526:$E526,0),0)=0,H537,INDEX(Spielauswertung!$AB526:$AE526,MATCH(Tabelle11[[#Headers],[Benedikt_R]],Spielauswertung!$B526:$E526,0))+H537)</f>
        <v>102.6264770510757</v>
      </c>
      <c r="I538" s="1">
        <f>IF(IFERROR(MATCH(Tabelle11[[#Headers],[Carsten_H]],Spielauswertung!$B526:$E526,0),0)=0,I537,INDEX(Spielauswertung!$AB526:$AE526,MATCH(Tabelle11[[#Headers],[Carsten_H]],Spielauswertung!$B526:$E526,0))+I537)</f>
        <v>91.287455601467229</v>
      </c>
      <c r="J538" s="1">
        <f>IF(IFERROR(MATCH(Tabelle11[[#Headers],[Christoph_R]],Spielauswertung!$B526:$E526,0),0)=0,J537,INDEX(Spielauswertung!$AB526:$AE526,MATCH(Tabelle11[[#Headers],[Christoph_R]],Spielauswertung!$B526:$E526,0))+J537)</f>
        <v>109.73261611443155</v>
      </c>
      <c r="K538" s="1">
        <f>IF(IFERROR(MATCH(Tabelle11[[#Headers],[Claudius_J]],Spielauswertung!$B526:$E526,0),0)=0,K537,INDEX(Spielauswertung!$AB526:$AE526,MATCH(Tabelle11[[#Headers],[Claudius_J]],Spielauswertung!$B526:$E526,0))+K537)</f>
        <v>106.16590636000029</v>
      </c>
      <c r="L538" s="1">
        <f>IF(IFERROR(MATCH(Tabelle11[[#Headers],[Daniel_D]],Spielauswertung!$B526:$E526,0),0)=0,L537,INDEX(Spielauswertung!$AB526:$AE526,MATCH(Tabelle11[[#Headers],[Daniel_D]],Spielauswertung!$B526:$E526,0))+L537)</f>
        <v>99.990299180470089</v>
      </c>
      <c r="M538" s="1">
        <f>IF(IFERROR(MATCH(Tabelle11[[#Headers],[David_R]],Spielauswertung!$B526:$E526,0),0)=0,M537,INDEX(Spielauswertung!$AB526:$AE526,MATCH(Tabelle11[[#Headers],[David_R]],Spielauswertung!$B526:$E526,0))+M537)</f>
        <v>96.715943522481638</v>
      </c>
      <c r="N538" s="1">
        <f>IF(IFERROR(MATCH(Tabelle11[[#Headers],[Dennis_P]],Spielauswertung!$B526:$E526,0),0)=0,N537,INDEX(Spielauswertung!$AB526:$AE526,MATCH(Tabelle11[[#Headers],[Dennis_P]],Spielauswertung!$B526:$E526,0))+N537)</f>
        <v>100.04773223105254</v>
      </c>
      <c r="O538" s="1">
        <f>IF(IFERROR(MATCH(Tabelle11[[#Headers],[Dennis_R]],Spielauswertung!$B526:$E526,0),0)=0,O537,INDEX(Spielauswertung!$AB526:$AE526,MATCH(Tabelle11[[#Headers],[Dennis_R]],Spielauswertung!$B526:$E526,0))+O537)</f>
        <v>75.131680864937195</v>
      </c>
      <c r="P538" s="1">
        <f>IF(IFERROR(MATCH(Tabelle11[[#Headers],[Detlef_R]],Spielauswertung!$B526:$E526,0),0)=0,P537,INDEX(Spielauswertung!$AB526:$AE526,MATCH(Tabelle11[[#Headers],[Detlef_R]],Spielauswertung!$B526:$E526,0))+P537)</f>
        <v>87.984671797367014</v>
      </c>
      <c r="Q538" s="1">
        <f>IF(IFERROR(MATCH(Tabelle11[[#Headers],[Dmitrij_M]],Spielauswertung!$B526:$E526,0),0)=0,Q537,INDEX(Spielauswertung!$AB526:$AE526,MATCH(Tabelle11[[#Headers],[Dmitrij_M]],Spielauswertung!$B526:$E526,0))+Q537)</f>
        <v>100.69975721846207</v>
      </c>
      <c r="R538" s="1">
        <f>IF(IFERROR(MATCH(Tabelle11[[#Headers],[Fabian_M]],Spielauswertung!$B526:$E526,0),0)=0,R537,INDEX(Spielauswertung!$AB526:$AE526,MATCH(Tabelle11[[#Headers],[Fabian_M]],Spielauswertung!$B526:$E526,0))+R537)</f>
        <v>95.805387841610738</v>
      </c>
      <c r="S538" s="1">
        <f>IF(IFERROR(MATCH(Tabelle11[[#Headers],[Hannes_S]],Spielauswertung!$B526:$E526,0),0)=0,S537,INDEX(Spielauswertung!$AB526:$AE526,MATCH(Tabelle11[[#Headers],[Hannes_S]],Spielauswertung!$B526:$E526,0))+S537)</f>
        <v>103.90239128811677</v>
      </c>
      <c r="T538" s="1">
        <f>IF(IFERROR(MATCH(Tabelle11[[#Headers],[Jan_B]],Spielauswertung!$B526:$E526,0),0)=0,T537,INDEX(Spielauswertung!$AB526:$AE526,MATCH(Tabelle11[[#Headers],[Jan_B]],Spielauswertung!$B526:$E526,0))+T537)</f>
        <v>100.2794420429173</v>
      </c>
      <c r="U538" s="1">
        <f>IF(IFERROR(MATCH(Tabelle11[[#Headers],[Jan_Hendrik_B]],Spielauswertung!$B526:$E526,0),0)=0,U537,INDEX(Spielauswertung!$AB526:$AE526,MATCH(Tabelle11[[#Headers],[Jan_Hendrik_B]],Spielauswertung!$B526:$E526,0))+U537)</f>
        <v>100.75492416935522</v>
      </c>
      <c r="V538" s="1">
        <f>IF(IFERROR(MATCH(Tabelle11[[#Headers],[Jens_N]],Spielauswertung!$B526:$E526,0),0)=0,V537,INDEX(Spielauswertung!$AB526:$AE526,MATCH(Tabelle11[[#Headers],[Jens_N]],Spielauswertung!$B526:$E526,0))+V537)</f>
        <v>98.772224299304881</v>
      </c>
      <c r="W538" s="1">
        <f>IF(IFERROR(MATCH(Tabelle11[[#Headers],[Johannes_S]],Spielauswertung!$B526:$E526,0),0)=0,W537,INDEX(Spielauswertung!$AB526:$AE526,MATCH(Tabelle11[[#Headers],[Johannes_S]],Spielauswertung!$B526:$E526,0))+W537)</f>
        <v>102.20284750979505</v>
      </c>
      <c r="X538" s="1">
        <f>IF(IFERROR(MATCH(Tabelle11[[#Headers],[Jonathan_F]],Spielauswertung!$B526:$E526,0),0)=0,X537,INDEX(Spielauswertung!$AB526:$AE526,MATCH(Tabelle11[[#Headers],[Jonathan_F]],Spielauswertung!$B526:$E526,0))+X537)</f>
        <v>98.938308797866256</v>
      </c>
      <c r="Y538" s="1">
        <f>IF(IFERROR(MATCH(Tabelle11[[#Headers],[Julius_P]],Spielauswertung!$B526:$E526,0),0)=0,Y537,INDEX(Spielauswertung!$AB526:$AE526,MATCH(Tabelle11[[#Headers],[Julius_P]],Spielauswertung!$B526:$E526,0))+Y537)</f>
        <v>96.540305101873642</v>
      </c>
      <c r="Z538" s="1">
        <f>IF(IFERROR(MATCH(Tabelle11[[#Headers],[Louis_W]],Spielauswertung!$B526:$E526,0),0)=0,Z537,INDEX(Spielauswertung!$AB526:$AE526,MATCH(Tabelle11[[#Headers],[Louis_W]],Spielauswertung!$B526:$E526,0))+Z537)</f>
        <v>87.497452285475362</v>
      </c>
      <c r="AA538" s="1">
        <f>IF(IFERROR(MATCH(Tabelle11[[#Headers],[Lukas_L]],Spielauswertung!$B526:$E526,0),0)=0,AA537,INDEX(Spielauswertung!$AB526:$AE526,MATCH(Tabelle11[[#Headers],[Lukas_L]],Spielauswertung!$B526:$E526,0))+AA537)</f>
        <v>98.447931341404143</v>
      </c>
      <c r="AB538" s="1">
        <f>IF(IFERROR(MATCH(Tabelle11[[#Headers],[Marcin_S]],Spielauswertung!$B526:$E526,0),0)=0,AB537,INDEX(Spielauswertung!$AB526:$AE526,MATCH(Tabelle11[[#Headers],[Marcin_S]],Spielauswertung!$B526:$E526,0))+AB537)</f>
        <v>85.463329105556824</v>
      </c>
      <c r="AC538" s="1">
        <f>IF(IFERROR(MATCH(Tabelle11[[#Headers],[Marco_K]],Spielauswertung!$B526:$E526,0),0)=0,AC537,INDEX(Spielauswertung!$AB526:$AE526,MATCH(Tabelle11[[#Headers],[Marco_K]],Spielauswertung!$B526:$E526,0))+AC537)</f>
        <v>102.12169819441469</v>
      </c>
      <c r="AD538" s="1">
        <f>IF(IFERROR(MATCH(Tabelle11[[#Headers],[Marius_M]],Spielauswertung!$B526:$E526,0),0)=0,AD537,INDEX(Spielauswertung!$AB526:$AE526,MATCH(Tabelle11[[#Headers],[Marius_M]],Spielauswertung!$B526:$E526,0))+AD537)</f>
        <v>124.54012374585781</v>
      </c>
      <c r="AE538" s="1">
        <f>IF(IFERROR(MATCH(Tabelle11[[#Headers],[Marvin_W]],Spielauswertung!$B526:$E526,0),0)=0,AE537,INDEX(Spielauswertung!$AB526:$AE526,MATCH(Tabelle11[[#Headers],[Marvin_W]],Spielauswertung!$B526:$E526,0))+AE537)</f>
        <v>98.799776610790332</v>
      </c>
      <c r="AF538" s="1">
        <f>IF(IFERROR(MATCH(Tabelle11[[#Headers],[Matthias_H]],Spielauswertung!$B526:$E526,0),0)=0,AF537,INDEX(Spielauswertung!$AB526:$AE526,MATCH(Tabelle11[[#Headers],[Matthias_H]],Spielauswertung!$B526:$E526,0))+AF537)</f>
        <v>105.42130178599372</v>
      </c>
      <c r="AG538" s="1">
        <f>IF(IFERROR(MATCH(Tabelle11[[#Headers],[Michael_D]],Spielauswertung!$B526:$E526,0),0)=0,AG537,INDEX(Spielauswertung!$AB526:$AE526,MATCH(Tabelle11[[#Headers],[Michael_D]],Spielauswertung!$B526:$E526,0))+AG537)</f>
        <v>96.436276170375336</v>
      </c>
      <c r="AH538" s="1">
        <f>IF(IFERROR(MATCH(Tabelle11[[#Headers],[Patrick_S]],Spielauswertung!$B526:$E526,0),0)=0,AH537,INDEX(Spielauswertung!$AB526:$AE526,MATCH(Tabelle11[[#Headers],[Patrick_S]],Spielauswertung!$B526:$E526,0))+AH537)</f>
        <v>98.975330692053802</v>
      </c>
      <c r="AI538" s="1">
        <f>IF(IFERROR(MATCH(Tabelle11[[#Headers],[Rano_M]],Spielauswertung!$B526:$E526,0),0)=0,AI537,INDEX(Spielauswertung!$AB526:$AE526,MATCH(Tabelle11[[#Headers],[Rano_M]],Spielauswertung!$B526:$E526,0))+AI537)</f>
        <v>109.38890657420265</v>
      </c>
      <c r="AJ538" s="1">
        <f>IF(IFERROR(MATCH(Tabelle11[[#Headers],[Rene_N]],Spielauswertung!$B526:$E526,0),0)=0,AJ537,INDEX(Spielauswertung!$AB526:$AE526,MATCH(Tabelle11[[#Headers],[Rene_N]],Spielauswertung!$B526:$E526,0))+AJ537)</f>
        <v>101.06482124619033</v>
      </c>
      <c r="AK538" s="1">
        <f>IF(IFERROR(MATCH(Tabelle11[[#Headers],[Rene_P]],Spielauswertung!$B526:$E526,0),0)=0,AK537,INDEX(Spielauswertung!$AB526:$AE526,MATCH(Tabelle11[[#Headers],[Rene_P]],Spielauswertung!$B526:$E526,0))+AK537)</f>
        <v>88.144559936538329</v>
      </c>
      <c r="AL538" s="1">
        <f>IF(IFERROR(MATCH(Tabelle11[[#Headers],[Richard_D]],Spielauswertung!$B526:$E526,0),0)=0,AL537,INDEX(Spielauswertung!$AB526:$AE526,MATCH(Tabelle11[[#Headers],[Richard_D]],Spielauswertung!$B526:$E526,0))+AL537)</f>
        <v>104.7705949275218</v>
      </c>
      <c r="AM538" s="1">
        <f>IF(IFERROR(MATCH(Tabelle11[[#Headers],[Rodrigo_R]],Spielauswertung!$B526:$E526,0),0)=0,AM537,INDEX(Spielauswertung!$AB526:$AE526,MATCH(Tabelle11[[#Headers],[Rodrigo_R]],Spielauswertung!$B526:$E526,0))+AM537)</f>
        <v>116.7028707921346</v>
      </c>
      <c r="AN538" s="1">
        <f>IF(IFERROR(MATCH(Tabelle11[[#Headers],[Sebastian_A]],Spielauswertung!$B526:$E526,0),0)=0,AN537,INDEX(Spielauswertung!$AB526:$AE526,MATCH(Tabelle11[[#Headers],[Sebastian_A]],Spielauswertung!$B526:$E526,0))+AN537)</f>
        <v>102.89457418671324</v>
      </c>
      <c r="AO538" s="1">
        <f>IF(IFERROR(MATCH(Tabelle11[[#Headers],[Sebastian_St]],Spielauswertung!$B526:$E526,0),0)=0,AO537,INDEX(Spielauswertung!$AB526:$AE526,MATCH(Tabelle11[[#Headers],[Sebastian_St]],Spielauswertung!$B526:$E526,0))+AO537)</f>
        <v>97.749574367408982</v>
      </c>
      <c r="AP538" s="1">
        <f>IF(IFERROR(MATCH(Tabelle11[[#Headers],[Simon_U]],Spielauswertung!$B526:$E526,0),0)=0,AP537,INDEX(Spielauswertung!$AB526:$AE526,MATCH(Tabelle11[[#Headers],[Simon_U]],Spielauswertung!$B526:$E526,0))+AP537)</f>
        <v>99.623054841470903</v>
      </c>
      <c r="AQ538" s="1">
        <f>IF(IFERROR(MATCH(Tabelle11[[#Headers],[Steffen_R]],Spielauswertung!$B526:$E526,0),0)=0,AQ537,INDEX(Spielauswertung!$AB526:$AE526,MATCH(Tabelle11[[#Headers],[Steffen_R]],Spielauswertung!$B526:$E526,0))+AQ537)</f>
        <v>93.247497067190949</v>
      </c>
      <c r="AR538" s="1">
        <f>IF(IFERROR(MATCH(Tabelle11[[#Headers],[Tim_R]],Spielauswertung!$B526:$E526,0),0)=0,AR537,INDEX(Spielauswertung!$AB526:$AE526,MATCH(Tabelle11[[#Headers],[Tim_R]],Spielauswertung!$B526:$E526,0))+AR537)</f>
        <v>103.07503787023374</v>
      </c>
      <c r="AS538" s="1">
        <f>IF(IFERROR(MATCH(Tabelle11[[#Headers],[Tobias_S]],Spielauswertung!$B526:$E526,0),0)=0,AS537,INDEX(Spielauswertung!$AB526:$AE526,MATCH(Tabelle11[[#Headers],[Tobias_S]],Spielauswertung!$B526:$E526,0))+AS537)</f>
        <v>98.6003422659997</v>
      </c>
      <c r="AT538" s="1">
        <f>IF(IFERROR(MATCH(Tabelle11[[#Headers],[Tom_R]],Spielauswertung!$B526:$E526,0),0)=0,AT537,INDEX(Spielauswertung!$AB526:$AE526,MATCH(Tabelle11[[#Headers],[Tom_R]],Spielauswertung!$B526:$E526,0))+AT537)</f>
        <v>113.65706124889796</v>
      </c>
      <c r="AU538" s="1">
        <f>IF(IFERROR(MATCH(Tabelle11[[#Headers],[Ton_L]],Spielauswertung!$B526:$E526,0),0)=0,AU537,INDEX(Spielauswertung!$AB526:$AE526,MATCH(Tabelle11[[#Headers],[Ton_L]],Spielauswertung!$B526:$E526,0))+AU537)</f>
        <v>92.683083360025861</v>
      </c>
      <c r="AV538" s="1">
        <f>IF(IFERROR(MATCH(Tabelle11[[#Headers],[Yixin_G]],Spielauswertung!$B526:$E526,0),0)=0,AV537,INDEX(Spielauswertung!$AB526:$AE526,MATCH(Tabelle11[[#Headers],[Yixin_G]],Spielauswertung!$B526:$E526,0))+AV537)</f>
        <v>99.900323214082661</v>
      </c>
      <c r="AW538" s="1">
        <f>IF(IFERROR(MATCH(Tabelle11[[#Headers],[Spalte36]],Spielauswertung!$B526:$E526,0),0)=0,AW537,INDEX(Spielauswertung!$AB526:$AE526,MATCH(Tabelle11[[#Headers],[Spalte36]],Spielauswertung!$B526:$E526,0))+AW537)</f>
        <v>100</v>
      </c>
      <c r="AX538" s="1">
        <f>IF(IFERROR(MATCH(Tabelle11[[#Headers],[Spalte37]],Spielauswertung!$B526:$E526,0),0)=0,AX537,INDEX(Spielauswertung!$AB526:$AE526,MATCH(Tabelle11[[#Headers],[Spalte37]],Spielauswertung!$B526:$E526,0))+AX537)</f>
        <v>100</v>
      </c>
      <c r="AY538" s="1">
        <f>IF(IFERROR(MATCH(Tabelle11[[#Headers],[Spalte38]],Spielauswertung!$B526:$E526,0),0)=0,AY537,INDEX(Spielauswertung!$AB526:$AE526,MATCH(Tabelle11[[#Headers],[Spalte38]],Spielauswertung!$B526:$E526,0))+AY537)</f>
        <v>100</v>
      </c>
      <c r="AZ538" s="1">
        <f>IF(IFERROR(MATCH(Tabelle11[[#Headers],[Spalte39]],Spielauswertung!$B526:$E526,0),0)=0,AZ537,INDEX(Spielauswertung!$AB526:$AE526,MATCH(Tabelle11[[#Headers],[Spalte39]],Spielauswertung!$B526:$E526,0))+AZ537)</f>
        <v>100</v>
      </c>
      <c r="BA538" s="1">
        <f>IF(IFERROR(MATCH(Tabelle11[[#Headers],[Spalte40]],Spielauswertung!$B526:$E526,0),0)=0,BA537,INDEX(Spielauswertung!$AB526:$AE526,MATCH(Tabelle11[[#Headers],[Spalte40]],Spielauswertung!$B526:$E526,0))+BA537)</f>
        <v>100</v>
      </c>
      <c r="BB538" s="1">
        <f>IF(IFERROR(MATCH(Tabelle11[[#Headers],[Spalte41]],Spielauswertung!$B526:$E526,0),0)=0,BB537,INDEX(Spielauswertung!$AB526:$AE526,MATCH(Tabelle11[[#Headers],[Spalte41]],Spielauswertung!$B526:$E526,0))+BB537)</f>
        <v>100</v>
      </c>
      <c r="BC538" s="1">
        <f>IF(IFERROR(MATCH(Tabelle11[[#Headers],[Spalte42]],Spielauswertung!$B526:$E526,0),0)=0,BC537,INDEX(Spielauswertung!$AB526:$AE526,MATCH(Tabelle11[[#Headers],[Spalte42]],Spielauswertung!$B526:$E526,0))+BC537)</f>
        <v>100</v>
      </c>
      <c r="BD538" s="1">
        <f>IF(IFERROR(MATCH(Tabelle11[[#Headers],[Spalte43]],Spielauswertung!$B526:$E526,0),0)=0,BD537,INDEX(Spielauswertung!$AB526:$AE526,MATCH(Tabelle11[[#Headers],[Spalte43]],Spielauswertung!$B526:$E526,0))+BD537)</f>
        <v>100</v>
      </c>
      <c r="BE538" s="1">
        <f>IF(IFERROR(MATCH(Tabelle11[[#Headers],[Spalte44]],Spielauswertung!$B526:$E526,0),0)=0,BE537,INDEX(Spielauswertung!$AB526:$AE526,MATCH(Tabelle11[[#Headers],[Spalte44]],Spielauswertung!$B526:$E526,0))+BE537)</f>
        <v>100</v>
      </c>
      <c r="BF538" s="1">
        <f>IF(IFERROR(MATCH(Tabelle11[[#Headers],[Spalte45]],Spielauswertung!$B526:$E526,0),0)=0,BF537,INDEX(Spielauswertung!$AB526:$AE526,MATCH(Tabelle11[[#Headers],[Spalte45]],Spielauswertung!$B526:$E526,0))+BF537)</f>
        <v>100</v>
      </c>
      <c r="BG538" s="1">
        <f>IF(IFERROR(MATCH(Tabelle11[[#Headers],[Spalte46]],Spielauswertung!$B526:$E526,0),0)=0,BG537,INDEX(Spielauswertung!$AB526:$AE526,MATCH(Tabelle11[[#Headers],[Spalte46]],Spielauswertung!$B526:$E526,0))+BG537)</f>
        <v>100</v>
      </c>
      <c r="BH538" s="1">
        <f>IF(IFERROR(MATCH(Tabelle11[[#Headers],[Spalte47]],Spielauswertung!$B526:$E526,0),0)=0,BH537,INDEX(Spielauswertung!$AB526:$AE526,MATCH(Tabelle11[[#Headers],[Spalte47]],Spielauswertung!$B526:$E526,0))+BH537)</f>
        <v>100</v>
      </c>
    </row>
    <row r="539" spans="1:60" x14ac:dyDescent="0.25">
      <c r="A539">
        <f t="shared" si="9"/>
        <v>526</v>
      </c>
      <c r="B539" s="1">
        <f>IF(IFERROR(MATCH(Tabelle11[[#Headers],[Aleix_V]],Spielauswertung!$B527:$E527,0),0)=0,B538,INDEX(Spielauswertung!$AB527:$AE527,MATCH(Tabelle11[[#Headers],[Aleix_V]],Spielauswertung!$B527:$E527,0))+B538)</f>
        <v>102.56871758847143</v>
      </c>
      <c r="C539" s="1">
        <f>IF(IFERROR(MATCH(Tabelle11[[#Headers],[Andres_H]],Spielauswertung!$B527:$E527,0),0)=0,C538,INDEX(Spielauswertung!$AB527:$AE527,MATCH(Tabelle11[[#Headers],[Andres_H]],Spielauswertung!$B527:$E527,0))+C538)</f>
        <v>95.535732339111306</v>
      </c>
      <c r="D539" s="1">
        <f>IF(IFERROR(MATCH(Tabelle11[[#Headers],[Anton_K]],Spielauswertung!$B527:$E527,0),0)=0,D538,INDEX(Spielauswertung!$AB527:$AE527,MATCH(Tabelle11[[#Headers],[Anton_K]],Spielauswertung!$B527:$E527,0))+D538)</f>
        <v>99.287728777054667</v>
      </c>
      <c r="E539" s="1">
        <f>IF(IFERROR(MATCH(Tabelle11[[#Headers],[Bastian_G]],Spielauswertung!$B527:$E527,0),0)=0,E538,INDEX(Spielauswertung!$AB527:$AE527,MATCH(Tabelle11[[#Headers],[Bastian_G]],Spielauswertung!$B527:$E527,0))+E538)</f>
        <v>117.123478838868</v>
      </c>
      <c r="F539" s="1">
        <f>IF(IFERROR(MATCH(Tabelle11[[#Headers],[Ben_S]],Spielauswertung!$B527:$E527,0),0)=0,F538,INDEX(Spielauswertung!$AB527:$AE527,MATCH(Tabelle11[[#Headers],[Ben_S]],Spielauswertung!$B527:$E527,0))+F538)</f>
        <v>95.932799101521084</v>
      </c>
      <c r="G539" s="1">
        <f>IF(IFERROR(MATCH(Tabelle11[[#Headers],[Benedikt_K]],Spielauswertung!$B527:$E527,0),0)=0,G538,INDEX(Spielauswertung!$AB527:$AE527,MATCH(Tabelle11[[#Headers],[Benedikt_K]],Spielauswertung!$B527:$E527,0))+G538)</f>
        <v>101.20264176422626</v>
      </c>
      <c r="H539" s="1">
        <f>IF(IFERROR(MATCH(Tabelle11[[#Headers],[Benedikt_R]],Spielauswertung!$B527:$E527,0),0)=0,H538,INDEX(Spielauswertung!$AB527:$AE527,MATCH(Tabelle11[[#Headers],[Benedikt_R]],Spielauswertung!$B527:$E527,0))+H538)</f>
        <v>102.6264770510757</v>
      </c>
      <c r="I539" s="1">
        <f>IF(IFERROR(MATCH(Tabelle11[[#Headers],[Carsten_H]],Spielauswertung!$B527:$E527,0),0)=0,I538,INDEX(Spielauswertung!$AB527:$AE527,MATCH(Tabelle11[[#Headers],[Carsten_H]],Spielauswertung!$B527:$E527,0))+I538)</f>
        <v>91.287455601467229</v>
      </c>
      <c r="J539" s="1">
        <f>IF(IFERROR(MATCH(Tabelle11[[#Headers],[Christoph_R]],Spielauswertung!$B527:$E527,0),0)=0,J538,INDEX(Spielauswertung!$AB527:$AE527,MATCH(Tabelle11[[#Headers],[Christoph_R]],Spielauswertung!$B527:$E527,0))+J538)</f>
        <v>109.73261611443155</v>
      </c>
      <c r="K539" s="1">
        <f>IF(IFERROR(MATCH(Tabelle11[[#Headers],[Claudius_J]],Spielauswertung!$B527:$E527,0),0)=0,K538,INDEX(Spielauswertung!$AB527:$AE527,MATCH(Tabelle11[[#Headers],[Claudius_J]],Spielauswertung!$B527:$E527,0))+K538)</f>
        <v>106.16590636000029</v>
      </c>
      <c r="L539" s="1">
        <f>IF(IFERROR(MATCH(Tabelle11[[#Headers],[Daniel_D]],Spielauswertung!$B527:$E527,0),0)=0,L538,INDEX(Spielauswertung!$AB527:$AE527,MATCH(Tabelle11[[#Headers],[Daniel_D]],Spielauswertung!$B527:$E527,0))+L538)</f>
        <v>99.990299180470089</v>
      </c>
      <c r="M539" s="1">
        <f>IF(IFERROR(MATCH(Tabelle11[[#Headers],[David_R]],Spielauswertung!$B527:$E527,0),0)=0,M538,INDEX(Spielauswertung!$AB527:$AE527,MATCH(Tabelle11[[#Headers],[David_R]],Spielauswertung!$B527:$E527,0))+M538)</f>
        <v>96.715943522481638</v>
      </c>
      <c r="N539" s="1">
        <f>IF(IFERROR(MATCH(Tabelle11[[#Headers],[Dennis_P]],Spielauswertung!$B527:$E527,0),0)=0,N538,INDEX(Spielauswertung!$AB527:$AE527,MATCH(Tabelle11[[#Headers],[Dennis_P]],Spielauswertung!$B527:$E527,0))+N538)</f>
        <v>100.04773223105254</v>
      </c>
      <c r="O539" s="1">
        <f>IF(IFERROR(MATCH(Tabelle11[[#Headers],[Dennis_R]],Spielauswertung!$B527:$E527,0),0)=0,O538,INDEX(Spielauswertung!$AB527:$AE527,MATCH(Tabelle11[[#Headers],[Dennis_R]],Spielauswertung!$B527:$E527,0))+O538)</f>
        <v>75.131680864937195</v>
      </c>
      <c r="P539" s="1">
        <f>IF(IFERROR(MATCH(Tabelle11[[#Headers],[Detlef_R]],Spielauswertung!$B527:$E527,0),0)=0,P538,INDEX(Spielauswertung!$AB527:$AE527,MATCH(Tabelle11[[#Headers],[Detlef_R]],Spielauswertung!$B527:$E527,0))+P538)</f>
        <v>87.984671797367014</v>
      </c>
      <c r="Q539" s="1">
        <f>IF(IFERROR(MATCH(Tabelle11[[#Headers],[Dmitrij_M]],Spielauswertung!$B527:$E527,0),0)=0,Q538,INDEX(Spielauswertung!$AB527:$AE527,MATCH(Tabelle11[[#Headers],[Dmitrij_M]],Spielauswertung!$B527:$E527,0))+Q538)</f>
        <v>100.69975721846207</v>
      </c>
      <c r="R539" s="1">
        <f>IF(IFERROR(MATCH(Tabelle11[[#Headers],[Fabian_M]],Spielauswertung!$B527:$E527,0),0)=0,R538,INDEX(Spielauswertung!$AB527:$AE527,MATCH(Tabelle11[[#Headers],[Fabian_M]],Spielauswertung!$B527:$E527,0))+R538)</f>
        <v>95.805387841610738</v>
      </c>
      <c r="S539" s="1">
        <f>IF(IFERROR(MATCH(Tabelle11[[#Headers],[Hannes_S]],Spielauswertung!$B527:$E527,0),0)=0,S538,INDEX(Spielauswertung!$AB527:$AE527,MATCH(Tabelle11[[#Headers],[Hannes_S]],Spielauswertung!$B527:$E527,0))+S538)</f>
        <v>103.90239128811677</v>
      </c>
      <c r="T539" s="1">
        <f>IF(IFERROR(MATCH(Tabelle11[[#Headers],[Jan_B]],Spielauswertung!$B527:$E527,0),0)=0,T538,INDEX(Spielauswertung!$AB527:$AE527,MATCH(Tabelle11[[#Headers],[Jan_B]],Spielauswertung!$B527:$E527,0))+T538)</f>
        <v>100.2794420429173</v>
      </c>
      <c r="U539" s="1">
        <f>IF(IFERROR(MATCH(Tabelle11[[#Headers],[Jan_Hendrik_B]],Spielauswertung!$B527:$E527,0),0)=0,U538,INDEX(Spielauswertung!$AB527:$AE527,MATCH(Tabelle11[[#Headers],[Jan_Hendrik_B]],Spielauswertung!$B527:$E527,0))+U538)</f>
        <v>100.75492416935522</v>
      </c>
      <c r="V539" s="1">
        <f>IF(IFERROR(MATCH(Tabelle11[[#Headers],[Jens_N]],Spielauswertung!$B527:$E527,0),0)=0,V538,INDEX(Spielauswertung!$AB527:$AE527,MATCH(Tabelle11[[#Headers],[Jens_N]],Spielauswertung!$B527:$E527,0))+V538)</f>
        <v>100.34209087119103</v>
      </c>
      <c r="W539" s="1">
        <f>IF(IFERROR(MATCH(Tabelle11[[#Headers],[Johannes_S]],Spielauswertung!$B527:$E527,0),0)=0,W538,INDEX(Spielauswertung!$AB527:$AE527,MATCH(Tabelle11[[#Headers],[Johannes_S]],Spielauswertung!$B527:$E527,0))+W538)</f>
        <v>102.20284750979505</v>
      </c>
      <c r="X539" s="1">
        <f>IF(IFERROR(MATCH(Tabelle11[[#Headers],[Jonathan_F]],Spielauswertung!$B527:$E527,0),0)=0,X538,INDEX(Spielauswertung!$AB527:$AE527,MATCH(Tabelle11[[#Headers],[Jonathan_F]],Spielauswertung!$B527:$E527,0))+X538)</f>
        <v>98.938308797866256</v>
      </c>
      <c r="Y539" s="1">
        <f>IF(IFERROR(MATCH(Tabelle11[[#Headers],[Julius_P]],Spielauswertung!$B527:$E527,0),0)=0,Y538,INDEX(Spielauswertung!$AB527:$AE527,MATCH(Tabelle11[[#Headers],[Julius_P]],Spielauswertung!$B527:$E527,0))+Y538)</f>
        <v>96.540305101873642</v>
      </c>
      <c r="Z539" s="1">
        <f>IF(IFERROR(MATCH(Tabelle11[[#Headers],[Louis_W]],Spielauswertung!$B527:$E527,0),0)=0,Z538,INDEX(Spielauswertung!$AB527:$AE527,MATCH(Tabelle11[[#Headers],[Louis_W]],Spielauswertung!$B527:$E527,0))+Z538)</f>
        <v>87.497452285475362</v>
      </c>
      <c r="AA539" s="1">
        <f>IF(IFERROR(MATCH(Tabelle11[[#Headers],[Lukas_L]],Spielauswertung!$B527:$E527,0),0)=0,AA538,INDEX(Spielauswertung!$AB527:$AE527,MATCH(Tabelle11[[#Headers],[Lukas_L]],Spielauswertung!$B527:$E527,0))+AA538)</f>
        <v>98.447931341404143</v>
      </c>
      <c r="AB539" s="1">
        <f>IF(IFERROR(MATCH(Tabelle11[[#Headers],[Marcin_S]],Spielauswertung!$B527:$E527,0),0)=0,AB538,INDEX(Spielauswertung!$AB527:$AE527,MATCH(Tabelle11[[#Headers],[Marcin_S]],Spielauswertung!$B527:$E527,0))+AB538)</f>
        <v>85.463329105556824</v>
      </c>
      <c r="AC539" s="1">
        <f>IF(IFERROR(MATCH(Tabelle11[[#Headers],[Marco_K]],Spielauswertung!$B527:$E527,0),0)=0,AC538,INDEX(Spielauswertung!$AB527:$AE527,MATCH(Tabelle11[[#Headers],[Marco_K]],Spielauswertung!$B527:$E527,0))+AC538)</f>
        <v>102.12169819441469</v>
      </c>
      <c r="AD539" s="1">
        <f>IF(IFERROR(MATCH(Tabelle11[[#Headers],[Marius_M]],Spielauswertung!$B527:$E527,0),0)=0,AD538,INDEX(Spielauswertung!$AB527:$AE527,MATCH(Tabelle11[[#Headers],[Marius_M]],Spielauswertung!$B527:$E527,0))+AD538)</f>
        <v>124.54012374585781</v>
      </c>
      <c r="AE539" s="1">
        <f>IF(IFERROR(MATCH(Tabelle11[[#Headers],[Marvin_W]],Spielauswertung!$B527:$E527,0),0)=0,AE538,INDEX(Spielauswertung!$AB527:$AE527,MATCH(Tabelle11[[#Headers],[Marvin_W]],Spielauswertung!$B527:$E527,0))+AE538)</f>
        <v>97.31493090281225</v>
      </c>
      <c r="AF539" s="1">
        <f>IF(IFERROR(MATCH(Tabelle11[[#Headers],[Matthias_H]],Spielauswertung!$B527:$E527,0),0)=0,AF538,INDEX(Spielauswertung!$AB527:$AE527,MATCH(Tabelle11[[#Headers],[Matthias_H]],Spielauswertung!$B527:$E527,0))+AF538)</f>
        <v>105.42130178599372</v>
      </c>
      <c r="AG539" s="1">
        <f>IF(IFERROR(MATCH(Tabelle11[[#Headers],[Michael_D]],Spielauswertung!$B527:$E527,0),0)=0,AG538,INDEX(Spielauswertung!$AB527:$AE527,MATCH(Tabelle11[[#Headers],[Michael_D]],Spielauswertung!$B527:$E527,0))+AG538)</f>
        <v>96.436276170375336</v>
      </c>
      <c r="AH539" s="1">
        <f>IF(IFERROR(MATCH(Tabelle11[[#Headers],[Patrick_S]],Spielauswertung!$B527:$E527,0),0)=0,AH538,INDEX(Spielauswertung!$AB527:$AE527,MATCH(Tabelle11[[#Headers],[Patrick_S]],Spielauswertung!$B527:$E527,0))+AH538)</f>
        <v>98.975330692053802</v>
      </c>
      <c r="AI539" s="1">
        <f>IF(IFERROR(MATCH(Tabelle11[[#Headers],[Rano_M]],Spielauswertung!$B527:$E527,0),0)=0,AI538,INDEX(Spielauswertung!$AB527:$AE527,MATCH(Tabelle11[[#Headers],[Rano_M]],Spielauswertung!$B527:$E527,0))+AI538)</f>
        <v>109.38890657420265</v>
      </c>
      <c r="AJ539" s="1">
        <f>IF(IFERROR(MATCH(Tabelle11[[#Headers],[Rene_N]],Spielauswertung!$B527:$E527,0),0)=0,AJ538,INDEX(Spielauswertung!$AB527:$AE527,MATCH(Tabelle11[[#Headers],[Rene_N]],Spielauswertung!$B527:$E527,0))+AJ538)</f>
        <v>101.06482124619033</v>
      </c>
      <c r="AK539" s="1">
        <f>IF(IFERROR(MATCH(Tabelle11[[#Headers],[Rene_P]],Spielauswertung!$B527:$E527,0),0)=0,AK538,INDEX(Spielauswertung!$AB527:$AE527,MATCH(Tabelle11[[#Headers],[Rene_P]],Spielauswertung!$B527:$E527,0))+AK538)</f>
        <v>88.144559936538329</v>
      </c>
      <c r="AL539" s="1">
        <f>IF(IFERROR(MATCH(Tabelle11[[#Headers],[Richard_D]],Spielauswertung!$B527:$E527,0),0)=0,AL538,INDEX(Spielauswertung!$AB527:$AE527,MATCH(Tabelle11[[#Headers],[Richard_D]],Spielauswertung!$B527:$E527,0))+AL538)</f>
        <v>106.25058283124218</v>
      </c>
      <c r="AM539" s="1">
        <f>IF(IFERROR(MATCH(Tabelle11[[#Headers],[Rodrigo_R]],Spielauswertung!$B527:$E527,0),0)=0,AM538,INDEX(Spielauswertung!$AB527:$AE527,MATCH(Tabelle11[[#Headers],[Rodrigo_R]],Spielauswertung!$B527:$E527,0))+AM538)</f>
        <v>116.7028707921346</v>
      </c>
      <c r="AN539" s="1">
        <f>IF(IFERROR(MATCH(Tabelle11[[#Headers],[Sebastian_A]],Spielauswertung!$B527:$E527,0),0)=0,AN538,INDEX(Spielauswertung!$AB527:$AE527,MATCH(Tabelle11[[#Headers],[Sebastian_A]],Spielauswertung!$B527:$E527,0))+AN538)</f>
        <v>102.89457418671324</v>
      </c>
      <c r="AO539" s="1">
        <f>IF(IFERROR(MATCH(Tabelle11[[#Headers],[Sebastian_St]],Spielauswertung!$B527:$E527,0),0)=0,AO538,INDEX(Spielauswertung!$AB527:$AE527,MATCH(Tabelle11[[#Headers],[Sebastian_St]],Spielauswertung!$B527:$E527,0))+AO538)</f>
        <v>97.749574367408982</v>
      </c>
      <c r="AP539" s="1">
        <f>IF(IFERROR(MATCH(Tabelle11[[#Headers],[Simon_U]],Spielauswertung!$B527:$E527,0),0)=0,AP538,INDEX(Spielauswertung!$AB527:$AE527,MATCH(Tabelle11[[#Headers],[Simon_U]],Spielauswertung!$B527:$E527,0))+AP538)</f>
        <v>99.623054841470903</v>
      </c>
      <c r="AQ539" s="1">
        <f>IF(IFERROR(MATCH(Tabelle11[[#Headers],[Steffen_R]],Spielauswertung!$B527:$E527,0),0)=0,AQ538,INDEX(Spielauswertung!$AB527:$AE527,MATCH(Tabelle11[[#Headers],[Steffen_R]],Spielauswertung!$B527:$E527,0))+AQ538)</f>
        <v>93.247497067190949</v>
      </c>
      <c r="AR539" s="1">
        <f>IF(IFERROR(MATCH(Tabelle11[[#Headers],[Tim_R]],Spielauswertung!$B527:$E527,0),0)=0,AR538,INDEX(Spielauswertung!$AB527:$AE527,MATCH(Tabelle11[[#Headers],[Tim_R]],Spielauswertung!$B527:$E527,0))+AR538)</f>
        <v>103.07503787023374</v>
      </c>
      <c r="AS539" s="1">
        <f>IF(IFERROR(MATCH(Tabelle11[[#Headers],[Tobias_S]],Spielauswertung!$B527:$E527,0),0)=0,AS538,INDEX(Spielauswertung!$AB527:$AE527,MATCH(Tabelle11[[#Headers],[Tobias_S]],Spielauswertung!$B527:$E527,0))+AS538)</f>
        <v>98.6003422659997</v>
      </c>
      <c r="AT539" s="1">
        <f>IF(IFERROR(MATCH(Tabelle11[[#Headers],[Tom_R]],Spielauswertung!$B527:$E527,0),0)=0,AT538,INDEX(Spielauswertung!$AB527:$AE527,MATCH(Tabelle11[[#Headers],[Tom_R]],Spielauswertung!$B527:$E527,0))+AT538)</f>
        <v>113.65706124889796</v>
      </c>
      <c r="AU539" s="1">
        <f>IF(IFERROR(MATCH(Tabelle11[[#Headers],[Ton_L]],Spielauswertung!$B527:$E527,0),0)=0,AU538,INDEX(Spielauswertung!$AB527:$AE527,MATCH(Tabelle11[[#Headers],[Ton_L]],Spielauswertung!$B527:$E527,0))+AU538)</f>
        <v>92.683083360025861</v>
      </c>
      <c r="AV539" s="1">
        <f>IF(IFERROR(MATCH(Tabelle11[[#Headers],[Yixin_G]],Spielauswertung!$B527:$E527,0),0)=0,AV538,INDEX(Spielauswertung!$AB527:$AE527,MATCH(Tabelle11[[#Headers],[Yixin_G]],Spielauswertung!$B527:$E527,0))+AV538)</f>
        <v>99.900323214082661</v>
      </c>
      <c r="AW539" s="1">
        <f>IF(IFERROR(MATCH(Tabelle11[[#Headers],[Spalte36]],Spielauswertung!$B527:$E527,0),0)=0,AW538,INDEX(Spielauswertung!$AB527:$AE527,MATCH(Tabelle11[[#Headers],[Spalte36]],Spielauswertung!$B527:$E527,0))+AW538)</f>
        <v>100</v>
      </c>
      <c r="AX539" s="1">
        <f>IF(IFERROR(MATCH(Tabelle11[[#Headers],[Spalte37]],Spielauswertung!$B527:$E527,0),0)=0,AX538,INDEX(Spielauswertung!$AB527:$AE527,MATCH(Tabelle11[[#Headers],[Spalte37]],Spielauswertung!$B527:$E527,0))+AX538)</f>
        <v>100</v>
      </c>
      <c r="AY539" s="1">
        <f>IF(IFERROR(MATCH(Tabelle11[[#Headers],[Spalte38]],Spielauswertung!$B527:$E527,0),0)=0,AY538,INDEX(Spielauswertung!$AB527:$AE527,MATCH(Tabelle11[[#Headers],[Spalte38]],Spielauswertung!$B527:$E527,0))+AY538)</f>
        <v>100</v>
      </c>
      <c r="AZ539" s="1">
        <f>IF(IFERROR(MATCH(Tabelle11[[#Headers],[Spalte39]],Spielauswertung!$B527:$E527,0),0)=0,AZ538,INDEX(Spielauswertung!$AB527:$AE527,MATCH(Tabelle11[[#Headers],[Spalte39]],Spielauswertung!$B527:$E527,0))+AZ538)</f>
        <v>100</v>
      </c>
      <c r="BA539" s="1">
        <f>IF(IFERROR(MATCH(Tabelle11[[#Headers],[Spalte40]],Spielauswertung!$B527:$E527,0),0)=0,BA538,INDEX(Spielauswertung!$AB527:$AE527,MATCH(Tabelle11[[#Headers],[Spalte40]],Spielauswertung!$B527:$E527,0))+BA538)</f>
        <v>100</v>
      </c>
      <c r="BB539" s="1">
        <f>IF(IFERROR(MATCH(Tabelle11[[#Headers],[Spalte41]],Spielauswertung!$B527:$E527,0),0)=0,BB538,INDEX(Spielauswertung!$AB527:$AE527,MATCH(Tabelle11[[#Headers],[Spalte41]],Spielauswertung!$B527:$E527,0))+BB538)</f>
        <v>100</v>
      </c>
      <c r="BC539" s="1">
        <f>IF(IFERROR(MATCH(Tabelle11[[#Headers],[Spalte42]],Spielauswertung!$B527:$E527,0),0)=0,BC538,INDEX(Spielauswertung!$AB527:$AE527,MATCH(Tabelle11[[#Headers],[Spalte42]],Spielauswertung!$B527:$E527,0))+BC538)</f>
        <v>100</v>
      </c>
      <c r="BD539" s="1">
        <f>IF(IFERROR(MATCH(Tabelle11[[#Headers],[Spalte43]],Spielauswertung!$B527:$E527,0),0)=0,BD538,INDEX(Spielauswertung!$AB527:$AE527,MATCH(Tabelle11[[#Headers],[Spalte43]],Spielauswertung!$B527:$E527,0))+BD538)</f>
        <v>100</v>
      </c>
      <c r="BE539" s="1">
        <f>IF(IFERROR(MATCH(Tabelle11[[#Headers],[Spalte44]],Spielauswertung!$B527:$E527,0),0)=0,BE538,INDEX(Spielauswertung!$AB527:$AE527,MATCH(Tabelle11[[#Headers],[Spalte44]],Spielauswertung!$B527:$E527,0))+BE538)</f>
        <v>100</v>
      </c>
      <c r="BF539" s="1">
        <f>IF(IFERROR(MATCH(Tabelle11[[#Headers],[Spalte45]],Spielauswertung!$B527:$E527,0),0)=0,BF538,INDEX(Spielauswertung!$AB527:$AE527,MATCH(Tabelle11[[#Headers],[Spalte45]],Spielauswertung!$B527:$E527,0))+BF538)</f>
        <v>100</v>
      </c>
      <c r="BG539" s="1">
        <f>IF(IFERROR(MATCH(Tabelle11[[#Headers],[Spalte46]],Spielauswertung!$B527:$E527,0),0)=0,BG538,INDEX(Spielauswertung!$AB527:$AE527,MATCH(Tabelle11[[#Headers],[Spalte46]],Spielauswertung!$B527:$E527,0))+BG538)</f>
        <v>100</v>
      </c>
      <c r="BH539" s="1">
        <f>IF(IFERROR(MATCH(Tabelle11[[#Headers],[Spalte47]],Spielauswertung!$B527:$E527,0),0)=0,BH538,INDEX(Spielauswertung!$AB527:$AE527,MATCH(Tabelle11[[#Headers],[Spalte47]],Spielauswertung!$B527:$E527,0))+BH538)</f>
        <v>100</v>
      </c>
    </row>
    <row r="540" spans="1:60" x14ac:dyDescent="0.25">
      <c r="A540">
        <f t="shared" si="9"/>
        <v>527</v>
      </c>
      <c r="B540" s="1">
        <f>IF(IFERROR(MATCH(Tabelle11[[#Headers],[Aleix_V]],Spielauswertung!$B528:$E528,0),0)=0,B539,INDEX(Spielauswertung!$AB528:$AE528,MATCH(Tabelle11[[#Headers],[Aleix_V]],Spielauswertung!$B528:$E528,0))+B539)</f>
        <v>102.47318019444646</v>
      </c>
      <c r="C540" s="1">
        <f>IF(IFERROR(MATCH(Tabelle11[[#Headers],[Andres_H]],Spielauswertung!$B528:$E528,0),0)=0,C539,INDEX(Spielauswertung!$AB528:$AE528,MATCH(Tabelle11[[#Headers],[Andres_H]],Spielauswertung!$B528:$E528,0))+C539)</f>
        <v>95.535732339111306</v>
      </c>
      <c r="D540" s="1">
        <f>IF(IFERROR(MATCH(Tabelle11[[#Headers],[Anton_K]],Spielauswertung!$B528:$E528,0),0)=0,D539,INDEX(Spielauswertung!$AB528:$AE528,MATCH(Tabelle11[[#Headers],[Anton_K]],Spielauswertung!$B528:$E528,0))+D539)</f>
        <v>99.287728777054667</v>
      </c>
      <c r="E540" s="1">
        <f>IF(IFERROR(MATCH(Tabelle11[[#Headers],[Bastian_G]],Spielauswertung!$B528:$E528,0),0)=0,E539,INDEX(Spielauswertung!$AB528:$AE528,MATCH(Tabelle11[[#Headers],[Bastian_G]],Spielauswertung!$B528:$E528,0))+E539)</f>
        <v>117.123478838868</v>
      </c>
      <c r="F540" s="1">
        <f>IF(IFERROR(MATCH(Tabelle11[[#Headers],[Ben_S]],Spielauswertung!$B528:$E528,0),0)=0,F539,INDEX(Spielauswertung!$AB528:$AE528,MATCH(Tabelle11[[#Headers],[Ben_S]],Spielauswertung!$B528:$E528,0))+F539)</f>
        <v>95.932799101521084</v>
      </c>
      <c r="G540" s="1">
        <f>IF(IFERROR(MATCH(Tabelle11[[#Headers],[Benedikt_K]],Spielauswertung!$B528:$E528,0),0)=0,G539,INDEX(Spielauswertung!$AB528:$AE528,MATCH(Tabelle11[[#Headers],[Benedikt_K]],Spielauswertung!$B528:$E528,0))+G539)</f>
        <v>101.20264176422626</v>
      </c>
      <c r="H540" s="1">
        <f>IF(IFERROR(MATCH(Tabelle11[[#Headers],[Benedikt_R]],Spielauswertung!$B528:$E528,0),0)=0,H539,INDEX(Spielauswertung!$AB528:$AE528,MATCH(Tabelle11[[#Headers],[Benedikt_R]],Spielauswertung!$B528:$E528,0))+H539)</f>
        <v>102.6264770510757</v>
      </c>
      <c r="I540" s="1">
        <f>IF(IFERROR(MATCH(Tabelle11[[#Headers],[Carsten_H]],Spielauswertung!$B528:$E528,0),0)=0,I539,INDEX(Spielauswertung!$AB528:$AE528,MATCH(Tabelle11[[#Headers],[Carsten_H]],Spielauswertung!$B528:$E528,0))+I539)</f>
        <v>91.287455601467229</v>
      </c>
      <c r="J540" s="1">
        <f>IF(IFERROR(MATCH(Tabelle11[[#Headers],[Christoph_R]],Spielauswertung!$B528:$E528,0),0)=0,J539,INDEX(Spielauswertung!$AB528:$AE528,MATCH(Tabelle11[[#Headers],[Christoph_R]],Spielauswertung!$B528:$E528,0))+J539)</f>
        <v>109.73261611443155</v>
      </c>
      <c r="K540" s="1">
        <f>IF(IFERROR(MATCH(Tabelle11[[#Headers],[Claudius_J]],Spielauswertung!$B528:$E528,0),0)=0,K539,INDEX(Spielauswertung!$AB528:$AE528,MATCH(Tabelle11[[#Headers],[Claudius_J]],Spielauswertung!$B528:$E528,0))+K539)</f>
        <v>106.16590636000029</v>
      </c>
      <c r="L540" s="1">
        <f>IF(IFERROR(MATCH(Tabelle11[[#Headers],[Daniel_D]],Spielauswertung!$B528:$E528,0),0)=0,L539,INDEX(Spielauswertung!$AB528:$AE528,MATCH(Tabelle11[[#Headers],[Daniel_D]],Spielauswertung!$B528:$E528,0))+L539)</f>
        <v>99.990299180470089</v>
      </c>
      <c r="M540" s="1">
        <f>IF(IFERROR(MATCH(Tabelle11[[#Headers],[David_R]],Spielauswertung!$B528:$E528,0),0)=0,M539,INDEX(Spielauswertung!$AB528:$AE528,MATCH(Tabelle11[[#Headers],[David_R]],Spielauswertung!$B528:$E528,0))+M539)</f>
        <v>96.715943522481638</v>
      </c>
      <c r="N540" s="1">
        <f>IF(IFERROR(MATCH(Tabelle11[[#Headers],[Dennis_P]],Spielauswertung!$B528:$E528,0),0)=0,N539,INDEX(Spielauswertung!$AB528:$AE528,MATCH(Tabelle11[[#Headers],[Dennis_P]],Spielauswertung!$B528:$E528,0))+N539)</f>
        <v>100.04773223105254</v>
      </c>
      <c r="O540" s="1">
        <f>IF(IFERROR(MATCH(Tabelle11[[#Headers],[Dennis_R]],Spielauswertung!$B528:$E528,0),0)=0,O539,INDEX(Spielauswertung!$AB528:$AE528,MATCH(Tabelle11[[#Headers],[Dennis_R]],Spielauswertung!$B528:$E528,0))+O539)</f>
        <v>75.131680864937195</v>
      </c>
      <c r="P540" s="1">
        <f>IF(IFERROR(MATCH(Tabelle11[[#Headers],[Detlef_R]],Spielauswertung!$B528:$E528,0),0)=0,P539,INDEX(Spielauswertung!$AB528:$AE528,MATCH(Tabelle11[[#Headers],[Detlef_R]],Spielauswertung!$B528:$E528,0))+P539)</f>
        <v>87.984671797367014</v>
      </c>
      <c r="Q540" s="1">
        <f>IF(IFERROR(MATCH(Tabelle11[[#Headers],[Dmitrij_M]],Spielauswertung!$B528:$E528,0),0)=0,Q539,INDEX(Spielauswertung!$AB528:$AE528,MATCH(Tabelle11[[#Headers],[Dmitrij_M]],Spielauswertung!$B528:$E528,0))+Q539)</f>
        <v>100.69975721846207</v>
      </c>
      <c r="R540" s="1">
        <f>IF(IFERROR(MATCH(Tabelle11[[#Headers],[Fabian_M]],Spielauswertung!$B528:$E528,0),0)=0,R539,INDEX(Spielauswertung!$AB528:$AE528,MATCH(Tabelle11[[#Headers],[Fabian_M]],Spielauswertung!$B528:$E528,0))+R539)</f>
        <v>95.805387841610738</v>
      </c>
      <c r="S540" s="1">
        <f>IF(IFERROR(MATCH(Tabelle11[[#Headers],[Hannes_S]],Spielauswertung!$B528:$E528,0),0)=0,S539,INDEX(Spielauswertung!$AB528:$AE528,MATCH(Tabelle11[[#Headers],[Hannes_S]],Spielauswertung!$B528:$E528,0))+S539)</f>
        <v>103.90239128811677</v>
      </c>
      <c r="T540" s="1">
        <f>IF(IFERROR(MATCH(Tabelle11[[#Headers],[Jan_B]],Spielauswertung!$B528:$E528,0),0)=0,T539,INDEX(Spielauswertung!$AB528:$AE528,MATCH(Tabelle11[[#Headers],[Jan_B]],Spielauswertung!$B528:$E528,0))+T539)</f>
        <v>100.2794420429173</v>
      </c>
      <c r="U540" s="1">
        <f>IF(IFERROR(MATCH(Tabelle11[[#Headers],[Jan_Hendrik_B]],Spielauswertung!$B528:$E528,0),0)=0,U539,INDEX(Spielauswertung!$AB528:$AE528,MATCH(Tabelle11[[#Headers],[Jan_Hendrik_B]],Spielauswertung!$B528:$E528,0))+U539)</f>
        <v>100.75492416935522</v>
      </c>
      <c r="V540" s="1">
        <f>IF(IFERROR(MATCH(Tabelle11[[#Headers],[Jens_N]],Spielauswertung!$B528:$E528,0),0)=0,V539,INDEX(Spielauswertung!$AB528:$AE528,MATCH(Tabelle11[[#Headers],[Jens_N]],Spielauswertung!$B528:$E528,0))+V539)</f>
        <v>100.43784381573998</v>
      </c>
      <c r="W540" s="1">
        <f>IF(IFERROR(MATCH(Tabelle11[[#Headers],[Johannes_S]],Spielauswertung!$B528:$E528,0),0)=0,W539,INDEX(Spielauswertung!$AB528:$AE528,MATCH(Tabelle11[[#Headers],[Johannes_S]],Spielauswertung!$B528:$E528,0))+W539)</f>
        <v>102.20284750979505</v>
      </c>
      <c r="X540" s="1">
        <f>IF(IFERROR(MATCH(Tabelle11[[#Headers],[Jonathan_F]],Spielauswertung!$B528:$E528,0),0)=0,X539,INDEX(Spielauswertung!$AB528:$AE528,MATCH(Tabelle11[[#Headers],[Jonathan_F]],Spielauswertung!$B528:$E528,0))+X539)</f>
        <v>98.938308797866256</v>
      </c>
      <c r="Y540" s="1">
        <f>IF(IFERROR(MATCH(Tabelle11[[#Headers],[Julius_P]],Spielauswertung!$B528:$E528,0),0)=0,Y539,INDEX(Spielauswertung!$AB528:$AE528,MATCH(Tabelle11[[#Headers],[Julius_P]],Spielauswertung!$B528:$E528,0))+Y539)</f>
        <v>96.540305101873642</v>
      </c>
      <c r="Z540" s="1">
        <f>IF(IFERROR(MATCH(Tabelle11[[#Headers],[Louis_W]],Spielauswertung!$B528:$E528,0),0)=0,Z539,INDEX(Spielauswertung!$AB528:$AE528,MATCH(Tabelle11[[#Headers],[Louis_W]],Spielauswertung!$B528:$E528,0))+Z539)</f>
        <v>87.497452285475362</v>
      </c>
      <c r="AA540" s="1">
        <f>IF(IFERROR(MATCH(Tabelle11[[#Headers],[Lukas_L]],Spielauswertung!$B528:$E528,0),0)=0,AA539,INDEX(Spielauswertung!$AB528:$AE528,MATCH(Tabelle11[[#Headers],[Lukas_L]],Spielauswertung!$B528:$E528,0))+AA539)</f>
        <v>98.447931341404143</v>
      </c>
      <c r="AB540" s="1">
        <f>IF(IFERROR(MATCH(Tabelle11[[#Headers],[Marcin_S]],Spielauswertung!$B528:$E528,0),0)=0,AB539,INDEX(Spielauswertung!$AB528:$AE528,MATCH(Tabelle11[[#Headers],[Marcin_S]],Spielauswertung!$B528:$E528,0))+AB539)</f>
        <v>85.463329105556824</v>
      </c>
      <c r="AC540" s="1">
        <f>IF(IFERROR(MATCH(Tabelle11[[#Headers],[Marco_K]],Spielauswertung!$B528:$E528,0),0)=0,AC539,INDEX(Spielauswertung!$AB528:$AE528,MATCH(Tabelle11[[#Headers],[Marco_K]],Spielauswertung!$B528:$E528,0))+AC539)</f>
        <v>102.12169819441469</v>
      </c>
      <c r="AD540" s="1">
        <f>IF(IFERROR(MATCH(Tabelle11[[#Headers],[Marius_M]],Spielauswertung!$B528:$E528,0),0)=0,AD539,INDEX(Spielauswertung!$AB528:$AE528,MATCH(Tabelle11[[#Headers],[Marius_M]],Spielauswertung!$B528:$E528,0))+AD539)</f>
        <v>124.54012374585781</v>
      </c>
      <c r="AE540" s="1">
        <f>IF(IFERROR(MATCH(Tabelle11[[#Headers],[Marvin_W]],Spielauswertung!$B528:$E528,0),0)=0,AE539,INDEX(Spielauswertung!$AB528:$AE528,MATCH(Tabelle11[[#Headers],[Marvin_W]],Spielauswertung!$B528:$E528,0))+AE539)</f>
        <v>97.224287136206158</v>
      </c>
      <c r="AF540" s="1">
        <f>IF(IFERROR(MATCH(Tabelle11[[#Headers],[Matthias_H]],Spielauswertung!$B528:$E528,0),0)=0,AF539,INDEX(Spielauswertung!$AB528:$AE528,MATCH(Tabelle11[[#Headers],[Matthias_H]],Spielauswertung!$B528:$E528,0))+AF539)</f>
        <v>105.42130178599372</v>
      </c>
      <c r="AG540" s="1">
        <f>IF(IFERROR(MATCH(Tabelle11[[#Headers],[Michael_D]],Spielauswertung!$B528:$E528,0),0)=0,AG539,INDEX(Spielauswertung!$AB528:$AE528,MATCH(Tabelle11[[#Headers],[Michael_D]],Spielauswertung!$B528:$E528,0))+AG539)</f>
        <v>96.436276170375336</v>
      </c>
      <c r="AH540" s="1">
        <f>IF(IFERROR(MATCH(Tabelle11[[#Headers],[Patrick_S]],Spielauswertung!$B528:$E528,0),0)=0,AH539,INDEX(Spielauswertung!$AB528:$AE528,MATCH(Tabelle11[[#Headers],[Patrick_S]],Spielauswertung!$B528:$E528,0))+AH539)</f>
        <v>98.975330692053802</v>
      </c>
      <c r="AI540" s="1">
        <f>IF(IFERROR(MATCH(Tabelle11[[#Headers],[Rano_M]],Spielauswertung!$B528:$E528,0),0)=0,AI539,INDEX(Spielauswertung!$AB528:$AE528,MATCH(Tabelle11[[#Headers],[Rano_M]],Spielauswertung!$B528:$E528,0))+AI539)</f>
        <v>109.38890657420265</v>
      </c>
      <c r="AJ540" s="1">
        <f>IF(IFERROR(MATCH(Tabelle11[[#Headers],[Rene_N]],Spielauswertung!$B528:$E528,0),0)=0,AJ539,INDEX(Spielauswertung!$AB528:$AE528,MATCH(Tabelle11[[#Headers],[Rene_N]],Spielauswertung!$B528:$E528,0))+AJ539)</f>
        <v>101.06482124619033</v>
      </c>
      <c r="AK540" s="1">
        <f>IF(IFERROR(MATCH(Tabelle11[[#Headers],[Rene_P]],Spielauswertung!$B528:$E528,0),0)=0,AK539,INDEX(Spielauswertung!$AB528:$AE528,MATCH(Tabelle11[[#Headers],[Rene_P]],Spielauswertung!$B528:$E528,0))+AK539)</f>
        <v>88.144559936538329</v>
      </c>
      <c r="AL540" s="1">
        <f>IF(IFERROR(MATCH(Tabelle11[[#Headers],[Richard_D]],Spielauswertung!$B528:$E528,0),0)=0,AL539,INDEX(Spielauswertung!$AB528:$AE528,MATCH(Tabelle11[[#Headers],[Richard_D]],Spielauswertung!$B528:$E528,0))+AL539)</f>
        <v>106.3410110473243</v>
      </c>
      <c r="AM540" s="1">
        <f>IF(IFERROR(MATCH(Tabelle11[[#Headers],[Rodrigo_R]],Spielauswertung!$B528:$E528,0),0)=0,AM539,INDEX(Spielauswertung!$AB528:$AE528,MATCH(Tabelle11[[#Headers],[Rodrigo_R]],Spielauswertung!$B528:$E528,0))+AM539)</f>
        <v>116.7028707921346</v>
      </c>
      <c r="AN540" s="1">
        <f>IF(IFERROR(MATCH(Tabelle11[[#Headers],[Sebastian_A]],Spielauswertung!$B528:$E528,0),0)=0,AN539,INDEX(Spielauswertung!$AB528:$AE528,MATCH(Tabelle11[[#Headers],[Sebastian_A]],Spielauswertung!$B528:$E528,0))+AN539)</f>
        <v>102.89457418671324</v>
      </c>
      <c r="AO540" s="1">
        <f>IF(IFERROR(MATCH(Tabelle11[[#Headers],[Sebastian_St]],Spielauswertung!$B528:$E528,0),0)=0,AO539,INDEX(Spielauswertung!$AB528:$AE528,MATCH(Tabelle11[[#Headers],[Sebastian_St]],Spielauswertung!$B528:$E528,0))+AO539)</f>
        <v>97.749574367408982</v>
      </c>
      <c r="AP540" s="1">
        <f>IF(IFERROR(MATCH(Tabelle11[[#Headers],[Simon_U]],Spielauswertung!$B528:$E528,0),0)=0,AP539,INDEX(Spielauswertung!$AB528:$AE528,MATCH(Tabelle11[[#Headers],[Simon_U]],Spielauswertung!$B528:$E528,0))+AP539)</f>
        <v>99.623054841470903</v>
      </c>
      <c r="AQ540" s="1">
        <f>IF(IFERROR(MATCH(Tabelle11[[#Headers],[Steffen_R]],Spielauswertung!$B528:$E528,0),0)=0,AQ539,INDEX(Spielauswertung!$AB528:$AE528,MATCH(Tabelle11[[#Headers],[Steffen_R]],Spielauswertung!$B528:$E528,0))+AQ539)</f>
        <v>93.247497067190949</v>
      </c>
      <c r="AR540" s="1">
        <f>IF(IFERROR(MATCH(Tabelle11[[#Headers],[Tim_R]],Spielauswertung!$B528:$E528,0),0)=0,AR539,INDEX(Spielauswertung!$AB528:$AE528,MATCH(Tabelle11[[#Headers],[Tim_R]],Spielauswertung!$B528:$E528,0))+AR539)</f>
        <v>103.07503787023374</v>
      </c>
      <c r="AS540" s="1">
        <f>IF(IFERROR(MATCH(Tabelle11[[#Headers],[Tobias_S]],Spielauswertung!$B528:$E528,0),0)=0,AS539,INDEX(Spielauswertung!$AB528:$AE528,MATCH(Tabelle11[[#Headers],[Tobias_S]],Spielauswertung!$B528:$E528,0))+AS539)</f>
        <v>98.6003422659997</v>
      </c>
      <c r="AT540" s="1">
        <f>IF(IFERROR(MATCH(Tabelle11[[#Headers],[Tom_R]],Spielauswertung!$B528:$E528,0),0)=0,AT539,INDEX(Spielauswertung!$AB528:$AE528,MATCH(Tabelle11[[#Headers],[Tom_R]],Spielauswertung!$B528:$E528,0))+AT539)</f>
        <v>113.65706124889796</v>
      </c>
      <c r="AU540" s="1">
        <f>IF(IFERROR(MATCH(Tabelle11[[#Headers],[Ton_L]],Spielauswertung!$B528:$E528,0),0)=0,AU539,INDEX(Spielauswertung!$AB528:$AE528,MATCH(Tabelle11[[#Headers],[Ton_L]],Spielauswertung!$B528:$E528,0))+AU539)</f>
        <v>92.683083360025861</v>
      </c>
      <c r="AV540" s="1">
        <f>IF(IFERROR(MATCH(Tabelle11[[#Headers],[Yixin_G]],Spielauswertung!$B528:$E528,0),0)=0,AV539,INDEX(Spielauswertung!$AB528:$AE528,MATCH(Tabelle11[[#Headers],[Yixin_G]],Spielauswertung!$B528:$E528,0))+AV539)</f>
        <v>99.900323214082661</v>
      </c>
      <c r="AW540" s="1">
        <f>IF(IFERROR(MATCH(Tabelle11[[#Headers],[Spalte36]],Spielauswertung!$B528:$E528,0),0)=0,AW539,INDEX(Spielauswertung!$AB528:$AE528,MATCH(Tabelle11[[#Headers],[Spalte36]],Spielauswertung!$B528:$E528,0))+AW539)</f>
        <v>100</v>
      </c>
      <c r="AX540" s="1">
        <f>IF(IFERROR(MATCH(Tabelle11[[#Headers],[Spalte37]],Spielauswertung!$B528:$E528,0),0)=0,AX539,INDEX(Spielauswertung!$AB528:$AE528,MATCH(Tabelle11[[#Headers],[Spalte37]],Spielauswertung!$B528:$E528,0))+AX539)</f>
        <v>100</v>
      </c>
      <c r="AY540" s="1">
        <f>IF(IFERROR(MATCH(Tabelle11[[#Headers],[Spalte38]],Spielauswertung!$B528:$E528,0),0)=0,AY539,INDEX(Spielauswertung!$AB528:$AE528,MATCH(Tabelle11[[#Headers],[Spalte38]],Spielauswertung!$B528:$E528,0))+AY539)</f>
        <v>100</v>
      </c>
      <c r="AZ540" s="1">
        <f>IF(IFERROR(MATCH(Tabelle11[[#Headers],[Spalte39]],Spielauswertung!$B528:$E528,0),0)=0,AZ539,INDEX(Spielauswertung!$AB528:$AE528,MATCH(Tabelle11[[#Headers],[Spalte39]],Spielauswertung!$B528:$E528,0))+AZ539)</f>
        <v>100</v>
      </c>
      <c r="BA540" s="1">
        <f>IF(IFERROR(MATCH(Tabelle11[[#Headers],[Spalte40]],Spielauswertung!$B528:$E528,0),0)=0,BA539,INDEX(Spielauswertung!$AB528:$AE528,MATCH(Tabelle11[[#Headers],[Spalte40]],Spielauswertung!$B528:$E528,0))+BA539)</f>
        <v>100</v>
      </c>
      <c r="BB540" s="1">
        <f>IF(IFERROR(MATCH(Tabelle11[[#Headers],[Spalte41]],Spielauswertung!$B528:$E528,0),0)=0,BB539,INDEX(Spielauswertung!$AB528:$AE528,MATCH(Tabelle11[[#Headers],[Spalte41]],Spielauswertung!$B528:$E528,0))+BB539)</f>
        <v>100</v>
      </c>
      <c r="BC540" s="1">
        <f>IF(IFERROR(MATCH(Tabelle11[[#Headers],[Spalte42]],Spielauswertung!$B528:$E528,0),0)=0,BC539,INDEX(Spielauswertung!$AB528:$AE528,MATCH(Tabelle11[[#Headers],[Spalte42]],Spielauswertung!$B528:$E528,0))+BC539)</f>
        <v>100</v>
      </c>
      <c r="BD540" s="1">
        <f>IF(IFERROR(MATCH(Tabelle11[[#Headers],[Spalte43]],Spielauswertung!$B528:$E528,0),0)=0,BD539,INDEX(Spielauswertung!$AB528:$AE528,MATCH(Tabelle11[[#Headers],[Spalte43]],Spielauswertung!$B528:$E528,0))+BD539)</f>
        <v>100</v>
      </c>
      <c r="BE540" s="1">
        <f>IF(IFERROR(MATCH(Tabelle11[[#Headers],[Spalte44]],Spielauswertung!$B528:$E528,0),0)=0,BE539,INDEX(Spielauswertung!$AB528:$AE528,MATCH(Tabelle11[[#Headers],[Spalte44]],Spielauswertung!$B528:$E528,0))+BE539)</f>
        <v>100</v>
      </c>
      <c r="BF540" s="1">
        <f>IF(IFERROR(MATCH(Tabelle11[[#Headers],[Spalte45]],Spielauswertung!$B528:$E528,0),0)=0,BF539,INDEX(Spielauswertung!$AB528:$AE528,MATCH(Tabelle11[[#Headers],[Spalte45]],Spielauswertung!$B528:$E528,0))+BF539)</f>
        <v>100</v>
      </c>
      <c r="BG540" s="1">
        <f>IF(IFERROR(MATCH(Tabelle11[[#Headers],[Spalte46]],Spielauswertung!$B528:$E528,0),0)=0,BG539,INDEX(Spielauswertung!$AB528:$AE528,MATCH(Tabelle11[[#Headers],[Spalte46]],Spielauswertung!$B528:$E528,0))+BG539)</f>
        <v>100</v>
      </c>
      <c r="BH540" s="1">
        <f>IF(IFERROR(MATCH(Tabelle11[[#Headers],[Spalte47]],Spielauswertung!$B528:$E528,0),0)=0,BH539,INDEX(Spielauswertung!$AB528:$AE528,MATCH(Tabelle11[[#Headers],[Spalte47]],Spielauswertung!$B528:$E528,0))+BH539)</f>
        <v>100</v>
      </c>
    </row>
    <row r="541" spans="1:60" x14ac:dyDescent="0.25">
      <c r="A541">
        <f t="shared" si="9"/>
        <v>528</v>
      </c>
      <c r="B541" s="1">
        <f>IF(IFERROR(MATCH(Tabelle11[[#Headers],[Aleix_V]],Spielauswertung!$B529:$E529,0),0)=0,B540,INDEX(Spielauswertung!$AB529:$AE529,MATCH(Tabelle11[[#Headers],[Aleix_V]],Spielauswertung!$B529:$E529,0))+B540)</f>
        <v>102.47318019444646</v>
      </c>
      <c r="C541" s="1">
        <f>IF(IFERROR(MATCH(Tabelle11[[#Headers],[Andres_H]],Spielauswertung!$B529:$E529,0),0)=0,C540,INDEX(Spielauswertung!$AB529:$AE529,MATCH(Tabelle11[[#Headers],[Andres_H]],Spielauswertung!$B529:$E529,0))+C540)</f>
        <v>95.535732339111306</v>
      </c>
      <c r="D541" s="1">
        <f>IF(IFERROR(MATCH(Tabelle11[[#Headers],[Anton_K]],Spielauswertung!$B529:$E529,0),0)=0,D540,INDEX(Spielauswertung!$AB529:$AE529,MATCH(Tabelle11[[#Headers],[Anton_K]],Spielauswertung!$B529:$E529,0))+D540)</f>
        <v>99.287728777054667</v>
      </c>
      <c r="E541" s="1">
        <f>IF(IFERROR(MATCH(Tabelle11[[#Headers],[Bastian_G]],Spielauswertung!$B529:$E529,0),0)=0,E540,INDEX(Spielauswertung!$AB529:$AE529,MATCH(Tabelle11[[#Headers],[Bastian_G]],Spielauswertung!$B529:$E529,0))+E540)</f>
        <v>117.123478838868</v>
      </c>
      <c r="F541" s="1">
        <f>IF(IFERROR(MATCH(Tabelle11[[#Headers],[Ben_S]],Spielauswertung!$B529:$E529,0),0)=0,F540,INDEX(Spielauswertung!$AB529:$AE529,MATCH(Tabelle11[[#Headers],[Ben_S]],Spielauswertung!$B529:$E529,0))+F540)</f>
        <v>95.932799101521084</v>
      </c>
      <c r="G541" s="1">
        <f>IF(IFERROR(MATCH(Tabelle11[[#Headers],[Benedikt_K]],Spielauswertung!$B529:$E529,0),0)=0,G540,INDEX(Spielauswertung!$AB529:$AE529,MATCH(Tabelle11[[#Headers],[Benedikt_K]],Spielauswertung!$B529:$E529,0))+G540)</f>
        <v>101.20264176422626</v>
      </c>
      <c r="H541" s="1">
        <f>IF(IFERROR(MATCH(Tabelle11[[#Headers],[Benedikt_R]],Spielauswertung!$B529:$E529,0),0)=0,H540,INDEX(Spielauswertung!$AB529:$AE529,MATCH(Tabelle11[[#Headers],[Benedikt_R]],Spielauswertung!$B529:$E529,0))+H540)</f>
        <v>102.6264770510757</v>
      </c>
      <c r="I541" s="1">
        <f>IF(IFERROR(MATCH(Tabelle11[[#Headers],[Carsten_H]],Spielauswertung!$B529:$E529,0),0)=0,I540,INDEX(Spielauswertung!$AB529:$AE529,MATCH(Tabelle11[[#Headers],[Carsten_H]],Spielauswertung!$B529:$E529,0))+I540)</f>
        <v>91.287455601467229</v>
      </c>
      <c r="J541" s="1">
        <f>IF(IFERROR(MATCH(Tabelle11[[#Headers],[Christoph_R]],Spielauswertung!$B529:$E529,0),0)=0,J540,INDEX(Spielauswertung!$AB529:$AE529,MATCH(Tabelle11[[#Headers],[Christoph_R]],Spielauswertung!$B529:$E529,0))+J540)</f>
        <v>109.73261611443155</v>
      </c>
      <c r="K541" s="1">
        <f>IF(IFERROR(MATCH(Tabelle11[[#Headers],[Claudius_J]],Spielauswertung!$B529:$E529,0),0)=0,K540,INDEX(Spielauswertung!$AB529:$AE529,MATCH(Tabelle11[[#Headers],[Claudius_J]],Spielauswertung!$B529:$E529,0))+K540)</f>
        <v>106.16590636000029</v>
      </c>
      <c r="L541" s="1">
        <f>IF(IFERROR(MATCH(Tabelle11[[#Headers],[Daniel_D]],Spielauswertung!$B529:$E529,0),0)=0,L540,INDEX(Spielauswertung!$AB529:$AE529,MATCH(Tabelle11[[#Headers],[Daniel_D]],Spielauswertung!$B529:$E529,0))+L540)</f>
        <v>99.990299180470089</v>
      </c>
      <c r="M541" s="1">
        <f>IF(IFERROR(MATCH(Tabelle11[[#Headers],[David_R]],Spielauswertung!$B529:$E529,0),0)=0,M540,INDEX(Spielauswertung!$AB529:$AE529,MATCH(Tabelle11[[#Headers],[David_R]],Spielauswertung!$B529:$E529,0))+M540)</f>
        <v>96.715943522481638</v>
      </c>
      <c r="N541" s="1">
        <f>IF(IFERROR(MATCH(Tabelle11[[#Headers],[Dennis_P]],Spielauswertung!$B529:$E529,0),0)=0,N540,INDEX(Spielauswertung!$AB529:$AE529,MATCH(Tabelle11[[#Headers],[Dennis_P]],Spielauswertung!$B529:$E529,0))+N540)</f>
        <v>100.04773223105254</v>
      </c>
      <c r="O541" s="1">
        <f>IF(IFERROR(MATCH(Tabelle11[[#Headers],[Dennis_R]],Spielauswertung!$B529:$E529,0),0)=0,O540,INDEX(Spielauswertung!$AB529:$AE529,MATCH(Tabelle11[[#Headers],[Dennis_R]],Spielauswertung!$B529:$E529,0))+O540)</f>
        <v>75.131680864937195</v>
      </c>
      <c r="P541" s="1">
        <f>IF(IFERROR(MATCH(Tabelle11[[#Headers],[Detlef_R]],Spielauswertung!$B529:$E529,0),0)=0,P540,INDEX(Spielauswertung!$AB529:$AE529,MATCH(Tabelle11[[#Headers],[Detlef_R]],Spielauswertung!$B529:$E529,0))+P540)</f>
        <v>87.984671797367014</v>
      </c>
      <c r="Q541" s="1">
        <f>IF(IFERROR(MATCH(Tabelle11[[#Headers],[Dmitrij_M]],Spielauswertung!$B529:$E529,0),0)=0,Q540,INDEX(Spielauswertung!$AB529:$AE529,MATCH(Tabelle11[[#Headers],[Dmitrij_M]],Spielauswertung!$B529:$E529,0))+Q540)</f>
        <v>100.69975721846207</v>
      </c>
      <c r="R541" s="1">
        <f>IF(IFERROR(MATCH(Tabelle11[[#Headers],[Fabian_M]],Spielauswertung!$B529:$E529,0),0)=0,R540,INDEX(Spielauswertung!$AB529:$AE529,MATCH(Tabelle11[[#Headers],[Fabian_M]],Spielauswertung!$B529:$E529,0))+R540)</f>
        <v>95.805387841610738</v>
      </c>
      <c r="S541" s="1">
        <f>IF(IFERROR(MATCH(Tabelle11[[#Headers],[Hannes_S]],Spielauswertung!$B529:$E529,0),0)=0,S540,INDEX(Spielauswertung!$AB529:$AE529,MATCH(Tabelle11[[#Headers],[Hannes_S]],Spielauswertung!$B529:$E529,0))+S540)</f>
        <v>103.38954056764966</v>
      </c>
      <c r="T541" s="1">
        <f>IF(IFERROR(MATCH(Tabelle11[[#Headers],[Jan_B]],Spielauswertung!$B529:$E529,0),0)=0,T540,INDEX(Spielauswertung!$AB529:$AE529,MATCH(Tabelle11[[#Headers],[Jan_B]],Spielauswertung!$B529:$E529,0))+T540)</f>
        <v>100.2794420429173</v>
      </c>
      <c r="U541" s="1">
        <f>IF(IFERROR(MATCH(Tabelle11[[#Headers],[Jan_Hendrik_B]],Spielauswertung!$B529:$E529,0),0)=0,U540,INDEX(Spielauswertung!$AB529:$AE529,MATCH(Tabelle11[[#Headers],[Jan_Hendrik_B]],Spielauswertung!$B529:$E529,0))+U540)</f>
        <v>100.75492416935522</v>
      </c>
      <c r="V541" s="1">
        <f>IF(IFERROR(MATCH(Tabelle11[[#Headers],[Jens_N]],Spielauswertung!$B529:$E529,0),0)=0,V540,INDEX(Spielauswertung!$AB529:$AE529,MATCH(Tabelle11[[#Headers],[Jens_N]],Spielauswertung!$B529:$E529,0))+V540)</f>
        <v>100.98875031189507</v>
      </c>
      <c r="W541" s="1">
        <f>IF(IFERROR(MATCH(Tabelle11[[#Headers],[Johannes_S]],Spielauswertung!$B529:$E529,0),0)=0,W540,INDEX(Spielauswertung!$AB529:$AE529,MATCH(Tabelle11[[#Headers],[Johannes_S]],Spielauswertung!$B529:$E529,0))+W540)</f>
        <v>102.20284750979505</v>
      </c>
      <c r="X541" s="1">
        <f>IF(IFERROR(MATCH(Tabelle11[[#Headers],[Jonathan_F]],Spielauswertung!$B529:$E529,0),0)=0,X540,INDEX(Spielauswertung!$AB529:$AE529,MATCH(Tabelle11[[#Headers],[Jonathan_F]],Spielauswertung!$B529:$E529,0))+X540)</f>
        <v>98.938308797866256</v>
      </c>
      <c r="Y541" s="1">
        <f>IF(IFERROR(MATCH(Tabelle11[[#Headers],[Julius_P]],Spielauswertung!$B529:$E529,0),0)=0,Y540,INDEX(Spielauswertung!$AB529:$AE529,MATCH(Tabelle11[[#Headers],[Julius_P]],Spielauswertung!$B529:$E529,0))+Y540)</f>
        <v>96.540305101873642</v>
      </c>
      <c r="Z541" s="1">
        <f>IF(IFERROR(MATCH(Tabelle11[[#Headers],[Louis_W]],Spielauswertung!$B529:$E529,0),0)=0,Z540,INDEX(Spielauswertung!$AB529:$AE529,MATCH(Tabelle11[[#Headers],[Louis_W]],Spielauswertung!$B529:$E529,0))+Z540)</f>
        <v>87.497452285475362</v>
      </c>
      <c r="AA541" s="1">
        <f>IF(IFERROR(MATCH(Tabelle11[[#Headers],[Lukas_L]],Spielauswertung!$B529:$E529,0),0)=0,AA540,INDEX(Spielauswertung!$AB529:$AE529,MATCH(Tabelle11[[#Headers],[Lukas_L]],Spielauswertung!$B529:$E529,0))+AA540)</f>
        <v>98.447931341404143</v>
      </c>
      <c r="AB541" s="1">
        <f>IF(IFERROR(MATCH(Tabelle11[[#Headers],[Marcin_S]],Spielauswertung!$B529:$E529,0),0)=0,AB540,INDEX(Spielauswertung!$AB529:$AE529,MATCH(Tabelle11[[#Headers],[Marcin_S]],Spielauswertung!$B529:$E529,0))+AB540)</f>
        <v>85.463329105556824</v>
      </c>
      <c r="AC541" s="1">
        <f>IF(IFERROR(MATCH(Tabelle11[[#Headers],[Marco_K]],Spielauswertung!$B529:$E529,0),0)=0,AC540,INDEX(Spielauswertung!$AB529:$AE529,MATCH(Tabelle11[[#Headers],[Marco_K]],Spielauswertung!$B529:$E529,0))+AC540)</f>
        <v>102.12169819441469</v>
      </c>
      <c r="AD541" s="1">
        <f>IF(IFERROR(MATCH(Tabelle11[[#Headers],[Marius_M]],Spielauswertung!$B529:$E529,0),0)=0,AD540,INDEX(Spielauswertung!$AB529:$AE529,MATCH(Tabelle11[[#Headers],[Marius_M]],Spielauswertung!$B529:$E529,0))+AD540)</f>
        <v>124.54012374585781</v>
      </c>
      <c r="AE541" s="1">
        <f>IF(IFERROR(MATCH(Tabelle11[[#Headers],[Marvin_W]],Spielauswertung!$B529:$E529,0),0)=0,AE540,INDEX(Spielauswertung!$AB529:$AE529,MATCH(Tabelle11[[#Headers],[Marvin_W]],Spielauswertung!$B529:$E529,0))+AE540)</f>
        <v>97.224287136206158</v>
      </c>
      <c r="AF541" s="1">
        <f>IF(IFERROR(MATCH(Tabelle11[[#Headers],[Matthias_H]],Spielauswertung!$B529:$E529,0),0)=0,AF540,INDEX(Spielauswertung!$AB529:$AE529,MATCH(Tabelle11[[#Headers],[Matthias_H]],Spielauswertung!$B529:$E529,0))+AF540)</f>
        <v>105.42130178599372</v>
      </c>
      <c r="AG541" s="1">
        <f>IF(IFERROR(MATCH(Tabelle11[[#Headers],[Michael_D]],Spielauswertung!$B529:$E529,0),0)=0,AG540,INDEX(Spielauswertung!$AB529:$AE529,MATCH(Tabelle11[[#Headers],[Michael_D]],Spielauswertung!$B529:$E529,0))+AG540)</f>
        <v>96.436276170375336</v>
      </c>
      <c r="AH541" s="1">
        <f>IF(IFERROR(MATCH(Tabelle11[[#Headers],[Patrick_S]],Spielauswertung!$B529:$E529,0),0)=0,AH540,INDEX(Spielauswertung!$AB529:$AE529,MATCH(Tabelle11[[#Headers],[Patrick_S]],Spielauswertung!$B529:$E529,0))+AH540)</f>
        <v>98.975330692053802</v>
      </c>
      <c r="AI541" s="1">
        <f>IF(IFERROR(MATCH(Tabelle11[[#Headers],[Rano_M]],Spielauswertung!$B529:$E529,0),0)=0,AI540,INDEX(Spielauswertung!$AB529:$AE529,MATCH(Tabelle11[[#Headers],[Rano_M]],Spielauswertung!$B529:$E529,0))+AI540)</f>
        <v>109.38890657420265</v>
      </c>
      <c r="AJ541" s="1">
        <f>IF(IFERROR(MATCH(Tabelle11[[#Headers],[Rene_N]],Spielauswertung!$B529:$E529,0),0)=0,AJ540,INDEX(Spielauswertung!$AB529:$AE529,MATCH(Tabelle11[[#Headers],[Rene_N]],Spielauswertung!$B529:$E529,0))+AJ540)</f>
        <v>101.06482124619033</v>
      </c>
      <c r="AK541" s="1">
        <f>IF(IFERROR(MATCH(Tabelle11[[#Headers],[Rene_P]],Spielauswertung!$B529:$E529,0),0)=0,AK540,INDEX(Spielauswertung!$AB529:$AE529,MATCH(Tabelle11[[#Headers],[Rene_P]],Spielauswertung!$B529:$E529,0))+AK540)</f>
        <v>88.144559936538329</v>
      </c>
      <c r="AL541" s="1">
        <f>IF(IFERROR(MATCH(Tabelle11[[#Headers],[Richard_D]],Spielauswertung!$B529:$E529,0),0)=0,AL540,INDEX(Spielauswertung!$AB529:$AE529,MATCH(Tabelle11[[#Headers],[Richard_D]],Spielauswertung!$B529:$E529,0))+AL540)</f>
        <v>105.81612356923351</v>
      </c>
      <c r="AM541" s="1">
        <f>IF(IFERROR(MATCH(Tabelle11[[#Headers],[Rodrigo_R]],Spielauswertung!$B529:$E529,0),0)=0,AM540,INDEX(Spielauswertung!$AB529:$AE529,MATCH(Tabelle11[[#Headers],[Rodrigo_R]],Spielauswertung!$B529:$E529,0))+AM540)</f>
        <v>116.7028707921346</v>
      </c>
      <c r="AN541" s="1">
        <f>IF(IFERROR(MATCH(Tabelle11[[#Headers],[Sebastian_A]],Spielauswertung!$B529:$E529,0),0)=0,AN540,INDEX(Spielauswertung!$AB529:$AE529,MATCH(Tabelle11[[#Headers],[Sebastian_A]],Spielauswertung!$B529:$E529,0))+AN540)</f>
        <v>102.89457418671324</v>
      </c>
      <c r="AO541" s="1">
        <f>IF(IFERROR(MATCH(Tabelle11[[#Headers],[Sebastian_St]],Spielauswertung!$B529:$E529,0),0)=0,AO540,INDEX(Spielauswertung!$AB529:$AE529,MATCH(Tabelle11[[#Headers],[Sebastian_St]],Spielauswertung!$B529:$E529,0))+AO540)</f>
        <v>97.749574367408982</v>
      </c>
      <c r="AP541" s="1">
        <f>IF(IFERROR(MATCH(Tabelle11[[#Headers],[Simon_U]],Spielauswertung!$B529:$E529,0),0)=0,AP540,INDEX(Spielauswertung!$AB529:$AE529,MATCH(Tabelle11[[#Headers],[Simon_U]],Spielauswertung!$B529:$E529,0))+AP540)</f>
        <v>99.623054841470903</v>
      </c>
      <c r="AQ541" s="1">
        <f>IF(IFERROR(MATCH(Tabelle11[[#Headers],[Steffen_R]],Spielauswertung!$B529:$E529,0),0)=0,AQ540,INDEX(Spielauswertung!$AB529:$AE529,MATCH(Tabelle11[[#Headers],[Steffen_R]],Spielauswertung!$B529:$E529,0))+AQ540)</f>
        <v>93.247497067190949</v>
      </c>
      <c r="AR541" s="1">
        <f>IF(IFERROR(MATCH(Tabelle11[[#Headers],[Tim_R]],Spielauswertung!$B529:$E529,0),0)=0,AR540,INDEX(Spielauswertung!$AB529:$AE529,MATCH(Tabelle11[[#Headers],[Tim_R]],Spielauswertung!$B529:$E529,0))+AR540)</f>
        <v>103.07503787023374</v>
      </c>
      <c r="AS541" s="1">
        <f>IF(IFERROR(MATCH(Tabelle11[[#Headers],[Tobias_S]],Spielauswertung!$B529:$E529,0),0)=0,AS540,INDEX(Spielauswertung!$AB529:$AE529,MATCH(Tabelle11[[#Headers],[Tobias_S]],Spielauswertung!$B529:$E529,0))+AS540)</f>
        <v>98.6003422659997</v>
      </c>
      <c r="AT541" s="1">
        <f>IF(IFERROR(MATCH(Tabelle11[[#Headers],[Tom_R]],Spielauswertung!$B529:$E529,0),0)=0,AT540,INDEX(Spielauswertung!$AB529:$AE529,MATCH(Tabelle11[[#Headers],[Tom_R]],Spielauswertung!$B529:$E529,0))+AT540)</f>
        <v>114.14389295130077</v>
      </c>
      <c r="AU541" s="1">
        <f>IF(IFERROR(MATCH(Tabelle11[[#Headers],[Ton_L]],Spielauswertung!$B529:$E529,0),0)=0,AU540,INDEX(Spielauswertung!$AB529:$AE529,MATCH(Tabelle11[[#Headers],[Ton_L]],Spielauswertung!$B529:$E529,0))+AU540)</f>
        <v>92.683083360025861</v>
      </c>
      <c r="AV541" s="1">
        <f>IF(IFERROR(MATCH(Tabelle11[[#Headers],[Yixin_G]],Spielauswertung!$B529:$E529,0),0)=0,AV540,INDEX(Spielauswertung!$AB529:$AE529,MATCH(Tabelle11[[#Headers],[Yixin_G]],Spielauswertung!$B529:$E529,0))+AV540)</f>
        <v>99.900323214082661</v>
      </c>
      <c r="AW541" s="1">
        <f>IF(IFERROR(MATCH(Tabelle11[[#Headers],[Spalte36]],Spielauswertung!$B529:$E529,0),0)=0,AW540,INDEX(Spielauswertung!$AB529:$AE529,MATCH(Tabelle11[[#Headers],[Spalte36]],Spielauswertung!$B529:$E529,0))+AW540)</f>
        <v>100</v>
      </c>
      <c r="AX541" s="1">
        <f>IF(IFERROR(MATCH(Tabelle11[[#Headers],[Spalte37]],Spielauswertung!$B529:$E529,0),0)=0,AX540,INDEX(Spielauswertung!$AB529:$AE529,MATCH(Tabelle11[[#Headers],[Spalte37]],Spielauswertung!$B529:$E529,0))+AX540)</f>
        <v>100</v>
      </c>
      <c r="AY541" s="1">
        <f>IF(IFERROR(MATCH(Tabelle11[[#Headers],[Spalte38]],Spielauswertung!$B529:$E529,0),0)=0,AY540,INDEX(Spielauswertung!$AB529:$AE529,MATCH(Tabelle11[[#Headers],[Spalte38]],Spielauswertung!$B529:$E529,0))+AY540)</f>
        <v>100</v>
      </c>
      <c r="AZ541" s="1">
        <f>IF(IFERROR(MATCH(Tabelle11[[#Headers],[Spalte39]],Spielauswertung!$B529:$E529,0),0)=0,AZ540,INDEX(Spielauswertung!$AB529:$AE529,MATCH(Tabelle11[[#Headers],[Spalte39]],Spielauswertung!$B529:$E529,0))+AZ540)</f>
        <v>100</v>
      </c>
      <c r="BA541" s="1">
        <f>IF(IFERROR(MATCH(Tabelle11[[#Headers],[Spalte40]],Spielauswertung!$B529:$E529,0),0)=0,BA540,INDEX(Spielauswertung!$AB529:$AE529,MATCH(Tabelle11[[#Headers],[Spalte40]],Spielauswertung!$B529:$E529,0))+BA540)</f>
        <v>100</v>
      </c>
      <c r="BB541" s="1">
        <f>IF(IFERROR(MATCH(Tabelle11[[#Headers],[Spalte41]],Spielauswertung!$B529:$E529,0),0)=0,BB540,INDEX(Spielauswertung!$AB529:$AE529,MATCH(Tabelle11[[#Headers],[Spalte41]],Spielauswertung!$B529:$E529,0))+BB540)</f>
        <v>100</v>
      </c>
      <c r="BC541" s="1">
        <f>IF(IFERROR(MATCH(Tabelle11[[#Headers],[Spalte42]],Spielauswertung!$B529:$E529,0),0)=0,BC540,INDEX(Spielauswertung!$AB529:$AE529,MATCH(Tabelle11[[#Headers],[Spalte42]],Spielauswertung!$B529:$E529,0))+BC540)</f>
        <v>100</v>
      </c>
      <c r="BD541" s="1">
        <f>IF(IFERROR(MATCH(Tabelle11[[#Headers],[Spalte43]],Spielauswertung!$B529:$E529,0),0)=0,BD540,INDEX(Spielauswertung!$AB529:$AE529,MATCH(Tabelle11[[#Headers],[Spalte43]],Spielauswertung!$B529:$E529,0))+BD540)</f>
        <v>100</v>
      </c>
      <c r="BE541" s="1">
        <f>IF(IFERROR(MATCH(Tabelle11[[#Headers],[Spalte44]],Spielauswertung!$B529:$E529,0),0)=0,BE540,INDEX(Spielauswertung!$AB529:$AE529,MATCH(Tabelle11[[#Headers],[Spalte44]],Spielauswertung!$B529:$E529,0))+BE540)</f>
        <v>100</v>
      </c>
      <c r="BF541" s="1">
        <f>IF(IFERROR(MATCH(Tabelle11[[#Headers],[Spalte45]],Spielauswertung!$B529:$E529,0),0)=0,BF540,INDEX(Spielauswertung!$AB529:$AE529,MATCH(Tabelle11[[#Headers],[Spalte45]],Spielauswertung!$B529:$E529,0))+BF540)</f>
        <v>100</v>
      </c>
      <c r="BG541" s="1">
        <f>IF(IFERROR(MATCH(Tabelle11[[#Headers],[Spalte46]],Spielauswertung!$B529:$E529,0),0)=0,BG540,INDEX(Spielauswertung!$AB529:$AE529,MATCH(Tabelle11[[#Headers],[Spalte46]],Spielauswertung!$B529:$E529,0))+BG540)</f>
        <v>100</v>
      </c>
      <c r="BH541" s="1">
        <f>IF(IFERROR(MATCH(Tabelle11[[#Headers],[Spalte47]],Spielauswertung!$B529:$E529,0),0)=0,BH540,INDEX(Spielauswertung!$AB529:$AE529,MATCH(Tabelle11[[#Headers],[Spalte47]],Spielauswertung!$B529:$E529,0))+BH540)</f>
        <v>100</v>
      </c>
    </row>
    <row r="542" spans="1:60" x14ac:dyDescent="0.25">
      <c r="A542">
        <f t="shared" si="9"/>
        <v>529</v>
      </c>
      <c r="B542" s="1">
        <f>IF(IFERROR(MATCH(Tabelle11[[#Headers],[Aleix_V]],Spielauswertung!$B530:$E530,0),0)=0,B541,INDEX(Spielauswertung!$AB530:$AE530,MATCH(Tabelle11[[#Headers],[Aleix_V]],Spielauswertung!$B530:$E530,0))+B541)</f>
        <v>102.47318019444646</v>
      </c>
      <c r="C542" s="1">
        <f>IF(IFERROR(MATCH(Tabelle11[[#Headers],[Andres_H]],Spielauswertung!$B530:$E530,0),0)=0,C541,INDEX(Spielauswertung!$AB530:$AE530,MATCH(Tabelle11[[#Headers],[Andres_H]],Spielauswertung!$B530:$E530,0))+C541)</f>
        <v>95.535732339111306</v>
      </c>
      <c r="D542" s="1">
        <f>IF(IFERROR(MATCH(Tabelle11[[#Headers],[Anton_K]],Spielauswertung!$B530:$E530,0),0)=0,D541,INDEX(Spielauswertung!$AB530:$AE530,MATCH(Tabelle11[[#Headers],[Anton_K]],Spielauswertung!$B530:$E530,0))+D541)</f>
        <v>99.287728777054667</v>
      </c>
      <c r="E542" s="1">
        <f>IF(IFERROR(MATCH(Tabelle11[[#Headers],[Bastian_G]],Spielauswertung!$B530:$E530,0),0)=0,E541,INDEX(Spielauswertung!$AB530:$AE530,MATCH(Tabelle11[[#Headers],[Bastian_G]],Spielauswertung!$B530:$E530,0))+E541)</f>
        <v>117.123478838868</v>
      </c>
      <c r="F542" s="1">
        <f>IF(IFERROR(MATCH(Tabelle11[[#Headers],[Ben_S]],Spielauswertung!$B530:$E530,0),0)=0,F541,INDEX(Spielauswertung!$AB530:$AE530,MATCH(Tabelle11[[#Headers],[Ben_S]],Spielauswertung!$B530:$E530,0))+F541)</f>
        <v>95.932799101521084</v>
      </c>
      <c r="G542" s="1">
        <f>IF(IFERROR(MATCH(Tabelle11[[#Headers],[Benedikt_K]],Spielauswertung!$B530:$E530,0),0)=0,G541,INDEX(Spielauswertung!$AB530:$AE530,MATCH(Tabelle11[[#Headers],[Benedikt_K]],Spielauswertung!$B530:$E530,0))+G541)</f>
        <v>101.20264176422626</v>
      </c>
      <c r="H542" s="1">
        <f>IF(IFERROR(MATCH(Tabelle11[[#Headers],[Benedikt_R]],Spielauswertung!$B530:$E530,0),0)=0,H541,INDEX(Spielauswertung!$AB530:$AE530,MATCH(Tabelle11[[#Headers],[Benedikt_R]],Spielauswertung!$B530:$E530,0))+H541)</f>
        <v>102.6264770510757</v>
      </c>
      <c r="I542" s="1">
        <f>IF(IFERROR(MATCH(Tabelle11[[#Headers],[Carsten_H]],Spielauswertung!$B530:$E530,0),0)=0,I541,INDEX(Spielauswertung!$AB530:$AE530,MATCH(Tabelle11[[#Headers],[Carsten_H]],Spielauswertung!$B530:$E530,0))+I541)</f>
        <v>91.287455601467229</v>
      </c>
      <c r="J542" s="1">
        <f>IF(IFERROR(MATCH(Tabelle11[[#Headers],[Christoph_R]],Spielauswertung!$B530:$E530,0),0)=0,J541,INDEX(Spielauswertung!$AB530:$AE530,MATCH(Tabelle11[[#Headers],[Christoph_R]],Spielauswertung!$B530:$E530,0))+J541)</f>
        <v>109.73261611443155</v>
      </c>
      <c r="K542" s="1">
        <f>IF(IFERROR(MATCH(Tabelle11[[#Headers],[Claudius_J]],Spielauswertung!$B530:$E530,0),0)=0,K541,INDEX(Spielauswertung!$AB530:$AE530,MATCH(Tabelle11[[#Headers],[Claudius_J]],Spielauswertung!$B530:$E530,0))+K541)</f>
        <v>106.16590636000029</v>
      </c>
      <c r="L542" s="1">
        <f>IF(IFERROR(MATCH(Tabelle11[[#Headers],[Daniel_D]],Spielauswertung!$B530:$E530,0),0)=0,L541,INDEX(Spielauswertung!$AB530:$AE530,MATCH(Tabelle11[[#Headers],[Daniel_D]],Spielauswertung!$B530:$E530,0))+L541)</f>
        <v>99.990299180470089</v>
      </c>
      <c r="M542" s="1">
        <f>IF(IFERROR(MATCH(Tabelle11[[#Headers],[David_R]],Spielauswertung!$B530:$E530,0),0)=0,M541,INDEX(Spielauswertung!$AB530:$AE530,MATCH(Tabelle11[[#Headers],[David_R]],Spielauswertung!$B530:$E530,0))+M541)</f>
        <v>96.715943522481638</v>
      </c>
      <c r="N542" s="1">
        <f>IF(IFERROR(MATCH(Tabelle11[[#Headers],[Dennis_P]],Spielauswertung!$B530:$E530,0),0)=0,N541,INDEX(Spielauswertung!$AB530:$AE530,MATCH(Tabelle11[[#Headers],[Dennis_P]],Spielauswertung!$B530:$E530,0))+N541)</f>
        <v>100.04773223105254</v>
      </c>
      <c r="O542" s="1">
        <f>IF(IFERROR(MATCH(Tabelle11[[#Headers],[Dennis_R]],Spielauswertung!$B530:$E530,0),0)=0,O541,INDEX(Spielauswertung!$AB530:$AE530,MATCH(Tabelle11[[#Headers],[Dennis_R]],Spielauswertung!$B530:$E530,0))+O541)</f>
        <v>75.131680864937195</v>
      </c>
      <c r="P542" s="1">
        <f>IF(IFERROR(MATCH(Tabelle11[[#Headers],[Detlef_R]],Spielauswertung!$B530:$E530,0),0)=0,P541,INDEX(Spielauswertung!$AB530:$AE530,MATCH(Tabelle11[[#Headers],[Detlef_R]],Spielauswertung!$B530:$E530,0))+P541)</f>
        <v>87.984671797367014</v>
      </c>
      <c r="Q542" s="1">
        <f>IF(IFERROR(MATCH(Tabelle11[[#Headers],[Dmitrij_M]],Spielauswertung!$B530:$E530,0),0)=0,Q541,INDEX(Spielauswertung!$AB530:$AE530,MATCH(Tabelle11[[#Headers],[Dmitrij_M]],Spielauswertung!$B530:$E530,0))+Q541)</f>
        <v>100.69975721846207</v>
      </c>
      <c r="R542" s="1">
        <f>IF(IFERROR(MATCH(Tabelle11[[#Headers],[Fabian_M]],Spielauswertung!$B530:$E530,0),0)=0,R541,INDEX(Spielauswertung!$AB530:$AE530,MATCH(Tabelle11[[#Headers],[Fabian_M]],Spielauswertung!$B530:$E530,0))+R541)</f>
        <v>95.805387841610738</v>
      </c>
      <c r="S542" s="1">
        <f>IF(IFERROR(MATCH(Tabelle11[[#Headers],[Hannes_S]],Spielauswertung!$B530:$E530,0),0)=0,S541,INDEX(Spielauswertung!$AB530:$AE530,MATCH(Tabelle11[[#Headers],[Hannes_S]],Spielauswertung!$B530:$E530,0))+S541)</f>
        <v>104.83899184012799</v>
      </c>
      <c r="T542" s="1">
        <f>IF(IFERROR(MATCH(Tabelle11[[#Headers],[Jan_B]],Spielauswertung!$B530:$E530,0),0)=0,T541,INDEX(Spielauswertung!$AB530:$AE530,MATCH(Tabelle11[[#Headers],[Jan_B]],Spielauswertung!$B530:$E530,0))+T541)</f>
        <v>100.2794420429173</v>
      </c>
      <c r="U542" s="1">
        <f>IF(IFERROR(MATCH(Tabelle11[[#Headers],[Jan_Hendrik_B]],Spielauswertung!$B530:$E530,0),0)=0,U541,INDEX(Spielauswertung!$AB530:$AE530,MATCH(Tabelle11[[#Headers],[Jan_Hendrik_B]],Spielauswertung!$B530:$E530,0))+U541)</f>
        <v>100.75492416935522</v>
      </c>
      <c r="V542" s="1">
        <f>IF(IFERROR(MATCH(Tabelle11[[#Headers],[Jens_N]],Spielauswertung!$B530:$E530,0),0)=0,V541,INDEX(Spielauswertung!$AB530:$AE530,MATCH(Tabelle11[[#Headers],[Jens_N]],Spielauswertung!$B530:$E530,0))+V541)</f>
        <v>99.643534710196832</v>
      </c>
      <c r="W542" s="1">
        <f>IF(IFERROR(MATCH(Tabelle11[[#Headers],[Johannes_S]],Spielauswertung!$B530:$E530,0),0)=0,W541,INDEX(Spielauswertung!$AB530:$AE530,MATCH(Tabelle11[[#Headers],[Johannes_S]],Spielauswertung!$B530:$E530,0))+W541)</f>
        <v>102.20284750979505</v>
      </c>
      <c r="X542" s="1">
        <f>IF(IFERROR(MATCH(Tabelle11[[#Headers],[Jonathan_F]],Spielauswertung!$B530:$E530,0),0)=0,X541,INDEX(Spielauswertung!$AB530:$AE530,MATCH(Tabelle11[[#Headers],[Jonathan_F]],Spielauswertung!$B530:$E530,0))+X541)</f>
        <v>98.938308797866256</v>
      </c>
      <c r="Y542" s="1">
        <f>IF(IFERROR(MATCH(Tabelle11[[#Headers],[Julius_P]],Spielauswertung!$B530:$E530,0),0)=0,Y541,INDEX(Spielauswertung!$AB530:$AE530,MATCH(Tabelle11[[#Headers],[Julius_P]],Spielauswertung!$B530:$E530,0))+Y541)</f>
        <v>96.540305101873642</v>
      </c>
      <c r="Z542" s="1">
        <f>IF(IFERROR(MATCH(Tabelle11[[#Headers],[Louis_W]],Spielauswertung!$B530:$E530,0),0)=0,Z541,INDEX(Spielauswertung!$AB530:$AE530,MATCH(Tabelle11[[#Headers],[Louis_W]],Spielauswertung!$B530:$E530,0))+Z541)</f>
        <v>87.497452285475362</v>
      </c>
      <c r="AA542" s="1">
        <f>IF(IFERROR(MATCH(Tabelle11[[#Headers],[Lukas_L]],Spielauswertung!$B530:$E530,0),0)=0,AA541,INDEX(Spielauswertung!$AB530:$AE530,MATCH(Tabelle11[[#Headers],[Lukas_L]],Spielauswertung!$B530:$E530,0))+AA541)</f>
        <v>98.447931341404143</v>
      </c>
      <c r="AB542" s="1">
        <f>IF(IFERROR(MATCH(Tabelle11[[#Headers],[Marcin_S]],Spielauswertung!$B530:$E530,0),0)=0,AB541,INDEX(Spielauswertung!$AB530:$AE530,MATCH(Tabelle11[[#Headers],[Marcin_S]],Spielauswertung!$B530:$E530,0))+AB541)</f>
        <v>85.463329105556824</v>
      </c>
      <c r="AC542" s="1">
        <f>IF(IFERROR(MATCH(Tabelle11[[#Headers],[Marco_K]],Spielauswertung!$B530:$E530,0),0)=0,AC541,INDEX(Spielauswertung!$AB530:$AE530,MATCH(Tabelle11[[#Headers],[Marco_K]],Spielauswertung!$B530:$E530,0))+AC541)</f>
        <v>102.12169819441469</v>
      </c>
      <c r="AD542" s="1">
        <f>IF(IFERROR(MATCH(Tabelle11[[#Headers],[Marius_M]],Spielauswertung!$B530:$E530,0),0)=0,AD541,INDEX(Spielauswertung!$AB530:$AE530,MATCH(Tabelle11[[#Headers],[Marius_M]],Spielauswertung!$B530:$E530,0))+AD541)</f>
        <v>124.54012374585781</v>
      </c>
      <c r="AE542" s="1">
        <f>IF(IFERROR(MATCH(Tabelle11[[#Headers],[Marvin_W]],Spielauswertung!$B530:$E530,0),0)=0,AE541,INDEX(Spielauswertung!$AB530:$AE530,MATCH(Tabelle11[[#Headers],[Marvin_W]],Spielauswertung!$B530:$E530,0))+AE541)</f>
        <v>97.224287136206158</v>
      </c>
      <c r="AF542" s="1">
        <f>IF(IFERROR(MATCH(Tabelle11[[#Headers],[Matthias_H]],Spielauswertung!$B530:$E530,0),0)=0,AF541,INDEX(Spielauswertung!$AB530:$AE530,MATCH(Tabelle11[[#Headers],[Matthias_H]],Spielauswertung!$B530:$E530,0))+AF541)</f>
        <v>105.42130178599372</v>
      </c>
      <c r="AG542" s="1">
        <f>IF(IFERROR(MATCH(Tabelle11[[#Headers],[Michael_D]],Spielauswertung!$B530:$E530,0),0)=0,AG541,INDEX(Spielauswertung!$AB530:$AE530,MATCH(Tabelle11[[#Headers],[Michael_D]],Spielauswertung!$B530:$E530,0))+AG541)</f>
        <v>96.436276170375336</v>
      </c>
      <c r="AH542" s="1">
        <f>IF(IFERROR(MATCH(Tabelle11[[#Headers],[Patrick_S]],Spielauswertung!$B530:$E530,0),0)=0,AH541,INDEX(Spielauswertung!$AB530:$AE530,MATCH(Tabelle11[[#Headers],[Patrick_S]],Spielauswertung!$B530:$E530,0))+AH541)</f>
        <v>98.975330692053802</v>
      </c>
      <c r="AI542" s="1">
        <f>IF(IFERROR(MATCH(Tabelle11[[#Headers],[Rano_M]],Spielauswertung!$B530:$E530,0),0)=0,AI541,INDEX(Spielauswertung!$AB530:$AE530,MATCH(Tabelle11[[#Headers],[Rano_M]],Spielauswertung!$B530:$E530,0))+AI541)</f>
        <v>109.38890657420265</v>
      </c>
      <c r="AJ542" s="1">
        <f>IF(IFERROR(MATCH(Tabelle11[[#Headers],[Rene_N]],Spielauswertung!$B530:$E530,0),0)=0,AJ541,INDEX(Spielauswertung!$AB530:$AE530,MATCH(Tabelle11[[#Headers],[Rene_N]],Spielauswertung!$B530:$E530,0))+AJ541)</f>
        <v>101.06482124619033</v>
      </c>
      <c r="AK542" s="1">
        <f>IF(IFERROR(MATCH(Tabelle11[[#Headers],[Rene_P]],Spielauswertung!$B530:$E530,0),0)=0,AK541,INDEX(Spielauswertung!$AB530:$AE530,MATCH(Tabelle11[[#Headers],[Rene_P]],Spielauswertung!$B530:$E530,0))+AK541)</f>
        <v>88.144559936538329</v>
      </c>
      <c r="AL542" s="1">
        <f>IF(IFERROR(MATCH(Tabelle11[[#Headers],[Richard_D]],Spielauswertung!$B530:$E530,0),0)=0,AL541,INDEX(Spielauswertung!$AB530:$AE530,MATCH(Tabelle11[[#Headers],[Richard_D]],Spielauswertung!$B530:$E530,0))+AL541)</f>
        <v>107.23233592026223</v>
      </c>
      <c r="AM542" s="1">
        <f>IF(IFERROR(MATCH(Tabelle11[[#Headers],[Rodrigo_R]],Spielauswertung!$B530:$E530,0),0)=0,AM541,INDEX(Spielauswertung!$AB530:$AE530,MATCH(Tabelle11[[#Headers],[Rodrigo_R]],Spielauswertung!$B530:$E530,0))+AM541)</f>
        <v>116.7028707921346</v>
      </c>
      <c r="AN542" s="1">
        <f>IF(IFERROR(MATCH(Tabelle11[[#Headers],[Sebastian_A]],Spielauswertung!$B530:$E530,0),0)=0,AN541,INDEX(Spielauswertung!$AB530:$AE530,MATCH(Tabelle11[[#Headers],[Sebastian_A]],Spielauswertung!$B530:$E530,0))+AN541)</f>
        <v>102.89457418671324</v>
      </c>
      <c r="AO542" s="1">
        <f>IF(IFERROR(MATCH(Tabelle11[[#Headers],[Sebastian_St]],Spielauswertung!$B530:$E530,0),0)=0,AO541,INDEX(Spielauswertung!$AB530:$AE530,MATCH(Tabelle11[[#Headers],[Sebastian_St]],Spielauswertung!$B530:$E530,0))+AO541)</f>
        <v>97.749574367408982</v>
      </c>
      <c r="AP542" s="1">
        <f>IF(IFERROR(MATCH(Tabelle11[[#Headers],[Simon_U]],Spielauswertung!$B530:$E530,0),0)=0,AP541,INDEX(Spielauswertung!$AB530:$AE530,MATCH(Tabelle11[[#Headers],[Simon_U]],Spielauswertung!$B530:$E530,0))+AP541)</f>
        <v>99.623054841470903</v>
      </c>
      <c r="AQ542" s="1">
        <f>IF(IFERROR(MATCH(Tabelle11[[#Headers],[Steffen_R]],Spielauswertung!$B530:$E530,0),0)=0,AQ541,INDEX(Spielauswertung!$AB530:$AE530,MATCH(Tabelle11[[#Headers],[Steffen_R]],Spielauswertung!$B530:$E530,0))+AQ541)</f>
        <v>93.247497067190949</v>
      </c>
      <c r="AR542" s="1">
        <f>IF(IFERROR(MATCH(Tabelle11[[#Headers],[Tim_R]],Spielauswertung!$B530:$E530,0),0)=0,AR541,INDEX(Spielauswertung!$AB530:$AE530,MATCH(Tabelle11[[#Headers],[Tim_R]],Spielauswertung!$B530:$E530,0))+AR541)</f>
        <v>103.07503787023374</v>
      </c>
      <c r="AS542" s="1">
        <f>IF(IFERROR(MATCH(Tabelle11[[#Headers],[Tobias_S]],Spielauswertung!$B530:$E530,0),0)=0,AS541,INDEX(Spielauswertung!$AB530:$AE530,MATCH(Tabelle11[[#Headers],[Tobias_S]],Spielauswertung!$B530:$E530,0))+AS541)</f>
        <v>98.6003422659997</v>
      </c>
      <c r="AT542" s="1">
        <f>IF(IFERROR(MATCH(Tabelle11[[#Headers],[Tom_R]],Spielauswertung!$B530:$E530,0),0)=0,AT541,INDEX(Spielauswertung!$AB530:$AE530,MATCH(Tabelle11[[#Headers],[Tom_R]],Spielauswertung!$B530:$E530,0))+AT541)</f>
        <v>112.62344492949197</v>
      </c>
      <c r="AU542" s="1">
        <f>IF(IFERROR(MATCH(Tabelle11[[#Headers],[Ton_L]],Spielauswertung!$B530:$E530,0),0)=0,AU541,INDEX(Spielauswertung!$AB530:$AE530,MATCH(Tabelle11[[#Headers],[Ton_L]],Spielauswertung!$B530:$E530,0))+AU541)</f>
        <v>92.683083360025861</v>
      </c>
      <c r="AV542" s="1">
        <f>IF(IFERROR(MATCH(Tabelle11[[#Headers],[Yixin_G]],Spielauswertung!$B530:$E530,0),0)=0,AV541,INDEX(Spielauswertung!$AB530:$AE530,MATCH(Tabelle11[[#Headers],[Yixin_G]],Spielauswertung!$B530:$E530,0))+AV541)</f>
        <v>99.900323214082661</v>
      </c>
      <c r="AW542" s="1">
        <f>IF(IFERROR(MATCH(Tabelle11[[#Headers],[Spalte36]],Spielauswertung!$B530:$E530,0),0)=0,AW541,INDEX(Spielauswertung!$AB530:$AE530,MATCH(Tabelle11[[#Headers],[Spalte36]],Spielauswertung!$B530:$E530,0))+AW541)</f>
        <v>100</v>
      </c>
      <c r="AX542" s="1">
        <f>IF(IFERROR(MATCH(Tabelle11[[#Headers],[Spalte37]],Spielauswertung!$B530:$E530,0),0)=0,AX541,INDEX(Spielauswertung!$AB530:$AE530,MATCH(Tabelle11[[#Headers],[Spalte37]],Spielauswertung!$B530:$E530,0))+AX541)</f>
        <v>100</v>
      </c>
      <c r="AY542" s="1">
        <f>IF(IFERROR(MATCH(Tabelle11[[#Headers],[Spalte38]],Spielauswertung!$B530:$E530,0),0)=0,AY541,INDEX(Spielauswertung!$AB530:$AE530,MATCH(Tabelle11[[#Headers],[Spalte38]],Spielauswertung!$B530:$E530,0))+AY541)</f>
        <v>100</v>
      </c>
      <c r="AZ542" s="1">
        <f>IF(IFERROR(MATCH(Tabelle11[[#Headers],[Spalte39]],Spielauswertung!$B530:$E530,0),0)=0,AZ541,INDEX(Spielauswertung!$AB530:$AE530,MATCH(Tabelle11[[#Headers],[Spalte39]],Spielauswertung!$B530:$E530,0))+AZ541)</f>
        <v>100</v>
      </c>
      <c r="BA542" s="1">
        <f>IF(IFERROR(MATCH(Tabelle11[[#Headers],[Spalte40]],Spielauswertung!$B530:$E530,0),0)=0,BA541,INDEX(Spielauswertung!$AB530:$AE530,MATCH(Tabelle11[[#Headers],[Spalte40]],Spielauswertung!$B530:$E530,0))+BA541)</f>
        <v>100</v>
      </c>
      <c r="BB542" s="1">
        <f>IF(IFERROR(MATCH(Tabelle11[[#Headers],[Spalte41]],Spielauswertung!$B530:$E530,0),0)=0,BB541,INDEX(Spielauswertung!$AB530:$AE530,MATCH(Tabelle11[[#Headers],[Spalte41]],Spielauswertung!$B530:$E530,0))+BB541)</f>
        <v>100</v>
      </c>
      <c r="BC542" s="1">
        <f>IF(IFERROR(MATCH(Tabelle11[[#Headers],[Spalte42]],Spielauswertung!$B530:$E530,0),0)=0,BC541,INDEX(Spielauswertung!$AB530:$AE530,MATCH(Tabelle11[[#Headers],[Spalte42]],Spielauswertung!$B530:$E530,0))+BC541)</f>
        <v>100</v>
      </c>
      <c r="BD542" s="1">
        <f>IF(IFERROR(MATCH(Tabelle11[[#Headers],[Spalte43]],Spielauswertung!$B530:$E530,0),0)=0,BD541,INDEX(Spielauswertung!$AB530:$AE530,MATCH(Tabelle11[[#Headers],[Spalte43]],Spielauswertung!$B530:$E530,0))+BD541)</f>
        <v>100</v>
      </c>
      <c r="BE542" s="1">
        <f>IF(IFERROR(MATCH(Tabelle11[[#Headers],[Spalte44]],Spielauswertung!$B530:$E530,0),0)=0,BE541,INDEX(Spielauswertung!$AB530:$AE530,MATCH(Tabelle11[[#Headers],[Spalte44]],Spielauswertung!$B530:$E530,0))+BE541)</f>
        <v>100</v>
      </c>
      <c r="BF542" s="1">
        <f>IF(IFERROR(MATCH(Tabelle11[[#Headers],[Spalte45]],Spielauswertung!$B530:$E530,0),0)=0,BF541,INDEX(Spielauswertung!$AB530:$AE530,MATCH(Tabelle11[[#Headers],[Spalte45]],Spielauswertung!$B530:$E530,0))+BF541)</f>
        <v>100</v>
      </c>
      <c r="BG542" s="1">
        <f>IF(IFERROR(MATCH(Tabelle11[[#Headers],[Spalte46]],Spielauswertung!$B530:$E530,0),0)=0,BG541,INDEX(Spielauswertung!$AB530:$AE530,MATCH(Tabelle11[[#Headers],[Spalte46]],Spielauswertung!$B530:$E530,0))+BG541)</f>
        <v>100</v>
      </c>
      <c r="BH542" s="1">
        <f>IF(IFERROR(MATCH(Tabelle11[[#Headers],[Spalte47]],Spielauswertung!$B530:$E530,0),0)=0,BH541,INDEX(Spielauswertung!$AB530:$AE530,MATCH(Tabelle11[[#Headers],[Spalte47]],Spielauswertung!$B530:$E530,0))+BH541)</f>
        <v>100</v>
      </c>
    </row>
    <row r="543" spans="1:60" x14ac:dyDescent="0.25">
      <c r="A543">
        <f t="shared" si="9"/>
        <v>530</v>
      </c>
      <c r="B543" s="1">
        <f>IF(IFERROR(MATCH(Tabelle11[[#Headers],[Aleix_V]],Spielauswertung!$B531:$E531,0),0)=0,B542,INDEX(Spielauswertung!$AB531:$AE531,MATCH(Tabelle11[[#Headers],[Aleix_V]],Spielauswertung!$B531:$E531,0))+B542)</f>
        <v>102.47318019444646</v>
      </c>
      <c r="C543" s="1">
        <f>IF(IFERROR(MATCH(Tabelle11[[#Headers],[Andres_H]],Spielauswertung!$B531:$E531,0),0)=0,C542,INDEX(Spielauswertung!$AB531:$AE531,MATCH(Tabelle11[[#Headers],[Andres_H]],Spielauswertung!$B531:$E531,0))+C542)</f>
        <v>95.535732339111306</v>
      </c>
      <c r="D543" s="1">
        <f>IF(IFERROR(MATCH(Tabelle11[[#Headers],[Anton_K]],Spielauswertung!$B531:$E531,0),0)=0,D542,INDEX(Spielauswertung!$AB531:$AE531,MATCH(Tabelle11[[#Headers],[Anton_K]],Spielauswertung!$B531:$E531,0))+D542)</f>
        <v>99.287728777054667</v>
      </c>
      <c r="E543" s="1">
        <f>IF(IFERROR(MATCH(Tabelle11[[#Headers],[Bastian_G]],Spielauswertung!$B531:$E531,0),0)=0,E542,INDEX(Spielauswertung!$AB531:$AE531,MATCH(Tabelle11[[#Headers],[Bastian_G]],Spielauswertung!$B531:$E531,0))+E542)</f>
        <v>116.9187575722336</v>
      </c>
      <c r="F543" s="1">
        <f>IF(IFERROR(MATCH(Tabelle11[[#Headers],[Ben_S]],Spielauswertung!$B531:$E531,0),0)=0,F542,INDEX(Spielauswertung!$AB531:$AE531,MATCH(Tabelle11[[#Headers],[Ben_S]],Spielauswertung!$B531:$E531,0))+F542)</f>
        <v>95.932799101521084</v>
      </c>
      <c r="G543" s="1">
        <f>IF(IFERROR(MATCH(Tabelle11[[#Headers],[Benedikt_K]],Spielauswertung!$B531:$E531,0),0)=0,G542,INDEX(Spielauswertung!$AB531:$AE531,MATCH(Tabelle11[[#Headers],[Benedikt_K]],Spielauswertung!$B531:$E531,0))+G542)</f>
        <v>101.20264176422626</v>
      </c>
      <c r="H543" s="1">
        <f>IF(IFERROR(MATCH(Tabelle11[[#Headers],[Benedikt_R]],Spielauswertung!$B531:$E531,0),0)=0,H542,INDEX(Spielauswertung!$AB531:$AE531,MATCH(Tabelle11[[#Headers],[Benedikt_R]],Spielauswertung!$B531:$E531,0))+H542)</f>
        <v>102.6264770510757</v>
      </c>
      <c r="I543" s="1">
        <f>IF(IFERROR(MATCH(Tabelle11[[#Headers],[Carsten_H]],Spielauswertung!$B531:$E531,0),0)=0,I542,INDEX(Spielauswertung!$AB531:$AE531,MATCH(Tabelle11[[#Headers],[Carsten_H]],Spielauswertung!$B531:$E531,0))+I542)</f>
        <v>91.472500317583055</v>
      </c>
      <c r="J543" s="1">
        <f>IF(IFERROR(MATCH(Tabelle11[[#Headers],[Christoph_R]],Spielauswertung!$B531:$E531,0),0)=0,J542,INDEX(Spielauswertung!$AB531:$AE531,MATCH(Tabelle11[[#Headers],[Christoph_R]],Spielauswertung!$B531:$E531,0))+J542)</f>
        <v>109.73261611443155</v>
      </c>
      <c r="K543" s="1">
        <f>IF(IFERROR(MATCH(Tabelle11[[#Headers],[Claudius_J]],Spielauswertung!$B531:$E531,0),0)=0,K542,INDEX(Spielauswertung!$AB531:$AE531,MATCH(Tabelle11[[#Headers],[Claudius_J]],Spielauswertung!$B531:$E531,0))+K542)</f>
        <v>106.16590636000029</v>
      </c>
      <c r="L543" s="1">
        <f>IF(IFERROR(MATCH(Tabelle11[[#Headers],[Daniel_D]],Spielauswertung!$B531:$E531,0),0)=0,L542,INDEX(Spielauswertung!$AB531:$AE531,MATCH(Tabelle11[[#Headers],[Daniel_D]],Spielauswertung!$B531:$E531,0))+L542)</f>
        <v>99.990299180470089</v>
      </c>
      <c r="M543" s="1">
        <f>IF(IFERROR(MATCH(Tabelle11[[#Headers],[David_R]],Spielauswertung!$B531:$E531,0),0)=0,M542,INDEX(Spielauswertung!$AB531:$AE531,MATCH(Tabelle11[[#Headers],[David_R]],Spielauswertung!$B531:$E531,0))+M542)</f>
        <v>96.715943522481638</v>
      </c>
      <c r="N543" s="1">
        <f>IF(IFERROR(MATCH(Tabelle11[[#Headers],[Dennis_P]],Spielauswertung!$B531:$E531,0),0)=0,N542,INDEX(Spielauswertung!$AB531:$AE531,MATCH(Tabelle11[[#Headers],[Dennis_P]],Spielauswertung!$B531:$E531,0))+N542)</f>
        <v>100.04773223105254</v>
      </c>
      <c r="O543" s="1">
        <f>IF(IFERROR(MATCH(Tabelle11[[#Headers],[Dennis_R]],Spielauswertung!$B531:$E531,0),0)=0,O542,INDEX(Spielauswertung!$AB531:$AE531,MATCH(Tabelle11[[#Headers],[Dennis_R]],Spielauswertung!$B531:$E531,0))+O542)</f>
        <v>75.131680864937195</v>
      </c>
      <c r="P543" s="1">
        <f>IF(IFERROR(MATCH(Tabelle11[[#Headers],[Detlef_R]],Spielauswertung!$B531:$E531,0),0)=0,P542,INDEX(Spielauswertung!$AB531:$AE531,MATCH(Tabelle11[[#Headers],[Detlef_R]],Spielauswertung!$B531:$E531,0))+P542)</f>
        <v>87.984671797367014</v>
      </c>
      <c r="Q543" s="1">
        <f>IF(IFERROR(MATCH(Tabelle11[[#Headers],[Dmitrij_M]],Spielauswertung!$B531:$E531,0),0)=0,Q542,INDEX(Spielauswertung!$AB531:$AE531,MATCH(Tabelle11[[#Headers],[Dmitrij_M]],Spielauswertung!$B531:$E531,0))+Q542)</f>
        <v>100.69975721846207</v>
      </c>
      <c r="R543" s="1">
        <f>IF(IFERROR(MATCH(Tabelle11[[#Headers],[Fabian_M]],Spielauswertung!$B531:$E531,0),0)=0,R542,INDEX(Spielauswertung!$AB531:$AE531,MATCH(Tabelle11[[#Headers],[Fabian_M]],Spielauswertung!$B531:$E531,0))+R542)</f>
        <v>95.805387841610738</v>
      </c>
      <c r="S543" s="1">
        <f>IF(IFERROR(MATCH(Tabelle11[[#Headers],[Hannes_S]],Spielauswertung!$B531:$E531,0),0)=0,S542,INDEX(Spielauswertung!$AB531:$AE531,MATCH(Tabelle11[[#Headers],[Hannes_S]],Spielauswertung!$B531:$E531,0))+S542)</f>
        <v>104.83899184012799</v>
      </c>
      <c r="T543" s="1">
        <f>IF(IFERROR(MATCH(Tabelle11[[#Headers],[Jan_B]],Spielauswertung!$B531:$E531,0),0)=0,T542,INDEX(Spielauswertung!$AB531:$AE531,MATCH(Tabelle11[[#Headers],[Jan_B]],Spielauswertung!$B531:$E531,0))+T542)</f>
        <v>100.2794420429173</v>
      </c>
      <c r="U543" s="1">
        <f>IF(IFERROR(MATCH(Tabelle11[[#Headers],[Jan_Hendrik_B]],Spielauswertung!$B531:$E531,0),0)=0,U542,INDEX(Spielauswertung!$AB531:$AE531,MATCH(Tabelle11[[#Headers],[Jan_Hendrik_B]],Spielauswertung!$B531:$E531,0))+U542)</f>
        <v>100.75492416935522</v>
      </c>
      <c r="V543" s="1">
        <f>IF(IFERROR(MATCH(Tabelle11[[#Headers],[Jens_N]],Spielauswertung!$B531:$E531,0),0)=0,V542,INDEX(Spielauswertung!$AB531:$AE531,MATCH(Tabelle11[[#Headers],[Jens_N]],Spielauswertung!$B531:$E531,0))+V542)</f>
        <v>99.643534710196832</v>
      </c>
      <c r="W543" s="1">
        <f>IF(IFERROR(MATCH(Tabelle11[[#Headers],[Johannes_S]],Spielauswertung!$B531:$E531,0),0)=0,W542,INDEX(Spielauswertung!$AB531:$AE531,MATCH(Tabelle11[[#Headers],[Johannes_S]],Spielauswertung!$B531:$E531,0))+W542)</f>
        <v>102.20284750979505</v>
      </c>
      <c r="X543" s="1">
        <f>IF(IFERROR(MATCH(Tabelle11[[#Headers],[Jonathan_F]],Spielauswertung!$B531:$E531,0),0)=0,X542,INDEX(Spielauswertung!$AB531:$AE531,MATCH(Tabelle11[[#Headers],[Jonathan_F]],Spielauswertung!$B531:$E531,0))+X542)</f>
        <v>98.938308797866256</v>
      </c>
      <c r="Y543" s="1">
        <f>IF(IFERROR(MATCH(Tabelle11[[#Headers],[Julius_P]],Spielauswertung!$B531:$E531,0),0)=0,Y542,INDEX(Spielauswertung!$AB531:$AE531,MATCH(Tabelle11[[#Headers],[Julius_P]],Spielauswertung!$B531:$E531,0))+Y542)</f>
        <v>96.540305101873642</v>
      </c>
      <c r="Z543" s="1">
        <f>IF(IFERROR(MATCH(Tabelle11[[#Headers],[Louis_W]],Spielauswertung!$B531:$E531,0),0)=0,Z542,INDEX(Spielauswertung!$AB531:$AE531,MATCH(Tabelle11[[#Headers],[Louis_W]],Spielauswertung!$B531:$E531,0))+Z542)</f>
        <v>87.497452285475362</v>
      </c>
      <c r="AA543" s="1">
        <f>IF(IFERROR(MATCH(Tabelle11[[#Headers],[Lukas_L]],Spielauswertung!$B531:$E531,0),0)=0,AA542,INDEX(Spielauswertung!$AB531:$AE531,MATCH(Tabelle11[[#Headers],[Lukas_L]],Spielauswertung!$B531:$E531,0))+AA542)</f>
        <v>98.447931341404143</v>
      </c>
      <c r="AB543" s="1">
        <f>IF(IFERROR(MATCH(Tabelle11[[#Headers],[Marcin_S]],Spielauswertung!$B531:$E531,0),0)=0,AB542,INDEX(Spielauswertung!$AB531:$AE531,MATCH(Tabelle11[[#Headers],[Marcin_S]],Spielauswertung!$B531:$E531,0))+AB542)</f>
        <v>85.463329105556824</v>
      </c>
      <c r="AC543" s="1">
        <f>IF(IFERROR(MATCH(Tabelle11[[#Headers],[Marco_K]],Spielauswertung!$B531:$E531,0),0)=0,AC542,INDEX(Spielauswertung!$AB531:$AE531,MATCH(Tabelle11[[#Headers],[Marco_K]],Spielauswertung!$B531:$E531,0))+AC542)</f>
        <v>102.12169819441469</v>
      </c>
      <c r="AD543" s="1">
        <f>IF(IFERROR(MATCH(Tabelle11[[#Headers],[Marius_M]],Spielauswertung!$B531:$E531,0),0)=0,AD542,INDEX(Spielauswertung!$AB531:$AE531,MATCH(Tabelle11[[#Headers],[Marius_M]],Spielauswertung!$B531:$E531,0))+AD542)</f>
        <v>124.54012374585781</v>
      </c>
      <c r="AE543" s="1">
        <f>IF(IFERROR(MATCH(Tabelle11[[#Headers],[Marvin_W]],Spielauswertung!$B531:$E531,0),0)=0,AE542,INDEX(Spielauswertung!$AB531:$AE531,MATCH(Tabelle11[[#Headers],[Marvin_W]],Spielauswertung!$B531:$E531,0))+AE542)</f>
        <v>97.398032419450502</v>
      </c>
      <c r="AF543" s="1">
        <f>IF(IFERROR(MATCH(Tabelle11[[#Headers],[Matthias_H]],Spielauswertung!$B531:$E531,0),0)=0,AF542,INDEX(Spielauswertung!$AB531:$AE531,MATCH(Tabelle11[[#Headers],[Matthias_H]],Spielauswertung!$B531:$E531,0))+AF542)</f>
        <v>105.42130178599372</v>
      </c>
      <c r="AG543" s="1">
        <f>IF(IFERROR(MATCH(Tabelle11[[#Headers],[Michael_D]],Spielauswertung!$B531:$E531,0),0)=0,AG542,INDEX(Spielauswertung!$AB531:$AE531,MATCH(Tabelle11[[#Headers],[Michael_D]],Spielauswertung!$B531:$E531,0))+AG542)</f>
        <v>96.436276170375336</v>
      </c>
      <c r="AH543" s="1">
        <f>IF(IFERROR(MATCH(Tabelle11[[#Headers],[Patrick_S]],Spielauswertung!$B531:$E531,0),0)=0,AH542,INDEX(Spielauswertung!$AB531:$AE531,MATCH(Tabelle11[[#Headers],[Patrick_S]],Spielauswertung!$B531:$E531,0))+AH542)</f>
        <v>98.975330692053802</v>
      </c>
      <c r="AI543" s="1">
        <f>IF(IFERROR(MATCH(Tabelle11[[#Headers],[Rano_M]],Spielauswertung!$B531:$E531,0),0)=0,AI542,INDEX(Spielauswertung!$AB531:$AE531,MATCH(Tabelle11[[#Headers],[Rano_M]],Spielauswertung!$B531:$E531,0))+AI542)</f>
        <v>109.38890657420265</v>
      </c>
      <c r="AJ543" s="1">
        <f>IF(IFERROR(MATCH(Tabelle11[[#Headers],[Rene_N]],Spielauswertung!$B531:$E531,0),0)=0,AJ542,INDEX(Spielauswertung!$AB531:$AE531,MATCH(Tabelle11[[#Headers],[Rene_N]],Spielauswertung!$B531:$E531,0))+AJ542)</f>
        <v>101.06482124619033</v>
      </c>
      <c r="AK543" s="1">
        <f>IF(IFERROR(MATCH(Tabelle11[[#Headers],[Rene_P]],Spielauswertung!$B531:$E531,0),0)=0,AK542,INDEX(Spielauswertung!$AB531:$AE531,MATCH(Tabelle11[[#Headers],[Rene_P]],Spielauswertung!$B531:$E531,0))+AK542)</f>
        <v>87.990491203812553</v>
      </c>
      <c r="AL543" s="1">
        <f>IF(IFERROR(MATCH(Tabelle11[[#Headers],[Richard_D]],Spielauswertung!$B531:$E531,0),0)=0,AL542,INDEX(Spielauswertung!$AB531:$AE531,MATCH(Tabelle11[[#Headers],[Richard_D]],Spielauswertung!$B531:$E531,0))+AL542)</f>
        <v>107.23233592026223</v>
      </c>
      <c r="AM543" s="1">
        <f>IF(IFERROR(MATCH(Tabelle11[[#Headers],[Rodrigo_R]],Spielauswertung!$B531:$E531,0),0)=0,AM542,INDEX(Spielauswertung!$AB531:$AE531,MATCH(Tabelle11[[#Headers],[Rodrigo_R]],Spielauswertung!$B531:$E531,0))+AM542)</f>
        <v>116.7028707921346</v>
      </c>
      <c r="AN543" s="1">
        <f>IF(IFERROR(MATCH(Tabelle11[[#Headers],[Sebastian_A]],Spielauswertung!$B531:$E531,0),0)=0,AN542,INDEX(Spielauswertung!$AB531:$AE531,MATCH(Tabelle11[[#Headers],[Sebastian_A]],Spielauswertung!$B531:$E531,0))+AN542)</f>
        <v>102.89457418671324</v>
      </c>
      <c r="AO543" s="1">
        <f>IF(IFERROR(MATCH(Tabelle11[[#Headers],[Sebastian_St]],Spielauswertung!$B531:$E531,0),0)=0,AO542,INDEX(Spielauswertung!$AB531:$AE531,MATCH(Tabelle11[[#Headers],[Sebastian_St]],Spielauswertung!$B531:$E531,0))+AO542)</f>
        <v>97.749574367408982</v>
      </c>
      <c r="AP543" s="1">
        <f>IF(IFERROR(MATCH(Tabelle11[[#Headers],[Simon_U]],Spielauswertung!$B531:$E531,0),0)=0,AP542,INDEX(Spielauswertung!$AB531:$AE531,MATCH(Tabelle11[[#Headers],[Simon_U]],Spielauswertung!$B531:$E531,0))+AP542)</f>
        <v>99.623054841470903</v>
      </c>
      <c r="AQ543" s="1">
        <f>IF(IFERROR(MATCH(Tabelle11[[#Headers],[Steffen_R]],Spielauswertung!$B531:$E531,0),0)=0,AQ542,INDEX(Spielauswertung!$AB531:$AE531,MATCH(Tabelle11[[#Headers],[Steffen_R]],Spielauswertung!$B531:$E531,0))+AQ542)</f>
        <v>93.247497067190949</v>
      </c>
      <c r="AR543" s="1">
        <f>IF(IFERROR(MATCH(Tabelle11[[#Headers],[Tim_R]],Spielauswertung!$B531:$E531,0),0)=0,AR542,INDEX(Spielauswertung!$AB531:$AE531,MATCH(Tabelle11[[#Headers],[Tim_R]],Spielauswertung!$B531:$E531,0))+AR542)</f>
        <v>103.07503787023374</v>
      </c>
      <c r="AS543" s="1">
        <f>IF(IFERROR(MATCH(Tabelle11[[#Headers],[Tobias_S]],Spielauswertung!$B531:$E531,0),0)=0,AS542,INDEX(Spielauswertung!$AB531:$AE531,MATCH(Tabelle11[[#Headers],[Tobias_S]],Spielauswertung!$B531:$E531,0))+AS542)</f>
        <v>98.6003422659997</v>
      </c>
      <c r="AT543" s="1">
        <f>IF(IFERROR(MATCH(Tabelle11[[#Headers],[Tom_R]],Spielauswertung!$B531:$E531,0),0)=0,AT542,INDEX(Spielauswertung!$AB531:$AE531,MATCH(Tabelle11[[#Headers],[Tom_R]],Spielauswertung!$B531:$E531,0))+AT542)</f>
        <v>112.62344492949197</v>
      </c>
      <c r="AU543" s="1">
        <f>IF(IFERROR(MATCH(Tabelle11[[#Headers],[Ton_L]],Spielauswertung!$B531:$E531,0),0)=0,AU542,INDEX(Spielauswertung!$AB531:$AE531,MATCH(Tabelle11[[#Headers],[Ton_L]],Spielauswertung!$B531:$E531,0))+AU542)</f>
        <v>92.683083360025861</v>
      </c>
      <c r="AV543" s="1">
        <f>IF(IFERROR(MATCH(Tabelle11[[#Headers],[Yixin_G]],Spielauswertung!$B531:$E531,0),0)=0,AV542,INDEX(Spielauswertung!$AB531:$AE531,MATCH(Tabelle11[[#Headers],[Yixin_G]],Spielauswertung!$B531:$E531,0))+AV542)</f>
        <v>99.900323214082661</v>
      </c>
      <c r="AW543" s="1">
        <f>IF(IFERROR(MATCH(Tabelle11[[#Headers],[Spalte36]],Spielauswertung!$B531:$E531,0),0)=0,AW542,INDEX(Spielauswertung!$AB531:$AE531,MATCH(Tabelle11[[#Headers],[Spalte36]],Spielauswertung!$B531:$E531,0))+AW542)</f>
        <v>100</v>
      </c>
      <c r="AX543" s="1">
        <f>IF(IFERROR(MATCH(Tabelle11[[#Headers],[Spalte37]],Spielauswertung!$B531:$E531,0),0)=0,AX542,INDEX(Spielauswertung!$AB531:$AE531,MATCH(Tabelle11[[#Headers],[Spalte37]],Spielauswertung!$B531:$E531,0))+AX542)</f>
        <v>100</v>
      </c>
      <c r="AY543" s="1">
        <f>IF(IFERROR(MATCH(Tabelle11[[#Headers],[Spalte38]],Spielauswertung!$B531:$E531,0),0)=0,AY542,INDEX(Spielauswertung!$AB531:$AE531,MATCH(Tabelle11[[#Headers],[Spalte38]],Spielauswertung!$B531:$E531,0))+AY542)</f>
        <v>100</v>
      </c>
      <c r="AZ543" s="1">
        <f>IF(IFERROR(MATCH(Tabelle11[[#Headers],[Spalte39]],Spielauswertung!$B531:$E531,0),0)=0,AZ542,INDEX(Spielauswertung!$AB531:$AE531,MATCH(Tabelle11[[#Headers],[Spalte39]],Spielauswertung!$B531:$E531,0))+AZ542)</f>
        <v>100</v>
      </c>
      <c r="BA543" s="1">
        <f>IF(IFERROR(MATCH(Tabelle11[[#Headers],[Spalte40]],Spielauswertung!$B531:$E531,0),0)=0,BA542,INDEX(Spielauswertung!$AB531:$AE531,MATCH(Tabelle11[[#Headers],[Spalte40]],Spielauswertung!$B531:$E531,0))+BA542)</f>
        <v>100</v>
      </c>
      <c r="BB543" s="1">
        <f>IF(IFERROR(MATCH(Tabelle11[[#Headers],[Spalte41]],Spielauswertung!$B531:$E531,0),0)=0,BB542,INDEX(Spielauswertung!$AB531:$AE531,MATCH(Tabelle11[[#Headers],[Spalte41]],Spielauswertung!$B531:$E531,0))+BB542)</f>
        <v>100</v>
      </c>
      <c r="BC543" s="1">
        <f>IF(IFERROR(MATCH(Tabelle11[[#Headers],[Spalte42]],Spielauswertung!$B531:$E531,0),0)=0,BC542,INDEX(Spielauswertung!$AB531:$AE531,MATCH(Tabelle11[[#Headers],[Spalte42]],Spielauswertung!$B531:$E531,0))+BC542)</f>
        <v>100</v>
      </c>
      <c r="BD543" s="1">
        <f>IF(IFERROR(MATCH(Tabelle11[[#Headers],[Spalte43]],Spielauswertung!$B531:$E531,0),0)=0,BD542,INDEX(Spielauswertung!$AB531:$AE531,MATCH(Tabelle11[[#Headers],[Spalte43]],Spielauswertung!$B531:$E531,0))+BD542)</f>
        <v>100</v>
      </c>
      <c r="BE543" s="1">
        <f>IF(IFERROR(MATCH(Tabelle11[[#Headers],[Spalte44]],Spielauswertung!$B531:$E531,0),0)=0,BE542,INDEX(Spielauswertung!$AB531:$AE531,MATCH(Tabelle11[[#Headers],[Spalte44]],Spielauswertung!$B531:$E531,0))+BE542)</f>
        <v>100</v>
      </c>
      <c r="BF543" s="1">
        <f>IF(IFERROR(MATCH(Tabelle11[[#Headers],[Spalte45]],Spielauswertung!$B531:$E531,0),0)=0,BF542,INDEX(Spielauswertung!$AB531:$AE531,MATCH(Tabelle11[[#Headers],[Spalte45]],Spielauswertung!$B531:$E531,0))+BF542)</f>
        <v>100</v>
      </c>
      <c r="BG543" s="1">
        <f>IF(IFERROR(MATCH(Tabelle11[[#Headers],[Spalte46]],Spielauswertung!$B531:$E531,0),0)=0,BG542,INDEX(Spielauswertung!$AB531:$AE531,MATCH(Tabelle11[[#Headers],[Spalte46]],Spielauswertung!$B531:$E531,0))+BG542)</f>
        <v>100</v>
      </c>
      <c r="BH543" s="1">
        <f>IF(IFERROR(MATCH(Tabelle11[[#Headers],[Spalte47]],Spielauswertung!$B531:$E531,0),0)=0,BH542,INDEX(Spielauswertung!$AB531:$AE531,MATCH(Tabelle11[[#Headers],[Spalte47]],Spielauswertung!$B531:$E531,0))+BH542)</f>
        <v>100</v>
      </c>
    </row>
    <row r="544" spans="1:60" x14ac:dyDescent="0.25">
      <c r="A544">
        <f t="shared" si="9"/>
        <v>531</v>
      </c>
      <c r="B544" s="1">
        <f>IF(IFERROR(MATCH(Tabelle11[[#Headers],[Aleix_V]],Spielauswertung!$B532:$E532,0),0)=0,B543,INDEX(Spielauswertung!$AB532:$AE532,MATCH(Tabelle11[[#Headers],[Aleix_V]],Spielauswertung!$B532:$E532,0))+B543)</f>
        <v>102.47318019444646</v>
      </c>
      <c r="C544" s="1">
        <f>IF(IFERROR(MATCH(Tabelle11[[#Headers],[Andres_H]],Spielauswertung!$B532:$E532,0),0)=0,C543,INDEX(Spielauswertung!$AB532:$AE532,MATCH(Tabelle11[[#Headers],[Andres_H]],Spielauswertung!$B532:$E532,0))+C543)</f>
        <v>95.535732339111306</v>
      </c>
      <c r="D544" s="1">
        <f>IF(IFERROR(MATCH(Tabelle11[[#Headers],[Anton_K]],Spielauswertung!$B532:$E532,0),0)=0,D543,INDEX(Spielauswertung!$AB532:$AE532,MATCH(Tabelle11[[#Headers],[Anton_K]],Spielauswertung!$B532:$E532,0))+D543)</f>
        <v>99.287728777054667</v>
      </c>
      <c r="E544" s="1">
        <f>IF(IFERROR(MATCH(Tabelle11[[#Headers],[Bastian_G]],Spielauswertung!$B532:$E532,0),0)=0,E543,INDEX(Spielauswertung!$AB532:$AE532,MATCH(Tabelle11[[#Headers],[Bastian_G]],Spielauswertung!$B532:$E532,0))+E543)</f>
        <v>117.49978695184252</v>
      </c>
      <c r="F544" s="1">
        <f>IF(IFERROR(MATCH(Tabelle11[[#Headers],[Ben_S]],Spielauswertung!$B532:$E532,0),0)=0,F543,INDEX(Spielauswertung!$AB532:$AE532,MATCH(Tabelle11[[#Headers],[Ben_S]],Spielauswertung!$B532:$E532,0))+F543)</f>
        <v>95.932799101521084</v>
      </c>
      <c r="G544" s="1">
        <f>IF(IFERROR(MATCH(Tabelle11[[#Headers],[Benedikt_K]],Spielauswertung!$B532:$E532,0),0)=0,G543,INDEX(Spielauswertung!$AB532:$AE532,MATCH(Tabelle11[[#Headers],[Benedikt_K]],Spielauswertung!$B532:$E532,0))+G543)</f>
        <v>101.20264176422626</v>
      </c>
      <c r="H544" s="1">
        <f>IF(IFERROR(MATCH(Tabelle11[[#Headers],[Benedikt_R]],Spielauswertung!$B532:$E532,0),0)=0,H543,INDEX(Spielauswertung!$AB532:$AE532,MATCH(Tabelle11[[#Headers],[Benedikt_R]],Spielauswertung!$B532:$E532,0))+H543)</f>
        <v>102.6264770510757</v>
      </c>
      <c r="I544" s="1">
        <f>IF(IFERROR(MATCH(Tabelle11[[#Headers],[Carsten_H]],Spielauswertung!$B532:$E532,0),0)=0,I543,INDEX(Spielauswertung!$AB532:$AE532,MATCH(Tabelle11[[#Headers],[Carsten_H]],Spielauswertung!$B532:$E532,0))+I543)</f>
        <v>90.817185094326874</v>
      </c>
      <c r="J544" s="1">
        <f>IF(IFERROR(MATCH(Tabelle11[[#Headers],[Christoph_R]],Spielauswertung!$B532:$E532,0),0)=0,J543,INDEX(Spielauswertung!$AB532:$AE532,MATCH(Tabelle11[[#Headers],[Christoph_R]],Spielauswertung!$B532:$E532,0))+J543)</f>
        <v>109.73261611443155</v>
      </c>
      <c r="K544" s="1">
        <f>IF(IFERROR(MATCH(Tabelle11[[#Headers],[Claudius_J]],Spielauswertung!$B532:$E532,0),0)=0,K543,INDEX(Spielauswertung!$AB532:$AE532,MATCH(Tabelle11[[#Headers],[Claudius_J]],Spielauswertung!$B532:$E532,0))+K543)</f>
        <v>106.16590636000029</v>
      </c>
      <c r="L544" s="1">
        <f>IF(IFERROR(MATCH(Tabelle11[[#Headers],[Daniel_D]],Spielauswertung!$B532:$E532,0),0)=0,L543,INDEX(Spielauswertung!$AB532:$AE532,MATCH(Tabelle11[[#Headers],[Daniel_D]],Spielauswertung!$B532:$E532,0))+L543)</f>
        <v>99.990299180470089</v>
      </c>
      <c r="M544" s="1">
        <f>IF(IFERROR(MATCH(Tabelle11[[#Headers],[David_R]],Spielauswertung!$B532:$E532,0),0)=0,M543,INDEX(Spielauswertung!$AB532:$AE532,MATCH(Tabelle11[[#Headers],[David_R]],Spielauswertung!$B532:$E532,0))+M543)</f>
        <v>96.715943522481638</v>
      </c>
      <c r="N544" s="1">
        <f>IF(IFERROR(MATCH(Tabelle11[[#Headers],[Dennis_P]],Spielauswertung!$B532:$E532,0),0)=0,N543,INDEX(Spielauswertung!$AB532:$AE532,MATCH(Tabelle11[[#Headers],[Dennis_P]],Spielauswertung!$B532:$E532,0))+N543)</f>
        <v>100.04773223105254</v>
      </c>
      <c r="O544" s="1">
        <f>IF(IFERROR(MATCH(Tabelle11[[#Headers],[Dennis_R]],Spielauswertung!$B532:$E532,0),0)=0,O543,INDEX(Spielauswertung!$AB532:$AE532,MATCH(Tabelle11[[#Headers],[Dennis_R]],Spielauswertung!$B532:$E532,0))+O543)</f>
        <v>75.131680864937195</v>
      </c>
      <c r="P544" s="1">
        <f>IF(IFERROR(MATCH(Tabelle11[[#Headers],[Detlef_R]],Spielauswertung!$B532:$E532,0),0)=0,P543,INDEX(Spielauswertung!$AB532:$AE532,MATCH(Tabelle11[[#Headers],[Detlef_R]],Spielauswertung!$B532:$E532,0))+P543)</f>
        <v>87.984671797367014</v>
      </c>
      <c r="Q544" s="1">
        <f>IF(IFERROR(MATCH(Tabelle11[[#Headers],[Dmitrij_M]],Spielauswertung!$B532:$E532,0),0)=0,Q543,INDEX(Spielauswertung!$AB532:$AE532,MATCH(Tabelle11[[#Headers],[Dmitrij_M]],Spielauswertung!$B532:$E532,0))+Q543)</f>
        <v>100.69975721846207</v>
      </c>
      <c r="R544" s="1">
        <f>IF(IFERROR(MATCH(Tabelle11[[#Headers],[Fabian_M]],Spielauswertung!$B532:$E532,0),0)=0,R543,INDEX(Spielauswertung!$AB532:$AE532,MATCH(Tabelle11[[#Headers],[Fabian_M]],Spielauswertung!$B532:$E532,0))+R543)</f>
        <v>95.805387841610738</v>
      </c>
      <c r="S544" s="1">
        <f>IF(IFERROR(MATCH(Tabelle11[[#Headers],[Hannes_S]],Spielauswertung!$B532:$E532,0),0)=0,S543,INDEX(Spielauswertung!$AB532:$AE532,MATCH(Tabelle11[[#Headers],[Hannes_S]],Spielauswertung!$B532:$E532,0))+S543)</f>
        <v>104.83899184012799</v>
      </c>
      <c r="T544" s="1">
        <f>IF(IFERROR(MATCH(Tabelle11[[#Headers],[Jan_B]],Spielauswertung!$B532:$E532,0),0)=0,T543,INDEX(Spielauswertung!$AB532:$AE532,MATCH(Tabelle11[[#Headers],[Jan_B]],Spielauswertung!$B532:$E532,0))+T543)</f>
        <v>100.2794420429173</v>
      </c>
      <c r="U544" s="1">
        <f>IF(IFERROR(MATCH(Tabelle11[[#Headers],[Jan_Hendrik_B]],Spielauswertung!$B532:$E532,0),0)=0,U543,INDEX(Spielauswertung!$AB532:$AE532,MATCH(Tabelle11[[#Headers],[Jan_Hendrik_B]],Spielauswertung!$B532:$E532,0))+U543)</f>
        <v>100.75492416935522</v>
      </c>
      <c r="V544" s="1">
        <f>IF(IFERROR(MATCH(Tabelle11[[#Headers],[Jens_N]],Spielauswertung!$B532:$E532,0),0)=0,V543,INDEX(Spielauswertung!$AB532:$AE532,MATCH(Tabelle11[[#Headers],[Jens_N]],Spielauswertung!$B532:$E532,0))+V543)</f>
        <v>99.643534710196832</v>
      </c>
      <c r="W544" s="1">
        <f>IF(IFERROR(MATCH(Tabelle11[[#Headers],[Johannes_S]],Spielauswertung!$B532:$E532,0),0)=0,W543,INDEX(Spielauswertung!$AB532:$AE532,MATCH(Tabelle11[[#Headers],[Johannes_S]],Spielauswertung!$B532:$E532,0))+W543)</f>
        <v>102.20284750979505</v>
      </c>
      <c r="X544" s="1">
        <f>IF(IFERROR(MATCH(Tabelle11[[#Headers],[Jonathan_F]],Spielauswertung!$B532:$E532,0),0)=0,X543,INDEX(Spielauswertung!$AB532:$AE532,MATCH(Tabelle11[[#Headers],[Jonathan_F]],Spielauswertung!$B532:$E532,0))+X543)</f>
        <v>98.938308797866256</v>
      </c>
      <c r="Y544" s="1">
        <f>IF(IFERROR(MATCH(Tabelle11[[#Headers],[Julius_P]],Spielauswertung!$B532:$E532,0),0)=0,Y543,INDEX(Spielauswertung!$AB532:$AE532,MATCH(Tabelle11[[#Headers],[Julius_P]],Spielauswertung!$B532:$E532,0))+Y543)</f>
        <v>96.540305101873642</v>
      </c>
      <c r="Z544" s="1">
        <f>IF(IFERROR(MATCH(Tabelle11[[#Headers],[Louis_W]],Spielauswertung!$B532:$E532,0),0)=0,Z543,INDEX(Spielauswertung!$AB532:$AE532,MATCH(Tabelle11[[#Headers],[Louis_W]],Spielauswertung!$B532:$E532,0))+Z543)</f>
        <v>87.497452285475362</v>
      </c>
      <c r="AA544" s="1">
        <f>IF(IFERROR(MATCH(Tabelle11[[#Headers],[Lukas_L]],Spielauswertung!$B532:$E532,0),0)=0,AA543,INDEX(Spielauswertung!$AB532:$AE532,MATCH(Tabelle11[[#Headers],[Lukas_L]],Spielauswertung!$B532:$E532,0))+AA543)</f>
        <v>98.447931341404143</v>
      </c>
      <c r="AB544" s="1">
        <f>IF(IFERROR(MATCH(Tabelle11[[#Headers],[Marcin_S]],Spielauswertung!$B532:$E532,0),0)=0,AB543,INDEX(Spielauswertung!$AB532:$AE532,MATCH(Tabelle11[[#Headers],[Marcin_S]],Spielauswertung!$B532:$E532,0))+AB543)</f>
        <v>85.463329105556824</v>
      </c>
      <c r="AC544" s="1">
        <f>IF(IFERROR(MATCH(Tabelle11[[#Headers],[Marco_K]],Spielauswertung!$B532:$E532,0),0)=0,AC543,INDEX(Spielauswertung!$AB532:$AE532,MATCH(Tabelle11[[#Headers],[Marco_K]],Spielauswertung!$B532:$E532,0))+AC543)</f>
        <v>102.12169819441469</v>
      </c>
      <c r="AD544" s="1">
        <f>IF(IFERROR(MATCH(Tabelle11[[#Headers],[Marius_M]],Spielauswertung!$B532:$E532,0),0)=0,AD543,INDEX(Spielauswertung!$AB532:$AE532,MATCH(Tabelle11[[#Headers],[Marius_M]],Spielauswertung!$B532:$E532,0))+AD543)</f>
        <v>124.54012374585781</v>
      </c>
      <c r="AE544" s="1">
        <f>IF(IFERROR(MATCH(Tabelle11[[#Headers],[Marvin_W]],Spielauswertung!$B532:$E532,0),0)=0,AE543,INDEX(Spielauswertung!$AB532:$AE532,MATCH(Tabelle11[[#Headers],[Marvin_W]],Spielauswertung!$B532:$E532,0))+AE543)</f>
        <v>96.700266280577438</v>
      </c>
      <c r="AF544" s="1">
        <f>IF(IFERROR(MATCH(Tabelle11[[#Headers],[Matthias_H]],Spielauswertung!$B532:$E532,0),0)=0,AF543,INDEX(Spielauswertung!$AB532:$AE532,MATCH(Tabelle11[[#Headers],[Matthias_H]],Spielauswertung!$B532:$E532,0))+AF543)</f>
        <v>105.42130178599372</v>
      </c>
      <c r="AG544" s="1">
        <f>IF(IFERROR(MATCH(Tabelle11[[#Headers],[Michael_D]],Spielauswertung!$B532:$E532,0),0)=0,AG543,INDEX(Spielauswertung!$AB532:$AE532,MATCH(Tabelle11[[#Headers],[Michael_D]],Spielauswertung!$B532:$E532,0))+AG543)</f>
        <v>96.436276170375336</v>
      </c>
      <c r="AH544" s="1">
        <f>IF(IFERROR(MATCH(Tabelle11[[#Headers],[Patrick_S]],Spielauswertung!$B532:$E532,0),0)=0,AH543,INDEX(Spielauswertung!$AB532:$AE532,MATCH(Tabelle11[[#Headers],[Patrick_S]],Spielauswertung!$B532:$E532,0))+AH543)</f>
        <v>98.975330692053802</v>
      </c>
      <c r="AI544" s="1">
        <f>IF(IFERROR(MATCH(Tabelle11[[#Headers],[Rano_M]],Spielauswertung!$B532:$E532,0),0)=0,AI543,INDEX(Spielauswertung!$AB532:$AE532,MATCH(Tabelle11[[#Headers],[Rano_M]],Spielauswertung!$B532:$E532,0))+AI543)</f>
        <v>109.38890657420265</v>
      </c>
      <c r="AJ544" s="1">
        <f>IF(IFERROR(MATCH(Tabelle11[[#Headers],[Rene_N]],Spielauswertung!$B532:$E532,0),0)=0,AJ543,INDEX(Spielauswertung!$AB532:$AE532,MATCH(Tabelle11[[#Headers],[Rene_N]],Spielauswertung!$B532:$E532,0))+AJ543)</f>
        <v>101.06482124619033</v>
      </c>
      <c r="AK544" s="1">
        <f>IF(IFERROR(MATCH(Tabelle11[[#Headers],[Rene_P]],Spielauswertung!$B532:$E532,0),0)=0,AK543,INDEX(Spielauswertung!$AB532:$AE532,MATCH(Tabelle11[[#Headers],[Rene_P]],Spielauswertung!$B532:$E532,0))+AK543)</f>
        <v>88.762543186332877</v>
      </c>
      <c r="AL544" s="1">
        <f>IF(IFERROR(MATCH(Tabelle11[[#Headers],[Richard_D]],Spielauswertung!$B532:$E532,0),0)=0,AL543,INDEX(Spielauswertung!$AB532:$AE532,MATCH(Tabelle11[[#Headers],[Richard_D]],Spielauswertung!$B532:$E532,0))+AL543)</f>
        <v>107.23233592026223</v>
      </c>
      <c r="AM544" s="1">
        <f>IF(IFERROR(MATCH(Tabelle11[[#Headers],[Rodrigo_R]],Spielauswertung!$B532:$E532,0),0)=0,AM543,INDEX(Spielauswertung!$AB532:$AE532,MATCH(Tabelle11[[#Headers],[Rodrigo_R]],Spielauswertung!$B532:$E532,0))+AM543)</f>
        <v>116.7028707921346</v>
      </c>
      <c r="AN544" s="1">
        <f>IF(IFERROR(MATCH(Tabelle11[[#Headers],[Sebastian_A]],Spielauswertung!$B532:$E532,0),0)=0,AN543,INDEX(Spielauswertung!$AB532:$AE532,MATCH(Tabelle11[[#Headers],[Sebastian_A]],Spielauswertung!$B532:$E532,0))+AN543)</f>
        <v>102.89457418671324</v>
      </c>
      <c r="AO544" s="1">
        <f>IF(IFERROR(MATCH(Tabelle11[[#Headers],[Sebastian_St]],Spielauswertung!$B532:$E532,0),0)=0,AO543,INDEX(Spielauswertung!$AB532:$AE532,MATCH(Tabelle11[[#Headers],[Sebastian_St]],Spielauswertung!$B532:$E532,0))+AO543)</f>
        <v>97.749574367408982</v>
      </c>
      <c r="AP544" s="1">
        <f>IF(IFERROR(MATCH(Tabelle11[[#Headers],[Simon_U]],Spielauswertung!$B532:$E532,0),0)=0,AP543,INDEX(Spielauswertung!$AB532:$AE532,MATCH(Tabelle11[[#Headers],[Simon_U]],Spielauswertung!$B532:$E532,0))+AP543)</f>
        <v>99.623054841470903</v>
      </c>
      <c r="AQ544" s="1">
        <f>IF(IFERROR(MATCH(Tabelle11[[#Headers],[Steffen_R]],Spielauswertung!$B532:$E532,0),0)=0,AQ543,INDEX(Spielauswertung!$AB532:$AE532,MATCH(Tabelle11[[#Headers],[Steffen_R]],Spielauswertung!$B532:$E532,0))+AQ543)</f>
        <v>93.247497067190949</v>
      </c>
      <c r="AR544" s="1">
        <f>IF(IFERROR(MATCH(Tabelle11[[#Headers],[Tim_R]],Spielauswertung!$B532:$E532,0),0)=0,AR543,INDEX(Spielauswertung!$AB532:$AE532,MATCH(Tabelle11[[#Headers],[Tim_R]],Spielauswertung!$B532:$E532,0))+AR543)</f>
        <v>103.07503787023374</v>
      </c>
      <c r="AS544" s="1">
        <f>IF(IFERROR(MATCH(Tabelle11[[#Headers],[Tobias_S]],Spielauswertung!$B532:$E532,0),0)=0,AS543,INDEX(Spielauswertung!$AB532:$AE532,MATCH(Tabelle11[[#Headers],[Tobias_S]],Spielauswertung!$B532:$E532,0))+AS543)</f>
        <v>98.6003422659997</v>
      </c>
      <c r="AT544" s="1">
        <f>IF(IFERROR(MATCH(Tabelle11[[#Headers],[Tom_R]],Spielauswertung!$B532:$E532,0),0)=0,AT543,INDEX(Spielauswertung!$AB532:$AE532,MATCH(Tabelle11[[#Headers],[Tom_R]],Spielauswertung!$B532:$E532,0))+AT543)</f>
        <v>112.62344492949197</v>
      </c>
      <c r="AU544" s="1">
        <f>IF(IFERROR(MATCH(Tabelle11[[#Headers],[Ton_L]],Spielauswertung!$B532:$E532,0),0)=0,AU543,INDEX(Spielauswertung!$AB532:$AE532,MATCH(Tabelle11[[#Headers],[Ton_L]],Spielauswertung!$B532:$E532,0))+AU543)</f>
        <v>92.683083360025861</v>
      </c>
      <c r="AV544" s="1">
        <f>IF(IFERROR(MATCH(Tabelle11[[#Headers],[Yixin_G]],Spielauswertung!$B532:$E532,0),0)=0,AV543,INDEX(Spielauswertung!$AB532:$AE532,MATCH(Tabelle11[[#Headers],[Yixin_G]],Spielauswertung!$B532:$E532,0))+AV543)</f>
        <v>99.900323214082661</v>
      </c>
      <c r="AW544" s="1">
        <f>IF(IFERROR(MATCH(Tabelle11[[#Headers],[Spalte36]],Spielauswertung!$B532:$E532,0),0)=0,AW543,INDEX(Spielauswertung!$AB532:$AE532,MATCH(Tabelle11[[#Headers],[Spalte36]],Spielauswertung!$B532:$E532,0))+AW543)</f>
        <v>100</v>
      </c>
      <c r="AX544" s="1">
        <f>IF(IFERROR(MATCH(Tabelle11[[#Headers],[Spalte37]],Spielauswertung!$B532:$E532,0),0)=0,AX543,INDEX(Spielauswertung!$AB532:$AE532,MATCH(Tabelle11[[#Headers],[Spalte37]],Spielauswertung!$B532:$E532,0))+AX543)</f>
        <v>100</v>
      </c>
      <c r="AY544" s="1">
        <f>IF(IFERROR(MATCH(Tabelle11[[#Headers],[Spalte38]],Spielauswertung!$B532:$E532,0),0)=0,AY543,INDEX(Spielauswertung!$AB532:$AE532,MATCH(Tabelle11[[#Headers],[Spalte38]],Spielauswertung!$B532:$E532,0))+AY543)</f>
        <v>100</v>
      </c>
      <c r="AZ544" s="1">
        <f>IF(IFERROR(MATCH(Tabelle11[[#Headers],[Spalte39]],Spielauswertung!$B532:$E532,0),0)=0,AZ543,INDEX(Spielauswertung!$AB532:$AE532,MATCH(Tabelle11[[#Headers],[Spalte39]],Spielauswertung!$B532:$E532,0))+AZ543)</f>
        <v>100</v>
      </c>
      <c r="BA544" s="1">
        <f>IF(IFERROR(MATCH(Tabelle11[[#Headers],[Spalte40]],Spielauswertung!$B532:$E532,0),0)=0,BA543,INDEX(Spielauswertung!$AB532:$AE532,MATCH(Tabelle11[[#Headers],[Spalte40]],Spielauswertung!$B532:$E532,0))+BA543)</f>
        <v>100</v>
      </c>
      <c r="BB544" s="1">
        <f>IF(IFERROR(MATCH(Tabelle11[[#Headers],[Spalte41]],Spielauswertung!$B532:$E532,0),0)=0,BB543,INDEX(Spielauswertung!$AB532:$AE532,MATCH(Tabelle11[[#Headers],[Spalte41]],Spielauswertung!$B532:$E532,0))+BB543)</f>
        <v>100</v>
      </c>
      <c r="BC544" s="1">
        <f>IF(IFERROR(MATCH(Tabelle11[[#Headers],[Spalte42]],Spielauswertung!$B532:$E532,0),0)=0,BC543,INDEX(Spielauswertung!$AB532:$AE532,MATCH(Tabelle11[[#Headers],[Spalte42]],Spielauswertung!$B532:$E532,0))+BC543)</f>
        <v>100</v>
      </c>
      <c r="BD544" s="1">
        <f>IF(IFERROR(MATCH(Tabelle11[[#Headers],[Spalte43]],Spielauswertung!$B532:$E532,0),0)=0,BD543,INDEX(Spielauswertung!$AB532:$AE532,MATCH(Tabelle11[[#Headers],[Spalte43]],Spielauswertung!$B532:$E532,0))+BD543)</f>
        <v>100</v>
      </c>
      <c r="BE544" s="1">
        <f>IF(IFERROR(MATCH(Tabelle11[[#Headers],[Spalte44]],Spielauswertung!$B532:$E532,0),0)=0,BE543,INDEX(Spielauswertung!$AB532:$AE532,MATCH(Tabelle11[[#Headers],[Spalte44]],Spielauswertung!$B532:$E532,0))+BE543)</f>
        <v>100</v>
      </c>
      <c r="BF544" s="1">
        <f>IF(IFERROR(MATCH(Tabelle11[[#Headers],[Spalte45]],Spielauswertung!$B532:$E532,0),0)=0,BF543,INDEX(Spielauswertung!$AB532:$AE532,MATCH(Tabelle11[[#Headers],[Spalte45]],Spielauswertung!$B532:$E532,0))+BF543)</f>
        <v>100</v>
      </c>
      <c r="BG544" s="1">
        <f>IF(IFERROR(MATCH(Tabelle11[[#Headers],[Spalte46]],Spielauswertung!$B532:$E532,0),0)=0,BG543,INDEX(Spielauswertung!$AB532:$AE532,MATCH(Tabelle11[[#Headers],[Spalte46]],Spielauswertung!$B532:$E532,0))+BG543)</f>
        <v>100</v>
      </c>
      <c r="BH544" s="1">
        <f>IF(IFERROR(MATCH(Tabelle11[[#Headers],[Spalte47]],Spielauswertung!$B532:$E532,0),0)=0,BH543,INDEX(Spielauswertung!$AB532:$AE532,MATCH(Tabelle11[[#Headers],[Spalte47]],Spielauswertung!$B532:$E532,0))+BH543)</f>
        <v>100</v>
      </c>
    </row>
    <row r="545" spans="1:60" x14ac:dyDescent="0.25">
      <c r="A545">
        <f t="shared" si="9"/>
        <v>532</v>
      </c>
      <c r="B545" s="1">
        <f>IF(IFERROR(MATCH(Tabelle11[[#Headers],[Aleix_V]],Spielauswertung!$B533:$E533,0),0)=0,B544,INDEX(Spielauswertung!$AB533:$AE533,MATCH(Tabelle11[[#Headers],[Aleix_V]],Spielauswertung!$B533:$E533,0))+B544)</f>
        <v>102.47318019444646</v>
      </c>
      <c r="C545" s="1">
        <f>IF(IFERROR(MATCH(Tabelle11[[#Headers],[Andres_H]],Spielauswertung!$B533:$E533,0),0)=0,C544,INDEX(Spielauswertung!$AB533:$AE533,MATCH(Tabelle11[[#Headers],[Andres_H]],Spielauswertung!$B533:$E533,0))+C544)</f>
        <v>95.535732339111306</v>
      </c>
      <c r="D545" s="1">
        <f>IF(IFERROR(MATCH(Tabelle11[[#Headers],[Anton_K]],Spielauswertung!$B533:$E533,0),0)=0,D544,INDEX(Spielauswertung!$AB533:$AE533,MATCH(Tabelle11[[#Headers],[Anton_K]],Spielauswertung!$B533:$E533,0))+D544)</f>
        <v>99.287728777054667</v>
      </c>
      <c r="E545" s="1">
        <f>IF(IFERROR(MATCH(Tabelle11[[#Headers],[Bastian_G]],Spielauswertung!$B533:$E533,0),0)=0,E544,INDEX(Spielauswertung!$AB533:$AE533,MATCH(Tabelle11[[#Headers],[Bastian_G]],Spielauswertung!$B533:$E533,0))+E544)</f>
        <v>117.49978695184252</v>
      </c>
      <c r="F545" s="1">
        <f>IF(IFERROR(MATCH(Tabelle11[[#Headers],[Ben_S]],Spielauswertung!$B533:$E533,0),0)=0,F544,INDEX(Spielauswertung!$AB533:$AE533,MATCH(Tabelle11[[#Headers],[Ben_S]],Spielauswertung!$B533:$E533,0))+F544)</f>
        <v>95.932799101521084</v>
      </c>
      <c r="G545" s="1">
        <f>IF(IFERROR(MATCH(Tabelle11[[#Headers],[Benedikt_K]],Spielauswertung!$B533:$E533,0),0)=0,G544,INDEX(Spielauswertung!$AB533:$AE533,MATCH(Tabelle11[[#Headers],[Benedikt_K]],Spielauswertung!$B533:$E533,0))+G544)</f>
        <v>101.20264176422626</v>
      </c>
      <c r="H545" s="1">
        <f>IF(IFERROR(MATCH(Tabelle11[[#Headers],[Benedikt_R]],Spielauswertung!$B533:$E533,0),0)=0,H544,INDEX(Spielauswertung!$AB533:$AE533,MATCH(Tabelle11[[#Headers],[Benedikt_R]],Spielauswertung!$B533:$E533,0))+H544)</f>
        <v>102.6264770510757</v>
      </c>
      <c r="I545" s="1">
        <f>IF(IFERROR(MATCH(Tabelle11[[#Headers],[Carsten_H]],Spielauswertung!$B533:$E533,0),0)=0,I544,INDEX(Spielauswertung!$AB533:$AE533,MATCH(Tabelle11[[#Headers],[Carsten_H]],Spielauswertung!$B533:$E533,0))+I544)</f>
        <v>90.817185094326874</v>
      </c>
      <c r="J545" s="1">
        <f>IF(IFERROR(MATCH(Tabelle11[[#Headers],[Christoph_R]],Spielauswertung!$B533:$E533,0),0)=0,J544,INDEX(Spielauswertung!$AB533:$AE533,MATCH(Tabelle11[[#Headers],[Christoph_R]],Spielauswertung!$B533:$E533,0))+J544)</f>
        <v>109.73261611443155</v>
      </c>
      <c r="K545" s="1">
        <f>IF(IFERROR(MATCH(Tabelle11[[#Headers],[Claudius_J]],Spielauswertung!$B533:$E533,0),0)=0,K544,INDEX(Spielauswertung!$AB533:$AE533,MATCH(Tabelle11[[#Headers],[Claudius_J]],Spielauswertung!$B533:$E533,0))+K544)</f>
        <v>106.16590636000029</v>
      </c>
      <c r="L545" s="1">
        <f>IF(IFERROR(MATCH(Tabelle11[[#Headers],[Daniel_D]],Spielauswertung!$B533:$E533,0),0)=0,L544,INDEX(Spielauswertung!$AB533:$AE533,MATCH(Tabelle11[[#Headers],[Daniel_D]],Spielauswertung!$B533:$E533,0))+L544)</f>
        <v>99.990299180470089</v>
      </c>
      <c r="M545" s="1">
        <f>IF(IFERROR(MATCH(Tabelle11[[#Headers],[David_R]],Spielauswertung!$B533:$E533,0),0)=0,M544,INDEX(Spielauswertung!$AB533:$AE533,MATCH(Tabelle11[[#Headers],[David_R]],Spielauswertung!$B533:$E533,0))+M544)</f>
        <v>96.715943522481638</v>
      </c>
      <c r="N545" s="1">
        <f>IF(IFERROR(MATCH(Tabelle11[[#Headers],[Dennis_P]],Spielauswertung!$B533:$E533,0),0)=0,N544,INDEX(Spielauswertung!$AB533:$AE533,MATCH(Tabelle11[[#Headers],[Dennis_P]],Spielauswertung!$B533:$E533,0))+N544)</f>
        <v>100.04773223105254</v>
      </c>
      <c r="O545" s="1">
        <f>IF(IFERROR(MATCH(Tabelle11[[#Headers],[Dennis_R]],Spielauswertung!$B533:$E533,0),0)=0,O544,INDEX(Spielauswertung!$AB533:$AE533,MATCH(Tabelle11[[#Headers],[Dennis_R]],Spielauswertung!$B533:$E533,0))+O544)</f>
        <v>75.131680864937195</v>
      </c>
      <c r="P545" s="1">
        <f>IF(IFERROR(MATCH(Tabelle11[[#Headers],[Detlef_R]],Spielauswertung!$B533:$E533,0),0)=0,P544,INDEX(Spielauswertung!$AB533:$AE533,MATCH(Tabelle11[[#Headers],[Detlef_R]],Spielauswertung!$B533:$E533,0))+P544)</f>
        <v>87.984671797367014</v>
      </c>
      <c r="Q545" s="1">
        <f>IF(IFERROR(MATCH(Tabelle11[[#Headers],[Dmitrij_M]],Spielauswertung!$B533:$E533,0),0)=0,Q544,INDEX(Spielauswertung!$AB533:$AE533,MATCH(Tabelle11[[#Headers],[Dmitrij_M]],Spielauswertung!$B533:$E533,0))+Q544)</f>
        <v>100.69975721846207</v>
      </c>
      <c r="R545" s="1">
        <f>IF(IFERROR(MATCH(Tabelle11[[#Headers],[Fabian_M]],Spielauswertung!$B533:$E533,0),0)=0,R544,INDEX(Spielauswertung!$AB533:$AE533,MATCH(Tabelle11[[#Headers],[Fabian_M]],Spielauswertung!$B533:$E533,0))+R544)</f>
        <v>95.805387841610738</v>
      </c>
      <c r="S545" s="1">
        <f>IF(IFERROR(MATCH(Tabelle11[[#Headers],[Hannes_S]],Spielauswertung!$B533:$E533,0),0)=0,S544,INDEX(Spielauswertung!$AB533:$AE533,MATCH(Tabelle11[[#Headers],[Hannes_S]],Spielauswertung!$B533:$E533,0))+S544)</f>
        <v>104.83899184012799</v>
      </c>
      <c r="T545" s="1">
        <f>IF(IFERROR(MATCH(Tabelle11[[#Headers],[Jan_B]],Spielauswertung!$B533:$E533,0),0)=0,T544,INDEX(Spielauswertung!$AB533:$AE533,MATCH(Tabelle11[[#Headers],[Jan_B]],Spielauswertung!$B533:$E533,0))+T544)</f>
        <v>100.2794420429173</v>
      </c>
      <c r="U545" s="1">
        <f>IF(IFERROR(MATCH(Tabelle11[[#Headers],[Jan_Hendrik_B]],Spielauswertung!$B533:$E533,0),0)=0,U544,INDEX(Spielauswertung!$AB533:$AE533,MATCH(Tabelle11[[#Headers],[Jan_Hendrik_B]],Spielauswertung!$B533:$E533,0))+U544)</f>
        <v>100.75492416935522</v>
      </c>
      <c r="V545" s="1">
        <f>IF(IFERROR(MATCH(Tabelle11[[#Headers],[Jens_N]],Spielauswertung!$B533:$E533,0),0)=0,V544,INDEX(Spielauswertung!$AB533:$AE533,MATCH(Tabelle11[[#Headers],[Jens_N]],Spielauswertung!$B533:$E533,0))+V544)</f>
        <v>99.643534710196832</v>
      </c>
      <c r="W545" s="1">
        <f>IF(IFERROR(MATCH(Tabelle11[[#Headers],[Johannes_S]],Spielauswertung!$B533:$E533,0),0)=0,W544,INDEX(Spielauswertung!$AB533:$AE533,MATCH(Tabelle11[[#Headers],[Johannes_S]],Spielauswertung!$B533:$E533,0))+W544)</f>
        <v>102.20284750979505</v>
      </c>
      <c r="X545" s="1">
        <f>IF(IFERROR(MATCH(Tabelle11[[#Headers],[Jonathan_F]],Spielauswertung!$B533:$E533,0),0)=0,X544,INDEX(Spielauswertung!$AB533:$AE533,MATCH(Tabelle11[[#Headers],[Jonathan_F]],Spielauswertung!$B533:$E533,0))+X544)</f>
        <v>98.938308797866256</v>
      </c>
      <c r="Y545" s="1">
        <f>IF(IFERROR(MATCH(Tabelle11[[#Headers],[Julius_P]],Spielauswertung!$B533:$E533,0),0)=0,Y544,INDEX(Spielauswertung!$AB533:$AE533,MATCH(Tabelle11[[#Headers],[Julius_P]],Spielauswertung!$B533:$E533,0))+Y544)</f>
        <v>96.540305101873642</v>
      </c>
      <c r="Z545" s="1">
        <f>IF(IFERROR(MATCH(Tabelle11[[#Headers],[Louis_W]],Spielauswertung!$B533:$E533,0),0)=0,Z544,INDEX(Spielauswertung!$AB533:$AE533,MATCH(Tabelle11[[#Headers],[Louis_W]],Spielauswertung!$B533:$E533,0))+Z544)</f>
        <v>87.497452285475362</v>
      </c>
      <c r="AA545" s="1">
        <f>IF(IFERROR(MATCH(Tabelle11[[#Headers],[Lukas_L]],Spielauswertung!$B533:$E533,0),0)=0,AA544,INDEX(Spielauswertung!$AB533:$AE533,MATCH(Tabelle11[[#Headers],[Lukas_L]],Spielauswertung!$B533:$E533,0))+AA544)</f>
        <v>98.447931341404143</v>
      </c>
      <c r="AB545" s="1">
        <f>IF(IFERROR(MATCH(Tabelle11[[#Headers],[Marcin_S]],Spielauswertung!$B533:$E533,0),0)=0,AB544,INDEX(Spielauswertung!$AB533:$AE533,MATCH(Tabelle11[[#Headers],[Marcin_S]],Spielauswertung!$B533:$E533,0))+AB544)</f>
        <v>85.463329105556824</v>
      </c>
      <c r="AC545" s="1">
        <f>IF(IFERROR(MATCH(Tabelle11[[#Headers],[Marco_K]],Spielauswertung!$B533:$E533,0),0)=0,AC544,INDEX(Spielauswertung!$AB533:$AE533,MATCH(Tabelle11[[#Headers],[Marco_K]],Spielauswertung!$B533:$E533,0))+AC544)</f>
        <v>102.12169819441469</v>
      </c>
      <c r="AD545" s="1">
        <f>IF(IFERROR(MATCH(Tabelle11[[#Headers],[Marius_M]],Spielauswertung!$B533:$E533,0),0)=0,AD544,INDEX(Spielauswertung!$AB533:$AE533,MATCH(Tabelle11[[#Headers],[Marius_M]],Spielauswertung!$B533:$E533,0))+AD544)</f>
        <v>124.54012374585781</v>
      </c>
      <c r="AE545" s="1">
        <f>IF(IFERROR(MATCH(Tabelle11[[#Headers],[Marvin_W]],Spielauswertung!$B533:$E533,0),0)=0,AE544,INDEX(Spielauswertung!$AB533:$AE533,MATCH(Tabelle11[[#Headers],[Marvin_W]],Spielauswertung!$B533:$E533,0))+AE544)</f>
        <v>96.700266280577438</v>
      </c>
      <c r="AF545" s="1">
        <f>IF(IFERROR(MATCH(Tabelle11[[#Headers],[Matthias_H]],Spielauswertung!$B533:$E533,0),0)=0,AF544,INDEX(Spielauswertung!$AB533:$AE533,MATCH(Tabelle11[[#Headers],[Matthias_H]],Spielauswertung!$B533:$E533,0))+AF544)</f>
        <v>105.42130178599372</v>
      </c>
      <c r="AG545" s="1">
        <f>IF(IFERROR(MATCH(Tabelle11[[#Headers],[Michael_D]],Spielauswertung!$B533:$E533,0),0)=0,AG544,INDEX(Spielauswertung!$AB533:$AE533,MATCH(Tabelle11[[#Headers],[Michael_D]],Spielauswertung!$B533:$E533,0))+AG544)</f>
        <v>96.436276170375336</v>
      </c>
      <c r="AH545" s="1">
        <f>IF(IFERROR(MATCH(Tabelle11[[#Headers],[Patrick_S]],Spielauswertung!$B533:$E533,0),0)=0,AH544,INDEX(Spielauswertung!$AB533:$AE533,MATCH(Tabelle11[[#Headers],[Patrick_S]],Spielauswertung!$B533:$E533,0))+AH544)</f>
        <v>98.975330692053802</v>
      </c>
      <c r="AI545" s="1">
        <f>IF(IFERROR(MATCH(Tabelle11[[#Headers],[Rano_M]],Spielauswertung!$B533:$E533,0),0)=0,AI544,INDEX(Spielauswertung!$AB533:$AE533,MATCH(Tabelle11[[#Headers],[Rano_M]],Spielauswertung!$B533:$E533,0))+AI544)</f>
        <v>109.38890657420265</v>
      </c>
      <c r="AJ545" s="1">
        <f>IF(IFERROR(MATCH(Tabelle11[[#Headers],[Rene_N]],Spielauswertung!$B533:$E533,0),0)=0,AJ544,INDEX(Spielauswertung!$AB533:$AE533,MATCH(Tabelle11[[#Headers],[Rene_N]],Spielauswertung!$B533:$E533,0))+AJ544)</f>
        <v>101.06482124619033</v>
      </c>
      <c r="AK545" s="1">
        <f>IF(IFERROR(MATCH(Tabelle11[[#Headers],[Rene_P]],Spielauswertung!$B533:$E533,0),0)=0,AK544,INDEX(Spielauswertung!$AB533:$AE533,MATCH(Tabelle11[[#Headers],[Rene_P]],Spielauswertung!$B533:$E533,0))+AK544)</f>
        <v>88.762543186332877</v>
      </c>
      <c r="AL545" s="1">
        <f>IF(IFERROR(MATCH(Tabelle11[[#Headers],[Richard_D]],Spielauswertung!$B533:$E533,0),0)=0,AL544,INDEX(Spielauswertung!$AB533:$AE533,MATCH(Tabelle11[[#Headers],[Richard_D]],Spielauswertung!$B533:$E533,0))+AL544)</f>
        <v>107.23233592026223</v>
      </c>
      <c r="AM545" s="1">
        <f>IF(IFERROR(MATCH(Tabelle11[[#Headers],[Rodrigo_R]],Spielauswertung!$B533:$E533,0),0)=0,AM544,INDEX(Spielauswertung!$AB533:$AE533,MATCH(Tabelle11[[#Headers],[Rodrigo_R]],Spielauswertung!$B533:$E533,0))+AM544)</f>
        <v>116.7028707921346</v>
      </c>
      <c r="AN545" s="1">
        <f>IF(IFERROR(MATCH(Tabelle11[[#Headers],[Sebastian_A]],Spielauswertung!$B533:$E533,0),0)=0,AN544,INDEX(Spielauswertung!$AB533:$AE533,MATCH(Tabelle11[[#Headers],[Sebastian_A]],Spielauswertung!$B533:$E533,0))+AN544)</f>
        <v>102.89457418671324</v>
      </c>
      <c r="AO545" s="1">
        <f>IF(IFERROR(MATCH(Tabelle11[[#Headers],[Sebastian_St]],Spielauswertung!$B533:$E533,0),0)=0,AO544,INDEX(Spielauswertung!$AB533:$AE533,MATCH(Tabelle11[[#Headers],[Sebastian_St]],Spielauswertung!$B533:$E533,0))+AO544)</f>
        <v>97.749574367408982</v>
      </c>
      <c r="AP545" s="1">
        <f>IF(IFERROR(MATCH(Tabelle11[[#Headers],[Simon_U]],Spielauswertung!$B533:$E533,0),0)=0,AP544,INDEX(Spielauswertung!$AB533:$AE533,MATCH(Tabelle11[[#Headers],[Simon_U]],Spielauswertung!$B533:$E533,0))+AP544)</f>
        <v>99.623054841470903</v>
      </c>
      <c r="AQ545" s="1">
        <f>IF(IFERROR(MATCH(Tabelle11[[#Headers],[Steffen_R]],Spielauswertung!$B533:$E533,0),0)=0,AQ544,INDEX(Spielauswertung!$AB533:$AE533,MATCH(Tabelle11[[#Headers],[Steffen_R]],Spielauswertung!$B533:$E533,0))+AQ544)</f>
        <v>93.247497067190949</v>
      </c>
      <c r="AR545" s="1">
        <f>IF(IFERROR(MATCH(Tabelle11[[#Headers],[Tim_R]],Spielauswertung!$B533:$E533,0),0)=0,AR544,INDEX(Spielauswertung!$AB533:$AE533,MATCH(Tabelle11[[#Headers],[Tim_R]],Spielauswertung!$B533:$E533,0))+AR544)</f>
        <v>103.07503787023374</v>
      </c>
      <c r="AS545" s="1">
        <f>IF(IFERROR(MATCH(Tabelle11[[#Headers],[Tobias_S]],Spielauswertung!$B533:$E533,0),0)=0,AS544,INDEX(Spielauswertung!$AB533:$AE533,MATCH(Tabelle11[[#Headers],[Tobias_S]],Spielauswertung!$B533:$E533,0))+AS544)</f>
        <v>98.6003422659997</v>
      </c>
      <c r="AT545" s="1">
        <f>IF(IFERROR(MATCH(Tabelle11[[#Headers],[Tom_R]],Spielauswertung!$B533:$E533,0),0)=0,AT544,INDEX(Spielauswertung!$AB533:$AE533,MATCH(Tabelle11[[#Headers],[Tom_R]],Spielauswertung!$B533:$E533,0))+AT544)</f>
        <v>112.62344492949197</v>
      </c>
      <c r="AU545" s="1">
        <f>IF(IFERROR(MATCH(Tabelle11[[#Headers],[Ton_L]],Spielauswertung!$B533:$E533,0),0)=0,AU544,INDEX(Spielauswertung!$AB533:$AE533,MATCH(Tabelle11[[#Headers],[Ton_L]],Spielauswertung!$B533:$E533,0))+AU544)</f>
        <v>92.683083360025861</v>
      </c>
      <c r="AV545" s="1">
        <f>IF(IFERROR(MATCH(Tabelle11[[#Headers],[Yixin_G]],Spielauswertung!$B533:$E533,0),0)=0,AV544,INDEX(Spielauswertung!$AB533:$AE533,MATCH(Tabelle11[[#Headers],[Yixin_G]],Spielauswertung!$B533:$E533,0))+AV544)</f>
        <v>99.900323214082661</v>
      </c>
      <c r="AW545" s="1">
        <f>IF(IFERROR(MATCH(Tabelle11[[#Headers],[Spalte36]],Spielauswertung!$B533:$E533,0),0)=0,AW544,INDEX(Spielauswertung!$AB533:$AE533,MATCH(Tabelle11[[#Headers],[Spalte36]],Spielauswertung!$B533:$E533,0))+AW544)</f>
        <v>100</v>
      </c>
      <c r="AX545" s="1">
        <f>IF(IFERROR(MATCH(Tabelle11[[#Headers],[Spalte37]],Spielauswertung!$B533:$E533,0),0)=0,AX544,INDEX(Spielauswertung!$AB533:$AE533,MATCH(Tabelle11[[#Headers],[Spalte37]],Spielauswertung!$B533:$E533,0))+AX544)</f>
        <v>100</v>
      </c>
      <c r="AY545" s="1">
        <f>IF(IFERROR(MATCH(Tabelle11[[#Headers],[Spalte38]],Spielauswertung!$B533:$E533,0),0)=0,AY544,INDEX(Spielauswertung!$AB533:$AE533,MATCH(Tabelle11[[#Headers],[Spalte38]],Spielauswertung!$B533:$E533,0))+AY544)</f>
        <v>100</v>
      </c>
      <c r="AZ545" s="1">
        <f>IF(IFERROR(MATCH(Tabelle11[[#Headers],[Spalte39]],Spielauswertung!$B533:$E533,0),0)=0,AZ544,INDEX(Spielauswertung!$AB533:$AE533,MATCH(Tabelle11[[#Headers],[Spalte39]],Spielauswertung!$B533:$E533,0))+AZ544)</f>
        <v>100</v>
      </c>
      <c r="BA545" s="1">
        <f>IF(IFERROR(MATCH(Tabelle11[[#Headers],[Spalte40]],Spielauswertung!$B533:$E533,0),0)=0,BA544,INDEX(Spielauswertung!$AB533:$AE533,MATCH(Tabelle11[[#Headers],[Spalte40]],Spielauswertung!$B533:$E533,0))+BA544)</f>
        <v>100</v>
      </c>
      <c r="BB545" s="1">
        <f>IF(IFERROR(MATCH(Tabelle11[[#Headers],[Spalte41]],Spielauswertung!$B533:$E533,0),0)=0,BB544,INDEX(Spielauswertung!$AB533:$AE533,MATCH(Tabelle11[[#Headers],[Spalte41]],Spielauswertung!$B533:$E533,0))+BB544)</f>
        <v>100</v>
      </c>
      <c r="BC545" s="1">
        <f>IF(IFERROR(MATCH(Tabelle11[[#Headers],[Spalte42]],Spielauswertung!$B533:$E533,0),0)=0,BC544,INDEX(Spielauswertung!$AB533:$AE533,MATCH(Tabelle11[[#Headers],[Spalte42]],Spielauswertung!$B533:$E533,0))+BC544)</f>
        <v>100</v>
      </c>
      <c r="BD545" s="1">
        <f>IF(IFERROR(MATCH(Tabelle11[[#Headers],[Spalte43]],Spielauswertung!$B533:$E533,0),0)=0,BD544,INDEX(Spielauswertung!$AB533:$AE533,MATCH(Tabelle11[[#Headers],[Spalte43]],Spielauswertung!$B533:$E533,0))+BD544)</f>
        <v>100</v>
      </c>
      <c r="BE545" s="1">
        <f>IF(IFERROR(MATCH(Tabelle11[[#Headers],[Spalte44]],Spielauswertung!$B533:$E533,0),0)=0,BE544,INDEX(Spielauswertung!$AB533:$AE533,MATCH(Tabelle11[[#Headers],[Spalte44]],Spielauswertung!$B533:$E533,0))+BE544)</f>
        <v>100</v>
      </c>
      <c r="BF545" s="1">
        <f>IF(IFERROR(MATCH(Tabelle11[[#Headers],[Spalte45]],Spielauswertung!$B533:$E533,0),0)=0,BF544,INDEX(Spielauswertung!$AB533:$AE533,MATCH(Tabelle11[[#Headers],[Spalte45]],Spielauswertung!$B533:$E533,0))+BF544)</f>
        <v>100</v>
      </c>
      <c r="BG545" s="1">
        <f>IF(IFERROR(MATCH(Tabelle11[[#Headers],[Spalte46]],Spielauswertung!$B533:$E533,0),0)=0,BG544,INDEX(Spielauswertung!$AB533:$AE533,MATCH(Tabelle11[[#Headers],[Spalte46]],Spielauswertung!$B533:$E533,0))+BG544)</f>
        <v>100</v>
      </c>
      <c r="BH545" s="1">
        <f>IF(IFERROR(MATCH(Tabelle11[[#Headers],[Spalte47]],Spielauswertung!$B533:$E533,0),0)=0,BH544,INDEX(Spielauswertung!$AB533:$AE533,MATCH(Tabelle11[[#Headers],[Spalte47]],Spielauswertung!$B533:$E533,0))+BH544)</f>
        <v>100</v>
      </c>
    </row>
    <row r="546" spans="1:60" x14ac:dyDescent="0.25">
      <c r="A546">
        <f t="shared" si="9"/>
        <v>533</v>
      </c>
      <c r="B546" s="1">
        <f>IF(IFERROR(MATCH(Tabelle11[[#Headers],[Aleix_V]],Spielauswertung!$B534:$E534,0),0)=0,B545,INDEX(Spielauswertung!$AB534:$AE534,MATCH(Tabelle11[[#Headers],[Aleix_V]],Spielauswertung!$B534:$E534,0))+B545)</f>
        <v>102.47318019444646</v>
      </c>
      <c r="C546" s="1">
        <f>IF(IFERROR(MATCH(Tabelle11[[#Headers],[Andres_H]],Spielauswertung!$B534:$E534,0),0)=0,C545,INDEX(Spielauswertung!$AB534:$AE534,MATCH(Tabelle11[[#Headers],[Andres_H]],Spielauswertung!$B534:$E534,0))+C545)</f>
        <v>95.535732339111306</v>
      </c>
      <c r="D546" s="1">
        <f>IF(IFERROR(MATCH(Tabelle11[[#Headers],[Anton_K]],Spielauswertung!$B534:$E534,0),0)=0,D545,INDEX(Spielauswertung!$AB534:$AE534,MATCH(Tabelle11[[#Headers],[Anton_K]],Spielauswertung!$B534:$E534,0))+D545)</f>
        <v>99.287728777054667</v>
      </c>
      <c r="E546" s="1">
        <f>IF(IFERROR(MATCH(Tabelle11[[#Headers],[Bastian_G]],Spielauswertung!$B534:$E534,0),0)=0,E545,INDEX(Spielauswertung!$AB534:$AE534,MATCH(Tabelle11[[#Headers],[Bastian_G]],Spielauswertung!$B534:$E534,0))+E545)</f>
        <v>117.49978695184252</v>
      </c>
      <c r="F546" s="1">
        <f>IF(IFERROR(MATCH(Tabelle11[[#Headers],[Ben_S]],Spielauswertung!$B534:$E534,0),0)=0,F545,INDEX(Spielauswertung!$AB534:$AE534,MATCH(Tabelle11[[#Headers],[Ben_S]],Spielauswertung!$B534:$E534,0))+F545)</f>
        <v>95.932799101521084</v>
      </c>
      <c r="G546" s="1">
        <f>IF(IFERROR(MATCH(Tabelle11[[#Headers],[Benedikt_K]],Spielauswertung!$B534:$E534,0),0)=0,G545,INDEX(Spielauswertung!$AB534:$AE534,MATCH(Tabelle11[[#Headers],[Benedikt_K]],Spielauswertung!$B534:$E534,0))+G545)</f>
        <v>101.20264176422626</v>
      </c>
      <c r="H546" s="1">
        <f>IF(IFERROR(MATCH(Tabelle11[[#Headers],[Benedikt_R]],Spielauswertung!$B534:$E534,0),0)=0,H545,INDEX(Spielauswertung!$AB534:$AE534,MATCH(Tabelle11[[#Headers],[Benedikt_R]],Spielauswertung!$B534:$E534,0))+H545)</f>
        <v>102.6264770510757</v>
      </c>
      <c r="I546" s="1">
        <f>IF(IFERROR(MATCH(Tabelle11[[#Headers],[Carsten_H]],Spielauswertung!$B534:$E534,0),0)=0,I545,INDEX(Spielauswertung!$AB534:$AE534,MATCH(Tabelle11[[#Headers],[Carsten_H]],Spielauswertung!$B534:$E534,0))+I545)</f>
        <v>90.817185094326874</v>
      </c>
      <c r="J546" s="1">
        <f>IF(IFERROR(MATCH(Tabelle11[[#Headers],[Christoph_R]],Spielauswertung!$B534:$E534,0),0)=0,J545,INDEX(Spielauswertung!$AB534:$AE534,MATCH(Tabelle11[[#Headers],[Christoph_R]],Spielauswertung!$B534:$E534,0))+J545)</f>
        <v>109.73261611443155</v>
      </c>
      <c r="K546" s="1">
        <f>IF(IFERROR(MATCH(Tabelle11[[#Headers],[Claudius_J]],Spielauswertung!$B534:$E534,0),0)=0,K545,INDEX(Spielauswertung!$AB534:$AE534,MATCH(Tabelle11[[#Headers],[Claudius_J]],Spielauswertung!$B534:$E534,0))+K545)</f>
        <v>106.16590636000029</v>
      </c>
      <c r="L546" s="1">
        <f>IF(IFERROR(MATCH(Tabelle11[[#Headers],[Daniel_D]],Spielauswertung!$B534:$E534,0),0)=0,L545,INDEX(Spielauswertung!$AB534:$AE534,MATCH(Tabelle11[[#Headers],[Daniel_D]],Spielauswertung!$B534:$E534,0))+L545)</f>
        <v>99.990299180470089</v>
      </c>
      <c r="M546" s="1">
        <f>IF(IFERROR(MATCH(Tabelle11[[#Headers],[David_R]],Spielauswertung!$B534:$E534,0),0)=0,M545,INDEX(Spielauswertung!$AB534:$AE534,MATCH(Tabelle11[[#Headers],[David_R]],Spielauswertung!$B534:$E534,0))+M545)</f>
        <v>96.715943522481638</v>
      </c>
      <c r="N546" s="1">
        <f>IF(IFERROR(MATCH(Tabelle11[[#Headers],[Dennis_P]],Spielauswertung!$B534:$E534,0),0)=0,N545,INDEX(Spielauswertung!$AB534:$AE534,MATCH(Tabelle11[[#Headers],[Dennis_P]],Spielauswertung!$B534:$E534,0))+N545)</f>
        <v>100.04773223105254</v>
      </c>
      <c r="O546" s="1">
        <f>IF(IFERROR(MATCH(Tabelle11[[#Headers],[Dennis_R]],Spielauswertung!$B534:$E534,0),0)=0,O545,INDEX(Spielauswertung!$AB534:$AE534,MATCH(Tabelle11[[#Headers],[Dennis_R]],Spielauswertung!$B534:$E534,0))+O545)</f>
        <v>75.131680864937195</v>
      </c>
      <c r="P546" s="1">
        <f>IF(IFERROR(MATCH(Tabelle11[[#Headers],[Detlef_R]],Spielauswertung!$B534:$E534,0),0)=0,P545,INDEX(Spielauswertung!$AB534:$AE534,MATCH(Tabelle11[[#Headers],[Detlef_R]],Spielauswertung!$B534:$E534,0))+P545)</f>
        <v>87.984671797367014</v>
      </c>
      <c r="Q546" s="1">
        <f>IF(IFERROR(MATCH(Tabelle11[[#Headers],[Dmitrij_M]],Spielauswertung!$B534:$E534,0),0)=0,Q545,INDEX(Spielauswertung!$AB534:$AE534,MATCH(Tabelle11[[#Headers],[Dmitrij_M]],Spielauswertung!$B534:$E534,0))+Q545)</f>
        <v>100.69975721846207</v>
      </c>
      <c r="R546" s="1">
        <f>IF(IFERROR(MATCH(Tabelle11[[#Headers],[Fabian_M]],Spielauswertung!$B534:$E534,0),0)=0,R545,INDEX(Spielauswertung!$AB534:$AE534,MATCH(Tabelle11[[#Headers],[Fabian_M]],Spielauswertung!$B534:$E534,0))+R545)</f>
        <v>95.805387841610738</v>
      </c>
      <c r="S546" s="1">
        <f>IF(IFERROR(MATCH(Tabelle11[[#Headers],[Hannes_S]],Spielauswertung!$B534:$E534,0),0)=0,S545,INDEX(Spielauswertung!$AB534:$AE534,MATCH(Tabelle11[[#Headers],[Hannes_S]],Spielauswertung!$B534:$E534,0))+S545)</f>
        <v>104.83899184012799</v>
      </c>
      <c r="T546" s="1">
        <f>IF(IFERROR(MATCH(Tabelle11[[#Headers],[Jan_B]],Spielauswertung!$B534:$E534,0),0)=0,T545,INDEX(Spielauswertung!$AB534:$AE534,MATCH(Tabelle11[[#Headers],[Jan_B]],Spielauswertung!$B534:$E534,0))+T545)</f>
        <v>100.2794420429173</v>
      </c>
      <c r="U546" s="1">
        <f>IF(IFERROR(MATCH(Tabelle11[[#Headers],[Jan_Hendrik_B]],Spielauswertung!$B534:$E534,0),0)=0,U545,INDEX(Spielauswertung!$AB534:$AE534,MATCH(Tabelle11[[#Headers],[Jan_Hendrik_B]],Spielauswertung!$B534:$E534,0))+U545)</f>
        <v>100.75492416935522</v>
      </c>
      <c r="V546" s="1">
        <f>IF(IFERROR(MATCH(Tabelle11[[#Headers],[Jens_N]],Spielauswertung!$B534:$E534,0),0)=0,V545,INDEX(Spielauswertung!$AB534:$AE534,MATCH(Tabelle11[[#Headers],[Jens_N]],Spielauswertung!$B534:$E534,0))+V545)</f>
        <v>99.643534710196832</v>
      </c>
      <c r="W546" s="1">
        <f>IF(IFERROR(MATCH(Tabelle11[[#Headers],[Johannes_S]],Spielauswertung!$B534:$E534,0),0)=0,W545,INDEX(Spielauswertung!$AB534:$AE534,MATCH(Tabelle11[[#Headers],[Johannes_S]],Spielauswertung!$B534:$E534,0))+W545)</f>
        <v>102.20284750979505</v>
      </c>
      <c r="X546" s="1">
        <f>IF(IFERROR(MATCH(Tabelle11[[#Headers],[Jonathan_F]],Spielauswertung!$B534:$E534,0),0)=0,X545,INDEX(Spielauswertung!$AB534:$AE534,MATCH(Tabelle11[[#Headers],[Jonathan_F]],Spielauswertung!$B534:$E534,0))+X545)</f>
        <v>98.938308797866256</v>
      </c>
      <c r="Y546" s="1">
        <f>IF(IFERROR(MATCH(Tabelle11[[#Headers],[Julius_P]],Spielauswertung!$B534:$E534,0),0)=0,Y545,INDEX(Spielauswertung!$AB534:$AE534,MATCH(Tabelle11[[#Headers],[Julius_P]],Spielauswertung!$B534:$E534,0))+Y545)</f>
        <v>96.540305101873642</v>
      </c>
      <c r="Z546" s="1">
        <f>IF(IFERROR(MATCH(Tabelle11[[#Headers],[Louis_W]],Spielauswertung!$B534:$E534,0),0)=0,Z545,INDEX(Spielauswertung!$AB534:$AE534,MATCH(Tabelle11[[#Headers],[Louis_W]],Spielauswertung!$B534:$E534,0))+Z545)</f>
        <v>87.497452285475362</v>
      </c>
      <c r="AA546" s="1">
        <f>IF(IFERROR(MATCH(Tabelle11[[#Headers],[Lukas_L]],Spielauswertung!$B534:$E534,0),0)=0,AA545,INDEX(Spielauswertung!$AB534:$AE534,MATCH(Tabelle11[[#Headers],[Lukas_L]],Spielauswertung!$B534:$E534,0))+AA545)</f>
        <v>98.447931341404143</v>
      </c>
      <c r="AB546" s="1">
        <f>IF(IFERROR(MATCH(Tabelle11[[#Headers],[Marcin_S]],Spielauswertung!$B534:$E534,0),0)=0,AB545,INDEX(Spielauswertung!$AB534:$AE534,MATCH(Tabelle11[[#Headers],[Marcin_S]],Spielauswertung!$B534:$E534,0))+AB545)</f>
        <v>85.463329105556824</v>
      </c>
      <c r="AC546" s="1">
        <f>IF(IFERROR(MATCH(Tabelle11[[#Headers],[Marco_K]],Spielauswertung!$B534:$E534,0),0)=0,AC545,INDEX(Spielauswertung!$AB534:$AE534,MATCH(Tabelle11[[#Headers],[Marco_K]],Spielauswertung!$B534:$E534,0))+AC545)</f>
        <v>102.12169819441469</v>
      </c>
      <c r="AD546" s="1">
        <f>IF(IFERROR(MATCH(Tabelle11[[#Headers],[Marius_M]],Spielauswertung!$B534:$E534,0),0)=0,AD545,INDEX(Spielauswertung!$AB534:$AE534,MATCH(Tabelle11[[#Headers],[Marius_M]],Spielauswertung!$B534:$E534,0))+AD545)</f>
        <v>124.54012374585781</v>
      </c>
      <c r="AE546" s="1">
        <f>IF(IFERROR(MATCH(Tabelle11[[#Headers],[Marvin_W]],Spielauswertung!$B534:$E534,0),0)=0,AE545,INDEX(Spielauswertung!$AB534:$AE534,MATCH(Tabelle11[[#Headers],[Marvin_W]],Spielauswertung!$B534:$E534,0))+AE545)</f>
        <v>96.700266280577438</v>
      </c>
      <c r="AF546" s="1">
        <f>IF(IFERROR(MATCH(Tabelle11[[#Headers],[Matthias_H]],Spielauswertung!$B534:$E534,0),0)=0,AF545,INDEX(Spielauswertung!$AB534:$AE534,MATCH(Tabelle11[[#Headers],[Matthias_H]],Spielauswertung!$B534:$E534,0))+AF545)</f>
        <v>105.42130178599372</v>
      </c>
      <c r="AG546" s="1">
        <f>IF(IFERROR(MATCH(Tabelle11[[#Headers],[Michael_D]],Spielauswertung!$B534:$E534,0),0)=0,AG545,INDEX(Spielauswertung!$AB534:$AE534,MATCH(Tabelle11[[#Headers],[Michael_D]],Spielauswertung!$B534:$E534,0))+AG545)</f>
        <v>96.436276170375336</v>
      </c>
      <c r="AH546" s="1">
        <f>IF(IFERROR(MATCH(Tabelle11[[#Headers],[Patrick_S]],Spielauswertung!$B534:$E534,0),0)=0,AH545,INDEX(Spielauswertung!$AB534:$AE534,MATCH(Tabelle11[[#Headers],[Patrick_S]],Spielauswertung!$B534:$E534,0))+AH545)</f>
        <v>98.975330692053802</v>
      </c>
      <c r="AI546" s="1">
        <f>IF(IFERROR(MATCH(Tabelle11[[#Headers],[Rano_M]],Spielauswertung!$B534:$E534,0),0)=0,AI545,INDEX(Spielauswertung!$AB534:$AE534,MATCH(Tabelle11[[#Headers],[Rano_M]],Spielauswertung!$B534:$E534,0))+AI545)</f>
        <v>109.38890657420265</v>
      </c>
      <c r="AJ546" s="1">
        <f>IF(IFERROR(MATCH(Tabelle11[[#Headers],[Rene_N]],Spielauswertung!$B534:$E534,0),0)=0,AJ545,INDEX(Spielauswertung!$AB534:$AE534,MATCH(Tabelle11[[#Headers],[Rene_N]],Spielauswertung!$B534:$E534,0))+AJ545)</f>
        <v>101.06482124619033</v>
      </c>
      <c r="AK546" s="1">
        <f>IF(IFERROR(MATCH(Tabelle11[[#Headers],[Rene_P]],Spielauswertung!$B534:$E534,0),0)=0,AK545,INDEX(Spielauswertung!$AB534:$AE534,MATCH(Tabelle11[[#Headers],[Rene_P]],Spielauswertung!$B534:$E534,0))+AK545)</f>
        <v>88.762543186332877</v>
      </c>
      <c r="AL546" s="1">
        <f>IF(IFERROR(MATCH(Tabelle11[[#Headers],[Richard_D]],Spielauswertung!$B534:$E534,0),0)=0,AL545,INDEX(Spielauswertung!$AB534:$AE534,MATCH(Tabelle11[[#Headers],[Richard_D]],Spielauswertung!$B534:$E534,0))+AL545)</f>
        <v>107.23233592026223</v>
      </c>
      <c r="AM546" s="1">
        <f>IF(IFERROR(MATCH(Tabelle11[[#Headers],[Rodrigo_R]],Spielauswertung!$B534:$E534,0),0)=0,AM545,INDEX(Spielauswertung!$AB534:$AE534,MATCH(Tabelle11[[#Headers],[Rodrigo_R]],Spielauswertung!$B534:$E534,0))+AM545)</f>
        <v>116.7028707921346</v>
      </c>
      <c r="AN546" s="1">
        <f>IF(IFERROR(MATCH(Tabelle11[[#Headers],[Sebastian_A]],Spielauswertung!$B534:$E534,0),0)=0,AN545,INDEX(Spielauswertung!$AB534:$AE534,MATCH(Tabelle11[[#Headers],[Sebastian_A]],Spielauswertung!$B534:$E534,0))+AN545)</f>
        <v>102.89457418671324</v>
      </c>
      <c r="AO546" s="1">
        <f>IF(IFERROR(MATCH(Tabelle11[[#Headers],[Sebastian_St]],Spielauswertung!$B534:$E534,0),0)=0,AO545,INDEX(Spielauswertung!$AB534:$AE534,MATCH(Tabelle11[[#Headers],[Sebastian_St]],Spielauswertung!$B534:$E534,0))+AO545)</f>
        <v>97.749574367408982</v>
      </c>
      <c r="AP546" s="1">
        <f>IF(IFERROR(MATCH(Tabelle11[[#Headers],[Simon_U]],Spielauswertung!$B534:$E534,0),0)=0,AP545,INDEX(Spielauswertung!$AB534:$AE534,MATCH(Tabelle11[[#Headers],[Simon_U]],Spielauswertung!$B534:$E534,0))+AP545)</f>
        <v>99.623054841470903</v>
      </c>
      <c r="AQ546" s="1">
        <f>IF(IFERROR(MATCH(Tabelle11[[#Headers],[Steffen_R]],Spielauswertung!$B534:$E534,0),0)=0,AQ545,INDEX(Spielauswertung!$AB534:$AE534,MATCH(Tabelle11[[#Headers],[Steffen_R]],Spielauswertung!$B534:$E534,0))+AQ545)</f>
        <v>93.247497067190949</v>
      </c>
      <c r="AR546" s="1">
        <f>IF(IFERROR(MATCH(Tabelle11[[#Headers],[Tim_R]],Spielauswertung!$B534:$E534,0),0)=0,AR545,INDEX(Spielauswertung!$AB534:$AE534,MATCH(Tabelle11[[#Headers],[Tim_R]],Spielauswertung!$B534:$E534,0))+AR545)</f>
        <v>103.07503787023374</v>
      </c>
      <c r="AS546" s="1">
        <f>IF(IFERROR(MATCH(Tabelle11[[#Headers],[Tobias_S]],Spielauswertung!$B534:$E534,0),0)=0,AS545,INDEX(Spielauswertung!$AB534:$AE534,MATCH(Tabelle11[[#Headers],[Tobias_S]],Spielauswertung!$B534:$E534,0))+AS545)</f>
        <v>98.6003422659997</v>
      </c>
      <c r="AT546" s="1">
        <f>IF(IFERROR(MATCH(Tabelle11[[#Headers],[Tom_R]],Spielauswertung!$B534:$E534,0),0)=0,AT545,INDEX(Spielauswertung!$AB534:$AE534,MATCH(Tabelle11[[#Headers],[Tom_R]],Spielauswertung!$B534:$E534,0))+AT545)</f>
        <v>112.62344492949197</v>
      </c>
      <c r="AU546" s="1">
        <f>IF(IFERROR(MATCH(Tabelle11[[#Headers],[Ton_L]],Spielauswertung!$B534:$E534,0),0)=0,AU545,INDEX(Spielauswertung!$AB534:$AE534,MATCH(Tabelle11[[#Headers],[Ton_L]],Spielauswertung!$B534:$E534,0))+AU545)</f>
        <v>92.683083360025861</v>
      </c>
      <c r="AV546" s="1">
        <f>IF(IFERROR(MATCH(Tabelle11[[#Headers],[Yixin_G]],Spielauswertung!$B534:$E534,0),0)=0,AV545,INDEX(Spielauswertung!$AB534:$AE534,MATCH(Tabelle11[[#Headers],[Yixin_G]],Spielauswertung!$B534:$E534,0))+AV545)</f>
        <v>99.900323214082661</v>
      </c>
      <c r="AW546" s="1">
        <f>IF(IFERROR(MATCH(Tabelle11[[#Headers],[Spalte36]],Spielauswertung!$B534:$E534,0),0)=0,AW545,INDEX(Spielauswertung!$AB534:$AE534,MATCH(Tabelle11[[#Headers],[Spalte36]],Spielauswertung!$B534:$E534,0))+AW545)</f>
        <v>100</v>
      </c>
      <c r="AX546" s="1">
        <f>IF(IFERROR(MATCH(Tabelle11[[#Headers],[Spalte37]],Spielauswertung!$B534:$E534,0),0)=0,AX545,INDEX(Spielauswertung!$AB534:$AE534,MATCH(Tabelle11[[#Headers],[Spalte37]],Spielauswertung!$B534:$E534,0))+AX545)</f>
        <v>100</v>
      </c>
      <c r="AY546" s="1">
        <f>IF(IFERROR(MATCH(Tabelle11[[#Headers],[Spalte38]],Spielauswertung!$B534:$E534,0),0)=0,AY545,INDEX(Spielauswertung!$AB534:$AE534,MATCH(Tabelle11[[#Headers],[Spalte38]],Spielauswertung!$B534:$E534,0))+AY545)</f>
        <v>100</v>
      </c>
      <c r="AZ546" s="1">
        <f>IF(IFERROR(MATCH(Tabelle11[[#Headers],[Spalte39]],Spielauswertung!$B534:$E534,0),0)=0,AZ545,INDEX(Spielauswertung!$AB534:$AE534,MATCH(Tabelle11[[#Headers],[Spalte39]],Spielauswertung!$B534:$E534,0))+AZ545)</f>
        <v>100</v>
      </c>
      <c r="BA546" s="1">
        <f>IF(IFERROR(MATCH(Tabelle11[[#Headers],[Spalte40]],Spielauswertung!$B534:$E534,0),0)=0,BA545,INDEX(Spielauswertung!$AB534:$AE534,MATCH(Tabelle11[[#Headers],[Spalte40]],Spielauswertung!$B534:$E534,0))+BA545)</f>
        <v>100</v>
      </c>
      <c r="BB546" s="1">
        <f>IF(IFERROR(MATCH(Tabelle11[[#Headers],[Spalte41]],Spielauswertung!$B534:$E534,0),0)=0,BB545,INDEX(Spielauswertung!$AB534:$AE534,MATCH(Tabelle11[[#Headers],[Spalte41]],Spielauswertung!$B534:$E534,0))+BB545)</f>
        <v>100</v>
      </c>
      <c r="BC546" s="1">
        <f>IF(IFERROR(MATCH(Tabelle11[[#Headers],[Spalte42]],Spielauswertung!$B534:$E534,0),0)=0,BC545,INDEX(Spielauswertung!$AB534:$AE534,MATCH(Tabelle11[[#Headers],[Spalte42]],Spielauswertung!$B534:$E534,0))+BC545)</f>
        <v>100</v>
      </c>
      <c r="BD546" s="1">
        <f>IF(IFERROR(MATCH(Tabelle11[[#Headers],[Spalte43]],Spielauswertung!$B534:$E534,0),0)=0,BD545,INDEX(Spielauswertung!$AB534:$AE534,MATCH(Tabelle11[[#Headers],[Spalte43]],Spielauswertung!$B534:$E534,0))+BD545)</f>
        <v>100</v>
      </c>
      <c r="BE546" s="1">
        <f>IF(IFERROR(MATCH(Tabelle11[[#Headers],[Spalte44]],Spielauswertung!$B534:$E534,0),0)=0,BE545,INDEX(Spielauswertung!$AB534:$AE534,MATCH(Tabelle11[[#Headers],[Spalte44]],Spielauswertung!$B534:$E534,0))+BE545)</f>
        <v>100</v>
      </c>
      <c r="BF546" s="1">
        <f>IF(IFERROR(MATCH(Tabelle11[[#Headers],[Spalte45]],Spielauswertung!$B534:$E534,0),0)=0,BF545,INDEX(Spielauswertung!$AB534:$AE534,MATCH(Tabelle11[[#Headers],[Spalte45]],Spielauswertung!$B534:$E534,0))+BF545)</f>
        <v>100</v>
      </c>
      <c r="BG546" s="1">
        <f>IF(IFERROR(MATCH(Tabelle11[[#Headers],[Spalte46]],Spielauswertung!$B534:$E534,0),0)=0,BG545,INDEX(Spielauswertung!$AB534:$AE534,MATCH(Tabelle11[[#Headers],[Spalte46]],Spielauswertung!$B534:$E534,0))+BG545)</f>
        <v>100</v>
      </c>
      <c r="BH546" s="1">
        <f>IF(IFERROR(MATCH(Tabelle11[[#Headers],[Spalte47]],Spielauswertung!$B534:$E534,0),0)=0,BH545,INDEX(Spielauswertung!$AB534:$AE534,MATCH(Tabelle11[[#Headers],[Spalte47]],Spielauswertung!$B534:$E534,0))+BH545)</f>
        <v>100</v>
      </c>
    </row>
    <row r="547" spans="1:60" x14ac:dyDescent="0.25">
      <c r="A547">
        <f t="shared" si="9"/>
        <v>534</v>
      </c>
      <c r="B547" s="1">
        <f>IF(IFERROR(MATCH(Tabelle11[[#Headers],[Aleix_V]],Spielauswertung!$B535:$E535,0),0)=0,B546,INDEX(Spielauswertung!$AB535:$AE535,MATCH(Tabelle11[[#Headers],[Aleix_V]],Spielauswertung!$B535:$E535,0))+B546)</f>
        <v>102.47318019444646</v>
      </c>
      <c r="C547" s="1">
        <f>IF(IFERROR(MATCH(Tabelle11[[#Headers],[Andres_H]],Spielauswertung!$B535:$E535,0),0)=0,C546,INDEX(Spielauswertung!$AB535:$AE535,MATCH(Tabelle11[[#Headers],[Andres_H]],Spielauswertung!$B535:$E535,0))+C546)</f>
        <v>95.535732339111306</v>
      </c>
      <c r="D547" s="1">
        <f>IF(IFERROR(MATCH(Tabelle11[[#Headers],[Anton_K]],Spielauswertung!$B535:$E535,0),0)=0,D546,INDEX(Spielauswertung!$AB535:$AE535,MATCH(Tabelle11[[#Headers],[Anton_K]],Spielauswertung!$B535:$E535,0))+D546)</f>
        <v>99.287728777054667</v>
      </c>
      <c r="E547" s="1">
        <f>IF(IFERROR(MATCH(Tabelle11[[#Headers],[Bastian_G]],Spielauswertung!$B535:$E535,0),0)=0,E546,INDEX(Spielauswertung!$AB535:$AE535,MATCH(Tabelle11[[#Headers],[Bastian_G]],Spielauswertung!$B535:$E535,0))+E546)</f>
        <v>117.49978695184252</v>
      </c>
      <c r="F547" s="1">
        <f>IF(IFERROR(MATCH(Tabelle11[[#Headers],[Ben_S]],Spielauswertung!$B535:$E535,0),0)=0,F546,INDEX(Spielauswertung!$AB535:$AE535,MATCH(Tabelle11[[#Headers],[Ben_S]],Spielauswertung!$B535:$E535,0))+F546)</f>
        <v>95.932799101521084</v>
      </c>
      <c r="G547" s="1">
        <f>IF(IFERROR(MATCH(Tabelle11[[#Headers],[Benedikt_K]],Spielauswertung!$B535:$E535,0),0)=0,G546,INDEX(Spielauswertung!$AB535:$AE535,MATCH(Tabelle11[[#Headers],[Benedikt_K]],Spielauswertung!$B535:$E535,0))+G546)</f>
        <v>101.20264176422626</v>
      </c>
      <c r="H547" s="1">
        <f>IF(IFERROR(MATCH(Tabelle11[[#Headers],[Benedikt_R]],Spielauswertung!$B535:$E535,0),0)=0,H546,INDEX(Spielauswertung!$AB535:$AE535,MATCH(Tabelle11[[#Headers],[Benedikt_R]],Spielauswertung!$B535:$E535,0))+H546)</f>
        <v>102.6264770510757</v>
      </c>
      <c r="I547" s="1">
        <f>IF(IFERROR(MATCH(Tabelle11[[#Headers],[Carsten_H]],Spielauswertung!$B535:$E535,0),0)=0,I546,INDEX(Spielauswertung!$AB535:$AE535,MATCH(Tabelle11[[#Headers],[Carsten_H]],Spielauswertung!$B535:$E535,0))+I546)</f>
        <v>90.817185094326874</v>
      </c>
      <c r="J547" s="1">
        <f>IF(IFERROR(MATCH(Tabelle11[[#Headers],[Christoph_R]],Spielauswertung!$B535:$E535,0),0)=0,J546,INDEX(Spielauswertung!$AB535:$AE535,MATCH(Tabelle11[[#Headers],[Christoph_R]],Spielauswertung!$B535:$E535,0))+J546)</f>
        <v>109.73261611443155</v>
      </c>
      <c r="K547" s="1">
        <f>IF(IFERROR(MATCH(Tabelle11[[#Headers],[Claudius_J]],Spielauswertung!$B535:$E535,0),0)=0,K546,INDEX(Spielauswertung!$AB535:$AE535,MATCH(Tabelle11[[#Headers],[Claudius_J]],Spielauswertung!$B535:$E535,0))+K546)</f>
        <v>106.16590636000029</v>
      </c>
      <c r="L547" s="1">
        <f>IF(IFERROR(MATCH(Tabelle11[[#Headers],[Daniel_D]],Spielauswertung!$B535:$E535,0),0)=0,L546,INDEX(Spielauswertung!$AB535:$AE535,MATCH(Tabelle11[[#Headers],[Daniel_D]],Spielauswertung!$B535:$E535,0))+L546)</f>
        <v>99.990299180470089</v>
      </c>
      <c r="M547" s="1">
        <f>IF(IFERROR(MATCH(Tabelle11[[#Headers],[David_R]],Spielauswertung!$B535:$E535,0),0)=0,M546,INDEX(Spielauswertung!$AB535:$AE535,MATCH(Tabelle11[[#Headers],[David_R]],Spielauswertung!$B535:$E535,0))+M546)</f>
        <v>96.715943522481638</v>
      </c>
      <c r="N547" s="1">
        <f>IF(IFERROR(MATCH(Tabelle11[[#Headers],[Dennis_P]],Spielauswertung!$B535:$E535,0),0)=0,N546,INDEX(Spielauswertung!$AB535:$AE535,MATCH(Tabelle11[[#Headers],[Dennis_P]],Spielauswertung!$B535:$E535,0))+N546)</f>
        <v>100.04773223105254</v>
      </c>
      <c r="O547" s="1">
        <f>IF(IFERROR(MATCH(Tabelle11[[#Headers],[Dennis_R]],Spielauswertung!$B535:$E535,0),0)=0,O546,INDEX(Spielauswertung!$AB535:$AE535,MATCH(Tabelle11[[#Headers],[Dennis_R]],Spielauswertung!$B535:$E535,0))+O546)</f>
        <v>75.131680864937195</v>
      </c>
      <c r="P547" s="1">
        <f>IF(IFERROR(MATCH(Tabelle11[[#Headers],[Detlef_R]],Spielauswertung!$B535:$E535,0),0)=0,P546,INDEX(Spielauswertung!$AB535:$AE535,MATCH(Tabelle11[[#Headers],[Detlef_R]],Spielauswertung!$B535:$E535,0))+P546)</f>
        <v>87.984671797367014</v>
      </c>
      <c r="Q547" s="1">
        <f>IF(IFERROR(MATCH(Tabelle11[[#Headers],[Dmitrij_M]],Spielauswertung!$B535:$E535,0),0)=0,Q546,INDEX(Spielauswertung!$AB535:$AE535,MATCH(Tabelle11[[#Headers],[Dmitrij_M]],Spielauswertung!$B535:$E535,0))+Q546)</f>
        <v>100.69975721846207</v>
      </c>
      <c r="R547" s="1">
        <f>IF(IFERROR(MATCH(Tabelle11[[#Headers],[Fabian_M]],Spielauswertung!$B535:$E535,0),0)=0,R546,INDEX(Spielauswertung!$AB535:$AE535,MATCH(Tabelle11[[#Headers],[Fabian_M]],Spielauswertung!$B535:$E535,0))+R546)</f>
        <v>95.805387841610738</v>
      </c>
      <c r="S547" s="1">
        <f>IF(IFERROR(MATCH(Tabelle11[[#Headers],[Hannes_S]],Spielauswertung!$B535:$E535,0),0)=0,S546,INDEX(Spielauswertung!$AB535:$AE535,MATCH(Tabelle11[[#Headers],[Hannes_S]],Spielauswertung!$B535:$E535,0))+S546)</f>
        <v>104.83899184012799</v>
      </c>
      <c r="T547" s="1">
        <f>IF(IFERROR(MATCH(Tabelle11[[#Headers],[Jan_B]],Spielauswertung!$B535:$E535,0),0)=0,T546,INDEX(Spielauswertung!$AB535:$AE535,MATCH(Tabelle11[[#Headers],[Jan_B]],Spielauswertung!$B535:$E535,0))+T546)</f>
        <v>100.2794420429173</v>
      </c>
      <c r="U547" s="1">
        <f>IF(IFERROR(MATCH(Tabelle11[[#Headers],[Jan_Hendrik_B]],Spielauswertung!$B535:$E535,0),0)=0,U546,INDEX(Spielauswertung!$AB535:$AE535,MATCH(Tabelle11[[#Headers],[Jan_Hendrik_B]],Spielauswertung!$B535:$E535,0))+U546)</f>
        <v>100.75492416935522</v>
      </c>
      <c r="V547" s="1">
        <f>IF(IFERROR(MATCH(Tabelle11[[#Headers],[Jens_N]],Spielauswertung!$B535:$E535,0),0)=0,V546,INDEX(Spielauswertung!$AB535:$AE535,MATCH(Tabelle11[[#Headers],[Jens_N]],Spielauswertung!$B535:$E535,0))+V546)</f>
        <v>99.643534710196832</v>
      </c>
      <c r="W547" s="1">
        <f>IF(IFERROR(MATCH(Tabelle11[[#Headers],[Johannes_S]],Spielauswertung!$B535:$E535,0),0)=0,W546,INDEX(Spielauswertung!$AB535:$AE535,MATCH(Tabelle11[[#Headers],[Johannes_S]],Spielauswertung!$B535:$E535,0))+W546)</f>
        <v>102.20284750979505</v>
      </c>
      <c r="X547" s="1">
        <f>IF(IFERROR(MATCH(Tabelle11[[#Headers],[Jonathan_F]],Spielauswertung!$B535:$E535,0),0)=0,X546,INDEX(Spielauswertung!$AB535:$AE535,MATCH(Tabelle11[[#Headers],[Jonathan_F]],Spielauswertung!$B535:$E535,0))+X546)</f>
        <v>98.938308797866256</v>
      </c>
      <c r="Y547" s="1">
        <f>IF(IFERROR(MATCH(Tabelle11[[#Headers],[Julius_P]],Spielauswertung!$B535:$E535,0),0)=0,Y546,INDEX(Spielauswertung!$AB535:$AE535,MATCH(Tabelle11[[#Headers],[Julius_P]],Spielauswertung!$B535:$E535,0))+Y546)</f>
        <v>96.540305101873642</v>
      </c>
      <c r="Z547" s="1">
        <f>IF(IFERROR(MATCH(Tabelle11[[#Headers],[Louis_W]],Spielauswertung!$B535:$E535,0),0)=0,Z546,INDEX(Spielauswertung!$AB535:$AE535,MATCH(Tabelle11[[#Headers],[Louis_W]],Spielauswertung!$B535:$E535,0))+Z546)</f>
        <v>87.497452285475362</v>
      </c>
      <c r="AA547" s="1">
        <f>IF(IFERROR(MATCH(Tabelle11[[#Headers],[Lukas_L]],Spielauswertung!$B535:$E535,0),0)=0,AA546,INDEX(Spielauswertung!$AB535:$AE535,MATCH(Tabelle11[[#Headers],[Lukas_L]],Spielauswertung!$B535:$E535,0))+AA546)</f>
        <v>98.447931341404143</v>
      </c>
      <c r="AB547" s="1">
        <f>IF(IFERROR(MATCH(Tabelle11[[#Headers],[Marcin_S]],Spielauswertung!$B535:$E535,0),0)=0,AB546,INDEX(Spielauswertung!$AB535:$AE535,MATCH(Tabelle11[[#Headers],[Marcin_S]],Spielauswertung!$B535:$E535,0))+AB546)</f>
        <v>85.463329105556824</v>
      </c>
      <c r="AC547" s="1">
        <f>IF(IFERROR(MATCH(Tabelle11[[#Headers],[Marco_K]],Spielauswertung!$B535:$E535,0),0)=0,AC546,INDEX(Spielauswertung!$AB535:$AE535,MATCH(Tabelle11[[#Headers],[Marco_K]],Spielauswertung!$B535:$E535,0))+AC546)</f>
        <v>102.12169819441469</v>
      </c>
      <c r="AD547" s="1">
        <f>IF(IFERROR(MATCH(Tabelle11[[#Headers],[Marius_M]],Spielauswertung!$B535:$E535,0),0)=0,AD546,INDEX(Spielauswertung!$AB535:$AE535,MATCH(Tabelle11[[#Headers],[Marius_M]],Spielauswertung!$B535:$E535,0))+AD546)</f>
        <v>124.54012374585781</v>
      </c>
      <c r="AE547" s="1">
        <f>IF(IFERROR(MATCH(Tabelle11[[#Headers],[Marvin_W]],Spielauswertung!$B535:$E535,0),0)=0,AE546,INDEX(Spielauswertung!$AB535:$AE535,MATCH(Tabelle11[[#Headers],[Marvin_W]],Spielauswertung!$B535:$E535,0))+AE546)</f>
        <v>96.700266280577438</v>
      </c>
      <c r="AF547" s="1">
        <f>IF(IFERROR(MATCH(Tabelle11[[#Headers],[Matthias_H]],Spielauswertung!$B535:$E535,0),0)=0,AF546,INDEX(Spielauswertung!$AB535:$AE535,MATCH(Tabelle11[[#Headers],[Matthias_H]],Spielauswertung!$B535:$E535,0))+AF546)</f>
        <v>105.42130178599372</v>
      </c>
      <c r="AG547" s="1">
        <f>IF(IFERROR(MATCH(Tabelle11[[#Headers],[Michael_D]],Spielauswertung!$B535:$E535,0),0)=0,AG546,INDEX(Spielauswertung!$AB535:$AE535,MATCH(Tabelle11[[#Headers],[Michael_D]],Spielauswertung!$B535:$E535,0))+AG546)</f>
        <v>96.436276170375336</v>
      </c>
      <c r="AH547" s="1">
        <f>IF(IFERROR(MATCH(Tabelle11[[#Headers],[Patrick_S]],Spielauswertung!$B535:$E535,0),0)=0,AH546,INDEX(Spielauswertung!$AB535:$AE535,MATCH(Tabelle11[[#Headers],[Patrick_S]],Spielauswertung!$B535:$E535,0))+AH546)</f>
        <v>98.975330692053802</v>
      </c>
      <c r="AI547" s="1">
        <f>IF(IFERROR(MATCH(Tabelle11[[#Headers],[Rano_M]],Spielauswertung!$B535:$E535,0),0)=0,AI546,INDEX(Spielauswertung!$AB535:$AE535,MATCH(Tabelle11[[#Headers],[Rano_M]],Spielauswertung!$B535:$E535,0))+AI546)</f>
        <v>109.38890657420265</v>
      </c>
      <c r="AJ547" s="1">
        <f>IF(IFERROR(MATCH(Tabelle11[[#Headers],[Rene_N]],Spielauswertung!$B535:$E535,0),0)=0,AJ546,INDEX(Spielauswertung!$AB535:$AE535,MATCH(Tabelle11[[#Headers],[Rene_N]],Spielauswertung!$B535:$E535,0))+AJ546)</f>
        <v>101.06482124619033</v>
      </c>
      <c r="AK547" s="1">
        <f>IF(IFERROR(MATCH(Tabelle11[[#Headers],[Rene_P]],Spielauswertung!$B535:$E535,0),0)=0,AK546,INDEX(Spielauswertung!$AB535:$AE535,MATCH(Tabelle11[[#Headers],[Rene_P]],Spielauswertung!$B535:$E535,0))+AK546)</f>
        <v>88.762543186332877</v>
      </c>
      <c r="AL547" s="1">
        <f>IF(IFERROR(MATCH(Tabelle11[[#Headers],[Richard_D]],Spielauswertung!$B535:$E535,0),0)=0,AL546,INDEX(Spielauswertung!$AB535:$AE535,MATCH(Tabelle11[[#Headers],[Richard_D]],Spielauswertung!$B535:$E535,0))+AL546)</f>
        <v>107.23233592026223</v>
      </c>
      <c r="AM547" s="1">
        <f>IF(IFERROR(MATCH(Tabelle11[[#Headers],[Rodrigo_R]],Spielauswertung!$B535:$E535,0),0)=0,AM546,INDEX(Spielauswertung!$AB535:$AE535,MATCH(Tabelle11[[#Headers],[Rodrigo_R]],Spielauswertung!$B535:$E535,0))+AM546)</f>
        <v>116.7028707921346</v>
      </c>
      <c r="AN547" s="1">
        <f>IF(IFERROR(MATCH(Tabelle11[[#Headers],[Sebastian_A]],Spielauswertung!$B535:$E535,0),0)=0,AN546,INDEX(Spielauswertung!$AB535:$AE535,MATCH(Tabelle11[[#Headers],[Sebastian_A]],Spielauswertung!$B535:$E535,0))+AN546)</f>
        <v>102.89457418671324</v>
      </c>
      <c r="AO547" s="1">
        <f>IF(IFERROR(MATCH(Tabelle11[[#Headers],[Sebastian_St]],Spielauswertung!$B535:$E535,0),0)=0,AO546,INDEX(Spielauswertung!$AB535:$AE535,MATCH(Tabelle11[[#Headers],[Sebastian_St]],Spielauswertung!$B535:$E535,0))+AO546)</f>
        <v>97.749574367408982</v>
      </c>
      <c r="AP547" s="1">
        <f>IF(IFERROR(MATCH(Tabelle11[[#Headers],[Simon_U]],Spielauswertung!$B535:$E535,0),0)=0,AP546,INDEX(Spielauswertung!$AB535:$AE535,MATCH(Tabelle11[[#Headers],[Simon_U]],Spielauswertung!$B535:$E535,0))+AP546)</f>
        <v>99.623054841470903</v>
      </c>
      <c r="AQ547" s="1">
        <f>IF(IFERROR(MATCH(Tabelle11[[#Headers],[Steffen_R]],Spielauswertung!$B535:$E535,0),0)=0,AQ546,INDEX(Spielauswertung!$AB535:$AE535,MATCH(Tabelle11[[#Headers],[Steffen_R]],Spielauswertung!$B535:$E535,0))+AQ546)</f>
        <v>93.247497067190949</v>
      </c>
      <c r="AR547" s="1">
        <f>IF(IFERROR(MATCH(Tabelle11[[#Headers],[Tim_R]],Spielauswertung!$B535:$E535,0),0)=0,AR546,INDEX(Spielauswertung!$AB535:$AE535,MATCH(Tabelle11[[#Headers],[Tim_R]],Spielauswertung!$B535:$E535,0))+AR546)</f>
        <v>103.07503787023374</v>
      </c>
      <c r="AS547" s="1">
        <f>IF(IFERROR(MATCH(Tabelle11[[#Headers],[Tobias_S]],Spielauswertung!$B535:$E535,0),0)=0,AS546,INDEX(Spielauswertung!$AB535:$AE535,MATCH(Tabelle11[[#Headers],[Tobias_S]],Spielauswertung!$B535:$E535,0))+AS546)</f>
        <v>98.6003422659997</v>
      </c>
      <c r="AT547" s="1">
        <f>IF(IFERROR(MATCH(Tabelle11[[#Headers],[Tom_R]],Spielauswertung!$B535:$E535,0),0)=0,AT546,INDEX(Spielauswertung!$AB535:$AE535,MATCH(Tabelle11[[#Headers],[Tom_R]],Spielauswertung!$B535:$E535,0))+AT546)</f>
        <v>112.62344492949197</v>
      </c>
      <c r="AU547" s="1">
        <f>IF(IFERROR(MATCH(Tabelle11[[#Headers],[Ton_L]],Spielauswertung!$B535:$E535,0),0)=0,AU546,INDEX(Spielauswertung!$AB535:$AE535,MATCH(Tabelle11[[#Headers],[Ton_L]],Spielauswertung!$B535:$E535,0))+AU546)</f>
        <v>92.683083360025861</v>
      </c>
      <c r="AV547" s="1">
        <f>IF(IFERROR(MATCH(Tabelle11[[#Headers],[Yixin_G]],Spielauswertung!$B535:$E535,0),0)=0,AV546,INDEX(Spielauswertung!$AB535:$AE535,MATCH(Tabelle11[[#Headers],[Yixin_G]],Spielauswertung!$B535:$E535,0))+AV546)</f>
        <v>99.900323214082661</v>
      </c>
      <c r="AW547" s="1">
        <f>IF(IFERROR(MATCH(Tabelle11[[#Headers],[Spalte36]],Spielauswertung!$B535:$E535,0),0)=0,AW546,INDEX(Spielauswertung!$AB535:$AE535,MATCH(Tabelle11[[#Headers],[Spalte36]],Spielauswertung!$B535:$E535,0))+AW546)</f>
        <v>100</v>
      </c>
      <c r="AX547" s="1">
        <f>IF(IFERROR(MATCH(Tabelle11[[#Headers],[Spalte37]],Spielauswertung!$B535:$E535,0),0)=0,AX546,INDEX(Spielauswertung!$AB535:$AE535,MATCH(Tabelle11[[#Headers],[Spalte37]],Spielauswertung!$B535:$E535,0))+AX546)</f>
        <v>100</v>
      </c>
      <c r="AY547" s="1">
        <f>IF(IFERROR(MATCH(Tabelle11[[#Headers],[Spalte38]],Spielauswertung!$B535:$E535,0),0)=0,AY546,INDEX(Spielauswertung!$AB535:$AE535,MATCH(Tabelle11[[#Headers],[Spalte38]],Spielauswertung!$B535:$E535,0))+AY546)</f>
        <v>100</v>
      </c>
      <c r="AZ547" s="1">
        <f>IF(IFERROR(MATCH(Tabelle11[[#Headers],[Spalte39]],Spielauswertung!$B535:$E535,0),0)=0,AZ546,INDEX(Spielauswertung!$AB535:$AE535,MATCH(Tabelle11[[#Headers],[Spalte39]],Spielauswertung!$B535:$E535,0))+AZ546)</f>
        <v>100</v>
      </c>
      <c r="BA547" s="1">
        <f>IF(IFERROR(MATCH(Tabelle11[[#Headers],[Spalte40]],Spielauswertung!$B535:$E535,0),0)=0,BA546,INDEX(Spielauswertung!$AB535:$AE535,MATCH(Tabelle11[[#Headers],[Spalte40]],Spielauswertung!$B535:$E535,0))+BA546)</f>
        <v>100</v>
      </c>
      <c r="BB547" s="1">
        <f>IF(IFERROR(MATCH(Tabelle11[[#Headers],[Spalte41]],Spielauswertung!$B535:$E535,0),0)=0,BB546,INDEX(Spielauswertung!$AB535:$AE535,MATCH(Tabelle11[[#Headers],[Spalte41]],Spielauswertung!$B535:$E535,0))+BB546)</f>
        <v>100</v>
      </c>
      <c r="BC547" s="1">
        <f>IF(IFERROR(MATCH(Tabelle11[[#Headers],[Spalte42]],Spielauswertung!$B535:$E535,0),0)=0,BC546,INDEX(Spielauswertung!$AB535:$AE535,MATCH(Tabelle11[[#Headers],[Spalte42]],Spielauswertung!$B535:$E535,0))+BC546)</f>
        <v>100</v>
      </c>
      <c r="BD547" s="1">
        <f>IF(IFERROR(MATCH(Tabelle11[[#Headers],[Spalte43]],Spielauswertung!$B535:$E535,0),0)=0,BD546,INDEX(Spielauswertung!$AB535:$AE535,MATCH(Tabelle11[[#Headers],[Spalte43]],Spielauswertung!$B535:$E535,0))+BD546)</f>
        <v>100</v>
      </c>
      <c r="BE547" s="1">
        <f>IF(IFERROR(MATCH(Tabelle11[[#Headers],[Spalte44]],Spielauswertung!$B535:$E535,0),0)=0,BE546,INDEX(Spielauswertung!$AB535:$AE535,MATCH(Tabelle11[[#Headers],[Spalte44]],Spielauswertung!$B535:$E535,0))+BE546)</f>
        <v>100</v>
      </c>
      <c r="BF547" s="1">
        <f>IF(IFERROR(MATCH(Tabelle11[[#Headers],[Spalte45]],Spielauswertung!$B535:$E535,0),0)=0,BF546,INDEX(Spielauswertung!$AB535:$AE535,MATCH(Tabelle11[[#Headers],[Spalte45]],Spielauswertung!$B535:$E535,0))+BF546)</f>
        <v>100</v>
      </c>
      <c r="BG547" s="1">
        <f>IF(IFERROR(MATCH(Tabelle11[[#Headers],[Spalte46]],Spielauswertung!$B535:$E535,0),0)=0,BG546,INDEX(Spielauswertung!$AB535:$AE535,MATCH(Tabelle11[[#Headers],[Spalte46]],Spielauswertung!$B535:$E535,0))+BG546)</f>
        <v>100</v>
      </c>
      <c r="BH547" s="1">
        <f>IF(IFERROR(MATCH(Tabelle11[[#Headers],[Spalte47]],Spielauswertung!$B535:$E535,0),0)=0,BH546,INDEX(Spielauswertung!$AB535:$AE535,MATCH(Tabelle11[[#Headers],[Spalte47]],Spielauswertung!$B535:$E535,0))+BH546)</f>
        <v>100</v>
      </c>
    </row>
    <row r="548" spans="1:60" x14ac:dyDescent="0.25">
      <c r="A548">
        <f t="shared" si="9"/>
        <v>535</v>
      </c>
      <c r="B548" s="1">
        <f>IF(IFERROR(MATCH(Tabelle11[[#Headers],[Aleix_V]],Spielauswertung!$B536:$E536,0),0)=0,B547,INDEX(Spielauswertung!$AB536:$AE536,MATCH(Tabelle11[[#Headers],[Aleix_V]],Spielauswertung!$B536:$E536,0))+B547)</f>
        <v>102.47318019444646</v>
      </c>
      <c r="C548" s="1">
        <f>IF(IFERROR(MATCH(Tabelle11[[#Headers],[Andres_H]],Spielauswertung!$B536:$E536,0),0)=0,C547,INDEX(Spielauswertung!$AB536:$AE536,MATCH(Tabelle11[[#Headers],[Andres_H]],Spielauswertung!$B536:$E536,0))+C547)</f>
        <v>95.535732339111306</v>
      </c>
      <c r="D548" s="1">
        <f>IF(IFERROR(MATCH(Tabelle11[[#Headers],[Anton_K]],Spielauswertung!$B536:$E536,0),0)=0,D547,INDEX(Spielauswertung!$AB536:$AE536,MATCH(Tabelle11[[#Headers],[Anton_K]],Spielauswertung!$B536:$E536,0))+D547)</f>
        <v>99.287728777054667</v>
      </c>
      <c r="E548" s="1">
        <f>IF(IFERROR(MATCH(Tabelle11[[#Headers],[Bastian_G]],Spielauswertung!$B536:$E536,0),0)=0,E547,INDEX(Spielauswertung!$AB536:$AE536,MATCH(Tabelle11[[#Headers],[Bastian_G]],Spielauswertung!$B536:$E536,0))+E547)</f>
        <v>117.49978695184252</v>
      </c>
      <c r="F548" s="1">
        <f>IF(IFERROR(MATCH(Tabelle11[[#Headers],[Ben_S]],Spielauswertung!$B536:$E536,0),0)=0,F547,INDEX(Spielauswertung!$AB536:$AE536,MATCH(Tabelle11[[#Headers],[Ben_S]],Spielauswertung!$B536:$E536,0))+F547)</f>
        <v>95.932799101521084</v>
      </c>
      <c r="G548" s="1">
        <f>IF(IFERROR(MATCH(Tabelle11[[#Headers],[Benedikt_K]],Spielauswertung!$B536:$E536,0),0)=0,G547,INDEX(Spielauswertung!$AB536:$AE536,MATCH(Tabelle11[[#Headers],[Benedikt_K]],Spielauswertung!$B536:$E536,0))+G547)</f>
        <v>101.20264176422626</v>
      </c>
      <c r="H548" s="1">
        <f>IF(IFERROR(MATCH(Tabelle11[[#Headers],[Benedikt_R]],Spielauswertung!$B536:$E536,0),0)=0,H547,INDEX(Spielauswertung!$AB536:$AE536,MATCH(Tabelle11[[#Headers],[Benedikt_R]],Spielauswertung!$B536:$E536,0))+H547)</f>
        <v>102.6264770510757</v>
      </c>
      <c r="I548" s="1">
        <f>IF(IFERROR(MATCH(Tabelle11[[#Headers],[Carsten_H]],Spielauswertung!$B536:$E536,0),0)=0,I547,INDEX(Spielauswertung!$AB536:$AE536,MATCH(Tabelle11[[#Headers],[Carsten_H]],Spielauswertung!$B536:$E536,0))+I547)</f>
        <v>90.817185094326874</v>
      </c>
      <c r="J548" s="1">
        <f>IF(IFERROR(MATCH(Tabelle11[[#Headers],[Christoph_R]],Spielauswertung!$B536:$E536,0),0)=0,J547,INDEX(Spielauswertung!$AB536:$AE536,MATCH(Tabelle11[[#Headers],[Christoph_R]],Spielauswertung!$B536:$E536,0))+J547)</f>
        <v>109.73261611443155</v>
      </c>
      <c r="K548" s="1">
        <f>IF(IFERROR(MATCH(Tabelle11[[#Headers],[Claudius_J]],Spielauswertung!$B536:$E536,0),0)=0,K547,INDEX(Spielauswertung!$AB536:$AE536,MATCH(Tabelle11[[#Headers],[Claudius_J]],Spielauswertung!$B536:$E536,0))+K547)</f>
        <v>106.16590636000029</v>
      </c>
      <c r="L548" s="1">
        <f>IF(IFERROR(MATCH(Tabelle11[[#Headers],[Daniel_D]],Spielauswertung!$B536:$E536,0),0)=0,L547,INDEX(Spielauswertung!$AB536:$AE536,MATCH(Tabelle11[[#Headers],[Daniel_D]],Spielauswertung!$B536:$E536,0))+L547)</f>
        <v>99.990299180470089</v>
      </c>
      <c r="M548" s="1">
        <f>IF(IFERROR(MATCH(Tabelle11[[#Headers],[David_R]],Spielauswertung!$B536:$E536,0),0)=0,M547,INDEX(Spielauswertung!$AB536:$AE536,MATCH(Tabelle11[[#Headers],[David_R]],Spielauswertung!$B536:$E536,0))+M547)</f>
        <v>96.715943522481638</v>
      </c>
      <c r="N548" s="1">
        <f>IF(IFERROR(MATCH(Tabelle11[[#Headers],[Dennis_P]],Spielauswertung!$B536:$E536,0),0)=0,N547,INDEX(Spielauswertung!$AB536:$AE536,MATCH(Tabelle11[[#Headers],[Dennis_P]],Spielauswertung!$B536:$E536,0))+N547)</f>
        <v>100.04773223105254</v>
      </c>
      <c r="O548" s="1">
        <f>IF(IFERROR(MATCH(Tabelle11[[#Headers],[Dennis_R]],Spielauswertung!$B536:$E536,0),0)=0,O547,INDEX(Spielauswertung!$AB536:$AE536,MATCH(Tabelle11[[#Headers],[Dennis_R]],Spielauswertung!$B536:$E536,0))+O547)</f>
        <v>75.131680864937195</v>
      </c>
      <c r="P548" s="1">
        <f>IF(IFERROR(MATCH(Tabelle11[[#Headers],[Detlef_R]],Spielauswertung!$B536:$E536,0),0)=0,P547,INDEX(Spielauswertung!$AB536:$AE536,MATCH(Tabelle11[[#Headers],[Detlef_R]],Spielauswertung!$B536:$E536,0))+P547)</f>
        <v>87.984671797367014</v>
      </c>
      <c r="Q548" s="1">
        <f>IF(IFERROR(MATCH(Tabelle11[[#Headers],[Dmitrij_M]],Spielauswertung!$B536:$E536,0),0)=0,Q547,INDEX(Spielauswertung!$AB536:$AE536,MATCH(Tabelle11[[#Headers],[Dmitrij_M]],Spielauswertung!$B536:$E536,0))+Q547)</f>
        <v>100.69975721846207</v>
      </c>
      <c r="R548" s="1">
        <f>IF(IFERROR(MATCH(Tabelle11[[#Headers],[Fabian_M]],Spielauswertung!$B536:$E536,0),0)=0,R547,INDEX(Spielauswertung!$AB536:$AE536,MATCH(Tabelle11[[#Headers],[Fabian_M]],Spielauswertung!$B536:$E536,0))+R547)</f>
        <v>95.805387841610738</v>
      </c>
      <c r="S548" s="1">
        <f>IF(IFERROR(MATCH(Tabelle11[[#Headers],[Hannes_S]],Spielauswertung!$B536:$E536,0),0)=0,S547,INDEX(Spielauswertung!$AB536:$AE536,MATCH(Tabelle11[[#Headers],[Hannes_S]],Spielauswertung!$B536:$E536,0))+S547)</f>
        <v>104.83899184012799</v>
      </c>
      <c r="T548" s="1">
        <f>IF(IFERROR(MATCH(Tabelle11[[#Headers],[Jan_B]],Spielauswertung!$B536:$E536,0),0)=0,T547,INDEX(Spielauswertung!$AB536:$AE536,MATCH(Tabelle11[[#Headers],[Jan_B]],Spielauswertung!$B536:$E536,0))+T547)</f>
        <v>100.2794420429173</v>
      </c>
      <c r="U548" s="1">
        <f>IF(IFERROR(MATCH(Tabelle11[[#Headers],[Jan_Hendrik_B]],Spielauswertung!$B536:$E536,0),0)=0,U547,INDEX(Spielauswertung!$AB536:$AE536,MATCH(Tabelle11[[#Headers],[Jan_Hendrik_B]],Spielauswertung!$B536:$E536,0))+U547)</f>
        <v>100.75492416935522</v>
      </c>
      <c r="V548" s="1">
        <f>IF(IFERROR(MATCH(Tabelle11[[#Headers],[Jens_N]],Spielauswertung!$B536:$E536,0),0)=0,V547,INDEX(Spielauswertung!$AB536:$AE536,MATCH(Tabelle11[[#Headers],[Jens_N]],Spielauswertung!$B536:$E536,0))+V547)</f>
        <v>99.643534710196832</v>
      </c>
      <c r="W548" s="1">
        <f>IF(IFERROR(MATCH(Tabelle11[[#Headers],[Johannes_S]],Spielauswertung!$B536:$E536,0),0)=0,W547,INDEX(Spielauswertung!$AB536:$AE536,MATCH(Tabelle11[[#Headers],[Johannes_S]],Spielauswertung!$B536:$E536,0))+W547)</f>
        <v>102.20284750979505</v>
      </c>
      <c r="X548" s="1">
        <f>IF(IFERROR(MATCH(Tabelle11[[#Headers],[Jonathan_F]],Spielauswertung!$B536:$E536,0),0)=0,X547,INDEX(Spielauswertung!$AB536:$AE536,MATCH(Tabelle11[[#Headers],[Jonathan_F]],Spielauswertung!$B536:$E536,0))+X547)</f>
        <v>98.938308797866256</v>
      </c>
      <c r="Y548" s="1">
        <f>IF(IFERROR(MATCH(Tabelle11[[#Headers],[Julius_P]],Spielauswertung!$B536:$E536,0),0)=0,Y547,INDEX(Spielauswertung!$AB536:$AE536,MATCH(Tabelle11[[#Headers],[Julius_P]],Spielauswertung!$B536:$E536,0))+Y547)</f>
        <v>96.540305101873642</v>
      </c>
      <c r="Z548" s="1">
        <f>IF(IFERROR(MATCH(Tabelle11[[#Headers],[Louis_W]],Spielauswertung!$B536:$E536,0),0)=0,Z547,INDEX(Spielauswertung!$AB536:$AE536,MATCH(Tabelle11[[#Headers],[Louis_W]],Spielauswertung!$B536:$E536,0))+Z547)</f>
        <v>87.497452285475362</v>
      </c>
      <c r="AA548" s="1">
        <f>IF(IFERROR(MATCH(Tabelle11[[#Headers],[Lukas_L]],Spielauswertung!$B536:$E536,0),0)=0,AA547,INDEX(Spielauswertung!$AB536:$AE536,MATCH(Tabelle11[[#Headers],[Lukas_L]],Spielauswertung!$B536:$E536,0))+AA547)</f>
        <v>98.447931341404143</v>
      </c>
      <c r="AB548" s="1">
        <f>IF(IFERROR(MATCH(Tabelle11[[#Headers],[Marcin_S]],Spielauswertung!$B536:$E536,0),0)=0,AB547,INDEX(Spielauswertung!$AB536:$AE536,MATCH(Tabelle11[[#Headers],[Marcin_S]],Spielauswertung!$B536:$E536,0))+AB547)</f>
        <v>85.463329105556824</v>
      </c>
      <c r="AC548" s="1">
        <f>IF(IFERROR(MATCH(Tabelle11[[#Headers],[Marco_K]],Spielauswertung!$B536:$E536,0),0)=0,AC547,INDEX(Spielauswertung!$AB536:$AE536,MATCH(Tabelle11[[#Headers],[Marco_K]],Spielauswertung!$B536:$E536,0))+AC547)</f>
        <v>102.12169819441469</v>
      </c>
      <c r="AD548" s="1">
        <f>IF(IFERROR(MATCH(Tabelle11[[#Headers],[Marius_M]],Spielauswertung!$B536:$E536,0),0)=0,AD547,INDEX(Spielauswertung!$AB536:$AE536,MATCH(Tabelle11[[#Headers],[Marius_M]],Spielauswertung!$B536:$E536,0))+AD547)</f>
        <v>124.54012374585781</v>
      </c>
      <c r="AE548" s="1">
        <f>IF(IFERROR(MATCH(Tabelle11[[#Headers],[Marvin_W]],Spielauswertung!$B536:$E536,0),0)=0,AE547,INDEX(Spielauswertung!$AB536:$AE536,MATCH(Tabelle11[[#Headers],[Marvin_W]],Spielauswertung!$B536:$E536,0))+AE547)</f>
        <v>96.700266280577438</v>
      </c>
      <c r="AF548" s="1">
        <f>IF(IFERROR(MATCH(Tabelle11[[#Headers],[Matthias_H]],Spielauswertung!$B536:$E536,0),0)=0,AF547,INDEX(Spielauswertung!$AB536:$AE536,MATCH(Tabelle11[[#Headers],[Matthias_H]],Spielauswertung!$B536:$E536,0))+AF547)</f>
        <v>105.42130178599372</v>
      </c>
      <c r="AG548" s="1">
        <f>IF(IFERROR(MATCH(Tabelle11[[#Headers],[Michael_D]],Spielauswertung!$B536:$E536,0),0)=0,AG547,INDEX(Spielauswertung!$AB536:$AE536,MATCH(Tabelle11[[#Headers],[Michael_D]],Spielauswertung!$B536:$E536,0))+AG547)</f>
        <v>96.436276170375336</v>
      </c>
      <c r="AH548" s="1">
        <f>IF(IFERROR(MATCH(Tabelle11[[#Headers],[Patrick_S]],Spielauswertung!$B536:$E536,0),0)=0,AH547,INDEX(Spielauswertung!$AB536:$AE536,MATCH(Tabelle11[[#Headers],[Patrick_S]],Spielauswertung!$B536:$E536,0))+AH547)</f>
        <v>98.975330692053802</v>
      </c>
      <c r="AI548" s="1">
        <f>IF(IFERROR(MATCH(Tabelle11[[#Headers],[Rano_M]],Spielauswertung!$B536:$E536,0),0)=0,AI547,INDEX(Spielauswertung!$AB536:$AE536,MATCH(Tabelle11[[#Headers],[Rano_M]],Spielauswertung!$B536:$E536,0))+AI547)</f>
        <v>109.38890657420265</v>
      </c>
      <c r="AJ548" s="1">
        <f>IF(IFERROR(MATCH(Tabelle11[[#Headers],[Rene_N]],Spielauswertung!$B536:$E536,0),0)=0,AJ547,INDEX(Spielauswertung!$AB536:$AE536,MATCH(Tabelle11[[#Headers],[Rene_N]],Spielauswertung!$B536:$E536,0))+AJ547)</f>
        <v>101.06482124619033</v>
      </c>
      <c r="AK548" s="1">
        <f>IF(IFERROR(MATCH(Tabelle11[[#Headers],[Rene_P]],Spielauswertung!$B536:$E536,0),0)=0,AK547,INDEX(Spielauswertung!$AB536:$AE536,MATCH(Tabelle11[[#Headers],[Rene_P]],Spielauswertung!$B536:$E536,0))+AK547)</f>
        <v>88.762543186332877</v>
      </c>
      <c r="AL548" s="1">
        <f>IF(IFERROR(MATCH(Tabelle11[[#Headers],[Richard_D]],Spielauswertung!$B536:$E536,0),0)=0,AL547,INDEX(Spielauswertung!$AB536:$AE536,MATCH(Tabelle11[[#Headers],[Richard_D]],Spielauswertung!$B536:$E536,0))+AL547)</f>
        <v>107.23233592026223</v>
      </c>
      <c r="AM548" s="1">
        <f>IF(IFERROR(MATCH(Tabelle11[[#Headers],[Rodrigo_R]],Spielauswertung!$B536:$E536,0),0)=0,AM547,INDEX(Spielauswertung!$AB536:$AE536,MATCH(Tabelle11[[#Headers],[Rodrigo_R]],Spielauswertung!$B536:$E536,0))+AM547)</f>
        <v>116.7028707921346</v>
      </c>
      <c r="AN548" s="1">
        <f>IF(IFERROR(MATCH(Tabelle11[[#Headers],[Sebastian_A]],Spielauswertung!$B536:$E536,0),0)=0,AN547,INDEX(Spielauswertung!$AB536:$AE536,MATCH(Tabelle11[[#Headers],[Sebastian_A]],Spielauswertung!$B536:$E536,0))+AN547)</f>
        <v>102.89457418671324</v>
      </c>
      <c r="AO548" s="1">
        <f>IF(IFERROR(MATCH(Tabelle11[[#Headers],[Sebastian_St]],Spielauswertung!$B536:$E536,0),0)=0,AO547,INDEX(Spielauswertung!$AB536:$AE536,MATCH(Tabelle11[[#Headers],[Sebastian_St]],Spielauswertung!$B536:$E536,0))+AO547)</f>
        <v>97.749574367408982</v>
      </c>
      <c r="AP548" s="1">
        <f>IF(IFERROR(MATCH(Tabelle11[[#Headers],[Simon_U]],Spielauswertung!$B536:$E536,0),0)=0,AP547,INDEX(Spielauswertung!$AB536:$AE536,MATCH(Tabelle11[[#Headers],[Simon_U]],Spielauswertung!$B536:$E536,0))+AP547)</f>
        <v>99.623054841470903</v>
      </c>
      <c r="AQ548" s="1">
        <f>IF(IFERROR(MATCH(Tabelle11[[#Headers],[Steffen_R]],Spielauswertung!$B536:$E536,0),0)=0,AQ547,INDEX(Spielauswertung!$AB536:$AE536,MATCH(Tabelle11[[#Headers],[Steffen_R]],Spielauswertung!$B536:$E536,0))+AQ547)</f>
        <v>93.247497067190949</v>
      </c>
      <c r="AR548" s="1">
        <f>IF(IFERROR(MATCH(Tabelle11[[#Headers],[Tim_R]],Spielauswertung!$B536:$E536,0),0)=0,AR547,INDEX(Spielauswertung!$AB536:$AE536,MATCH(Tabelle11[[#Headers],[Tim_R]],Spielauswertung!$B536:$E536,0))+AR547)</f>
        <v>103.07503787023374</v>
      </c>
      <c r="AS548" s="1">
        <f>IF(IFERROR(MATCH(Tabelle11[[#Headers],[Tobias_S]],Spielauswertung!$B536:$E536,0),0)=0,AS547,INDEX(Spielauswertung!$AB536:$AE536,MATCH(Tabelle11[[#Headers],[Tobias_S]],Spielauswertung!$B536:$E536,0))+AS547)</f>
        <v>98.6003422659997</v>
      </c>
      <c r="AT548" s="1">
        <f>IF(IFERROR(MATCH(Tabelle11[[#Headers],[Tom_R]],Spielauswertung!$B536:$E536,0),0)=0,AT547,INDEX(Spielauswertung!$AB536:$AE536,MATCH(Tabelle11[[#Headers],[Tom_R]],Spielauswertung!$B536:$E536,0))+AT547)</f>
        <v>112.62344492949197</v>
      </c>
      <c r="AU548" s="1">
        <f>IF(IFERROR(MATCH(Tabelle11[[#Headers],[Ton_L]],Spielauswertung!$B536:$E536,0),0)=0,AU547,INDEX(Spielauswertung!$AB536:$AE536,MATCH(Tabelle11[[#Headers],[Ton_L]],Spielauswertung!$B536:$E536,0))+AU547)</f>
        <v>92.683083360025861</v>
      </c>
      <c r="AV548" s="1">
        <f>IF(IFERROR(MATCH(Tabelle11[[#Headers],[Yixin_G]],Spielauswertung!$B536:$E536,0),0)=0,AV547,INDEX(Spielauswertung!$AB536:$AE536,MATCH(Tabelle11[[#Headers],[Yixin_G]],Spielauswertung!$B536:$E536,0))+AV547)</f>
        <v>99.900323214082661</v>
      </c>
      <c r="AW548" s="1">
        <f>IF(IFERROR(MATCH(Tabelle11[[#Headers],[Spalte36]],Spielauswertung!$B536:$E536,0),0)=0,AW547,INDEX(Spielauswertung!$AB536:$AE536,MATCH(Tabelle11[[#Headers],[Spalte36]],Spielauswertung!$B536:$E536,0))+AW547)</f>
        <v>100</v>
      </c>
      <c r="AX548" s="1">
        <f>IF(IFERROR(MATCH(Tabelle11[[#Headers],[Spalte37]],Spielauswertung!$B536:$E536,0),0)=0,AX547,INDEX(Spielauswertung!$AB536:$AE536,MATCH(Tabelle11[[#Headers],[Spalte37]],Spielauswertung!$B536:$E536,0))+AX547)</f>
        <v>100</v>
      </c>
      <c r="AY548" s="1">
        <f>IF(IFERROR(MATCH(Tabelle11[[#Headers],[Spalte38]],Spielauswertung!$B536:$E536,0),0)=0,AY547,INDEX(Spielauswertung!$AB536:$AE536,MATCH(Tabelle11[[#Headers],[Spalte38]],Spielauswertung!$B536:$E536,0))+AY547)</f>
        <v>100</v>
      </c>
      <c r="AZ548" s="1">
        <f>IF(IFERROR(MATCH(Tabelle11[[#Headers],[Spalte39]],Spielauswertung!$B536:$E536,0),0)=0,AZ547,INDEX(Spielauswertung!$AB536:$AE536,MATCH(Tabelle11[[#Headers],[Spalte39]],Spielauswertung!$B536:$E536,0))+AZ547)</f>
        <v>100</v>
      </c>
      <c r="BA548" s="1">
        <f>IF(IFERROR(MATCH(Tabelle11[[#Headers],[Spalte40]],Spielauswertung!$B536:$E536,0),0)=0,BA547,INDEX(Spielauswertung!$AB536:$AE536,MATCH(Tabelle11[[#Headers],[Spalte40]],Spielauswertung!$B536:$E536,0))+BA547)</f>
        <v>100</v>
      </c>
      <c r="BB548" s="1">
        <f>IF(IFERROR(MATCH(Tabelle11[[#Headers],[Spalte41]],Spielauswertung!$B536:$E536,0),0)=0,BB547,INDEX(Spielauswertung!$AB536:$AE536,MATCH(Tabelle11[[#Headers],[Spalte41]],Spielauswertung!$B536:$E536,0))+BB547)</f>
        <v>100</v>
      </c>
      <c r="BC548" s="1">
        <f>IF(IFERROR(MATCH(Tabelle11[[#Headers],[Spalte42]],Spielauswertung!$B536:$E536,0),0)=0,BC547,INDEX(Spielauswertung!$AB536:$AE536,MATCH(Tabelle11[[#Headers],[Spalte42]],Spielauswertung!$B536:$E536,0))+BC547)</f>
        <v>100</v>
      </c>
      <c r="BD548" s="1">
        <f>IF(IFERROR(MATCH(Tabelle11[[#Headers],[Spalte43]],Spielauswertung!$B536:$E536,0),0)=0,BD547,INDEX(Spielauswertung!$AB536:$AE536,MATCH(Tabelle11[[#Headers],[Spalte43]],Spielauswertung!$B536:$E536,0))+BD547)</f>
        <v>100</v>
      </c>
      <c r="BE548" s="1">
        <f>IF(IFERROR(MATCH(Tabelle11[[#Headers],[Spalte44]],Spielauswertung!$B536:$E536,0),0)=0,BE547,INDEX(Spielauswertung!$AB536:$AE536,MATCH(Tabelle11[[#Headers],[Spalte44]],Spielauswertung!$B536:$E536,0))+BE547)</f>
        <v>100</v>
      </c>
      <c r="BF548" s="1">
        <f>IF(IFERROR(MATCH(Tabelle11[[#Headers],[Spalte45]],Spielauswertung!$B536:$E536,0),0)=0,BF547,INDEX(Spielauswertung!$AB536:$AE536,MATCH(Tabelle11[[#Headers],[Spalte45]],Spielauswertung!$B536:$E536,0))+BF547)</f>
        <v>100</v>
      </c>
      <c r="BG548" s="1">
        <f>IF(IFERROR(MATCH(Tabelle11[[#Headers],[Spalte46]],Spielauswertung!$B536:$E536,0),0)=0,BG547,INDEX(Spielauswertung!$AB536:$AE536,MATCH(Tabelle11[[#Headers],[Spalte46]],Spielauswertung!$B536:$E536,0))+BG547)</f>
        <v>100</v>
      </c>
      <c r="BH548" s="1">
        <f>IF(IFERROR(MATCH(Tabelle11[[#Headers],[Spalte47]],Spielauswertung!$B536:$E536,0),0)=0,BH547,INDEX(Spielauswertung!$AB536:$AE536,MATCH(Tabelle11[[#Headers],[Spalte47]],Spielauswertung!$B536:$E536,0))+BH547)</f>
        <v>100</v>
      </c>
    </row>
    <row r="549" spans="1:60" x14ac:dyDescent="0.25">
      <c r="A549">
        <f t="shared" si="9"/>
        <v>536</v>
      </c>
      <c r="B549" s="1">
        <f>IF(IFERROR(MATCH(Tabelle11[[#Headers],[Aleix_V]],Spielauswertung!$B537:$E537,0),0)=0,B548,INDEX(Spielauswertung!$AB537:$AE537,MATCH(Tabelle11[[#Headers],[Aleix_V]],Spielauswertung!$B537:$E537,0))+B548)</f>
        <v>102.47318019444646</v>
      </c>
      <c r="C549" s="1">
        <f>IF(IFERROR(MATCH(Tabelle11[[#Headers],[Andres_H]],Spielauswertung!$B537:$E537,0),0)=0,C548,INDEX(Spielauswertung!$AB537:$AE537,MATCH(Tabelle11[[#Headers],[Andres_H]],Spielauswertung!$B537:$E537,0))+C548)</f>
        <v>95.535732339111306</v>
      </c>
      <c r="D549" s="1">
        <f>IF(IFERROR(MATCH(Tabelle11[[#Headers],[Anton_K]],Spielauswertung!$B537:$E537,0),0)=0,D548,INDEX(Spielauswertung!$AB537:$AE537,MATCH(Tabelle11[[#Headers],[Anton_K]],Spielauswertung!$B537:$E537,0))+D548)</f>
        <v>99.287728777054667</v>
      </c>
      <c r="E549" s="1">
        <f>IF(IFERROR(MATCH(Tabelle11[[#Headers],[Bastian_G]],Spielauswertung!$B537:$E537,0),0)=0,E548,INDEX(Spielauswertung!$AB537:$AE537,MATCH(Tabelle11[[#Headers],[Bastian_G]],Spielauswertung!$B537:$E537,0))+E548)</f>
        <v>117.49978695184252</v>
      </c>
      <c r="F549" s="1">
        <f>IF(IFERROR(MATCH(Tabelle11[[#Headers],[Ben_S]],Spielauswertung!$B537:$E537,0),0)=0,F548,INDEX(Spielauswertung!$AB537:$AE537,MATCH(Tabelle11[[#Headers],[Ben_S]],Spielauswertung!$B537:$E537,0))+F548)</f>
        <v>95.932799101521084</v>
      </c>
      <c r="G549" s="1">
        <f>IF(IFERROR(MATCH(Tabelle11[[#Headers],[Benedikt_K]],Spielauswertung!$B537:$E537,0),0)=0,G548,INDEX(Spielauswertung!$AB537:$AE537,MATCH(Tabelle11[[#Headers],[Benedikt_K]],Spielauswertung!$B537:$E537,0))+G548)</f>
        <v>101.20264176422626</v>
      </c>
      <c r="H549" s="1">
        <f>IF(IFERROR(MATCH(Tabelle11[[#Headers],[Benedikt_R]],Spielauswertung!$B537:$E537,0),0)=0,H548,INDEX(Spielauswertung!$AB537:$AE537,MATCH(Tabelle11[[#Headers],[Benedikt_R]],Spielauswertung!$B537:$E537,0))+H548)</f>
        <v>102.6264770510757</v>
      </c>
      <c r="I549" s="1">
        <f>IF(IFERROR(MATCH(Tabelle11[[#Headers],[Carsten_H]],Spielauswertung!$B537:$E537,0),0)=0,I548,INDEX(Spielauswertung!$AB537:$AE537,MATCH(Tabelle11[[#Headers],[Carsten_H]],Spielauswertung!$B537:$E537,0))+I548)</f>
        <v>90.817185094326874</v>
      </c>
      <c r="J549" s="1">
        <f>IF(IFERROR(MATCH(Tabelle11[[#Headers],[Christoph_R]],Spielauswertung!$B537:$E537,0),0)=0,J548,INDEX(Spielauswertung!$AB537:$AE537,MATCH(Tabelle11[[#Headers],[Christoph_R]],Spielauswertung!$B537:$E537,0))+J548)</f>
        <v>109.73261611443155</v>
      </c>
      <c r="K549" s="1">
        <f>IF(IFERROR(MATCH(Tabelle11[[#Headers],[Claudius_J]],Spielauswertung!$B537:$E537,0),0)=0,K548,INDEX(Spielauswertung!$AB537:$AE537,MATCH(Tabelle11[[#Headers],[Claudius_J]],Spielauswertung!$B537:$E537,0))+K548)</f>
        <v>106.16590636000029</v>
      </c>
      <c r="L549" s="1">
        <f>IF(IFERROR(MATCH(Tabelle11[[#Headers],[Daniel_D]],Spielauswertung!$B537:$E537,0),0)=0,L548,INDEX(Spielauswertung!$AB537:$AE537,MATCH(Tabelle11[[#Headers],[Daniel_D]],Spielauswertung!$B537:$E537,0))+L548)</f>
        <v>99.990299180470089</v>
      </c>
      <c r="M549" s="1">
        <f>IF(IFERROR(MATCH(Tabelle11[[#Headers],[David_R]],Spielauswertung!$B537:$E537,0),0)=0,M548,INDEX(Spielauswertung!$AB537:$AE537,MATCH(Tabelle11[[#Headers],[David_R]],Spielauswertung!$B537:$E537,0))+M548)</f>
        <v>96.715943522481638</v>
      </c>
      <c r="N549" s="1">
        <f>IF(IFERROR(MATCH(Tabelle11[[#Headers],[Dennis_P]],Spielauswertung!$B537:$E537,0),0)=0,N548,INDEX(Spielauswertung!$AB537:$AE537,MATCH(Tabelle11[[#Headers],[Dennis_P]],Spielauswertung!$B537:$E537,0))+N548)</f>
        <v>100.04773223105254</v>
      </c>
      <c r="O549" s="1">
        <f>IF(IFERROR(MATCH(Tabelle11[[#Headers],[Dennis_R]],Spielauswertung!$B537:$E537,0),0)=0,O548,INDEX(Spielauswertung!$AB537:$AE537,MATCH(Tabelle11[[#Headers],[Dennis_R]],Spielauswertung!$B537:$E537,0))+O548)</f>
        <v>75.131680864937195</v>
      </c>
      <c r="P549" s="1">
        <f>IF(IFERROR(MATCH(Tabelle11[[#Headers],[Detlef_R]],Spielauswertung!$B537:$E537,0),0)=0,P548,INDEX(Spielauswertung!$AB537:$AE537,MATCH(Tabelle11[[#Headers],[Detlef_R]],Spielauswertung!$B537:$E537,0))+P548)</f>
        <v>87.984671797367014</v>
      </c>
      <c r="Q549" s="1">
        <f>IF(IFERROR(MATCH(Tabelle11[[#Headers],[Dmitrij_M]],Spielauswertung!$B537:$E537,0),0)=0,Q548,INDEX(Spielauswertung!$AB537:$AE537,MATCH(Tabelle11[[#Headers],[Dmitrij_M]],Spielauswertung!$B537:$E537,0))+Q548)</f>
        <v>100.69975721846207</v>
      </c>
      <c r="R549" s="1">
        <f>IF(IFERROR(MATCH(Tabelle11[[#Headers],[Fabian_M]],Spielauswertung!$B537:$E537,0),0)=0,R548,INDEX(Spielauswertung!$AB537:$AE537,MATCH(Tabelle11[[#Headers],[Fabian_M]],Spielauswertung!$B537:$E537,0))+R548)</f>
        <v>95.805387841610738</v>
      </c>
      <c r="S549" s="1">
        <f>IF(IFERROR(MATCH(Tabelle11[[#Headers],[Hannes_S]],Spielauswertung!$B537:$E537,0),0)=0,S548,INDEX(Spielauswertung!$AB537:$AE537,MATCH(Tabelle11[[#Headers],[Hannes_S]],Spielauswertung!$B537:$E537,0))+S548)</f>
        <v>104.83899184012799</v>
      </c>
      <c r="T549" s="1">
        <f>IF(IFERROR(MATCH(Tabelle11[[#Headers],[Jan_B]],Spielauswertung!$B537:$E537,0),0)=0,T548,INDEX(Spielauswertung!$AB537:$AE537,MATCH(Tabelle11[[#Headers],[Jan_B]],Spielauswertung!$B537:$E537,0))+T548)</f>
        <v>100.2794420429173</v>
      </c>
      <c r="U549" s="1">
        <f>IF(IFERROR(MATCH(Tabelle11[[#Headers],[Jan_Hendrik_B]],Spielauswertung!$B537:$E537,0),0)=0,U548,INDEX(Spielauswertung!$AB537:$AE537,MATCH(Tabelle11[[#Headers],[Jan_Hendrik_B]],Spielauswertung!$B537:$E537,0))+U548)</f>
        <v>100.75492416935522</v>
      </c>
      <c r="V549" s="1">
        <f>IF(IFERROR(MATCH(Tabelle11[[#Headers],[Jens_N]],Spielauswertung!$B537:$E537,0),0)=0,V548,INDEX(Spielauswertung!$AB537:$AE537,MATCH(Tabelle11[[#Headers],[Jens_N]],Spielauswertung!$B537:$E537,0))+V548)</f>
        <v>99.643534710196832</v>
      </c>
      <c r="W549" s="1">
        <f>IF(IFERROR(MATCH(Tabelle11[[#Headers],[Johannes_S]],Spielauswertung!$B537:$E537,0),0)=0,W548,INDEX(Spielauswertung!$AB537:$AE537,MATCH(Tabelle11[[#Headers],[Johannes_S]],Spielauswertung!$B537:$E537,0))+W548)</f>
        <v>102.20284750979505</v>
      </c>
      <c r="X549" s="1">
        <f>IF(IFERROR(MATCH(Tabelle11[[#Headers],[Jonathan_F]],Spielauswertung!$B537:$E537,0),0)=0,X548,INDEX(Spielauswertung!$AB537:$AE537,MATCH(Tabelle11[[#Headers],[Jonathan_F]],Spielauswertung!$B537:$E537,0))+X548)</f>
        <v>98.938308797866256</v>
      </c>
      <c r="Y549" s="1">
        <f>IF(IFERROR(MATCH(Tabelle11[[#Headers],[Julius_P]],Spielauswertung!$B537:$E537,0),0)=0,Y548,INDEX(Spielauswertung!$AB537:$AE537,MATCH(Tabelle11[[#Headers],[Julius_P]],Spielauswertung!$B537:$E537,0))+Y548)</f>
        <v>96.540305101873642</v>
      </c>
      <c r="Z549" s="1">
        <f>IF(IFERROR(MATCH(Tabelle11[[#Headers],[Louis_W]],Spielauswertung!$B537:$E537,0),0)=0,Z548,INDEX(Spielauswertung!$AB537:$AE537,MATCH(Tabelle11[[#Headers],[Louis_W]],Spielauswertung!$B537:$E537,0))+Z548)</f>
        <v>87.497452285475362</v>
      </c>
      <c r="AA549" s="1">
        <f>IF(IFERROR(MATCH(Tabelle11[[#Headers],[Lukas_L]],Spielauswertung!$B537:$E537,0),0)=0,AA548,INDEX(Spielauswertung!$AB537:$AE537,MATCH(Tabelle11[[#Headers],[Lukas_L]],Spielauswertung!$B537:$E537,0))+AA548)</f>
        <v>98.447931341404143</v>
      </c>
      <c r="AB549" s="1">
        <f>IF(IFERROR(MATCH(Tabelle11[[#Headers],[Marcin_S]],Spielauswertung!$B537:$E537,0),0)=0,AB548,INDEX(Spielauswertung!$AB537:$AE537,MATCH(Tabelle11[[#Headers],[Marcin_S]],Spielauswertung!$B537:$E537,0))+AB548)</f>
        <v>85.463329105556824</v>
      </c>
      <c r="AC549" s="1">
        <f>IF(IFERROR(MATCH(Tabelle11[[#Headers],[Marco_K]],Spielauswertung!$B537:$E537,0),0)=0,AC548,INDEX(Spielauswertung!$AB537:$AE537,MATCH(Tabelle11[[#Headers],[Marco_K]],Spielauswertung!$B537:$E537,0))+AC548)</f>
        <v>102.12169819441469</v>
      </c>
      <c r="AD549" s="1">
        <f>IF(IFERROR(MATCH(Tabelle11[[#Headers],[Marius_M]],Spielauswertung!$B537:$E537,0),0)=0,AD548,INDEX(Spielauswertung!$AB537:$AE537,MATCH(Tabelle11[[#Headers],[Marius_M]],Spielauswertung!$B537:$E537,0))+AD548)</f>
        <v>124.54012374585781</v>
      </c>
      <c r="AE549" s="1">
        <f>IF(IFERROR(MATCH(Tabelle11[[#Headers],[Marvin_W]],Spielauswertung!$B537:$E537,0),0)=0,AE548,INDEX(Spielauswertung!$AB537:$AE537,MATCH(Tabelle11[[#Headers],[Marvin_W]],Spielauswertung!$B537:$E537,0))+AE548)</f>
        <v>96.700266280577438</v>
      </c>
      <c r="AF549" s="1">
        <f>IF(IFERROR(MATCH(Tabelle11[[#Headers],[Matthias_H]],Spielauswertung!$B537:$E537,0),0)=0,AF548,INDEX(Spielauswertung!$AB537:$AE537,MATCH(Tabelle11[[#Headers],[Matthias_H]],Spielauswertung!$B537:$E537,0))+AF548)</f>
        <v>105.42130178599372</v>
      </c>
      <c r="AG549" s="1">
        <f>IF(IFERROR(MATCH(Tabelle11[[#Headers],[Michael_D]],Spielauswertung!$B537:$E537,0),0)=0,AG548,INDEX(Spielauswertung!$AB537:$AE537,MATCH(Tabelle11[[#Headers],[Michael_D]],Spielauswertung!$B537:$E537,0))+AG548)</f>
        <v>96.436276170375336</v>
      </c>
      <c r="AH549" s="1">
        <f>IF(IFERROR(MATCH(Tabelle11[[#Headers],[Patrick_S]],Spielauswertung!$B537:$E537,0),0)=0,AH548,INDEX(Spielauswertung!$AB537:$AE537,MATCH(Tabelle11[[#Headers],[Patrick_S]],Spielauswertung!$B537:$E537,0))+AH548)</f>
        <v>98.975330692053802</v>
      </c>
      <c r="AI549" s="1">
        <f>IF(IFERROR(MATCH(Tabelle11[[#Headers],[Rano_M]],Spielauswertung!$B537:$E537,0),0)=0,AI548,INDEX(Spielauswertung!$AB537:$AE537,MATCH(Tabelle11[[#Headers],[Rano_M]],Spielauswertung!$B537:$E537,0))+AI548)</f>
        <v>109.38890657420265</v>
      </c>
      <c r="AJ549" s="1">
        <f>IF(IFERROR(MATCH(Tabelle11[[#Headers],[Rene_N]],Spielauswertung!$B537:$E537,0),0)=0,AJ548,INDEX(Spielauswertung!$AB537:$AE537,MATCH(Tabelle11[[#Headers],[Rene_N]],Spielauswertung!$B537:$E537,0))+AJ548)</f>
        <v>101.06482124619033</v>
      </c>
      <c r="AK549" s="1">
        <f>IF(IFERROR(MATCH(Tabelle11[[#Headers],[Rene_P]],Spielauswertung!$B537:$E537,0),0)=0,AK548,INDEX(Spielauswertung!$AB537:$AE537,MATCH(Tabelle11[[#Headers],[Rene_P]],Spielauswertung!$B537:$E537,0))+AK548)</f>
        <v>88.762543186332877</v>
      </c>
      <c r="AL549" s="1">
        <f>IF(IFERROR(MATCH(Tabelle11[[#Headers],[Richard_D]],Spielauswertung!$B537:$E537,0),0)=0,AL548,INDEX(Spielauswertung!$AB537:$AE537,MATCH(Tabelle11[[#Headers],[Richard_D]],Spielauswertung!$B537:$E537,0))+AL548)</f>
        <v>107.23233592026223</v>
      </c>
      <c r="AM549" s="1">
        <f>IF(IFERROR(MATCH(Tabelle11[[#Headers],[Rodrigo_R]],Spielauswertung!$B537:$E537,0),0)=0,AM548,INDEX(Spielauswertung!$AB537:$AE537,MATCH(Tabelle11[[#Headers],[Rodrigo_R]],Spielauswertung!$B537:$E537,0))+AM548)</f>
        <v>116.7028707921346</v>
      </c>
      <c r="AN549" s="1">
        <f>IF(IFERROR(MATCH(Tabelle11[[#Headers],[Sebastian_A]],Spielauswertung!$B537:$E537,0),0)=0,AN548,INDEX(Spielauswertung!$AB537:$AE537,MATCH(Tabelle11[[#Headers],[Sebastian_A]],Spielauswertung!$B537:$E537,0))+AN548)</f>
        <v>102.89457418671324</v>
      </c>
      <c r="AO549" s="1">
        <f>IF(IFERROR(MATCH(Tabelle11[[#Headers],[Sebastian_St]],Spielauswertung!$B537:$E537,0),0)=0,AO548,INDEX(Spielauswertung!$AB537:$AE537,MATCH(Tabelle11[[#Headers],[Sebastian_St]],Spielauswertung!$B537:$E537,0))+AO548)</f>
        <v>97.749574367408982</v>
      </c>
      <c r="AP549" s="1">
        <f>IF(IFERROR(MATCH(Tabelle11[[#Headers],[Simon_U]],Spielauswertung!$B537:$E537,0),0)=0,AP548,INDEX(Spielauswertung!$AB537:$AE537,MATCH(Tabelle11[[#Headers],[Simon_U]],Spielauswertung!$B537:$E537,0))+AP548)</f>
        <v>99.623054841470903</v>
      </c>
      <c r="AQ549" s="1">
        <f>IF(IFERROR(MATCH(Tabelle11[[#Headers],[Steffen_R]],Spielauswertung!$B537:$E537,0),0)=0,AQ548,INDEX(Spielauswertung!$AB537:$AE537,MATCH(Tabelle11[[#Headers],[Steffen_R]],Spielauswertung!$B537:$E537,0))+AQ548)</f>
        <v>93.247497067190949</v>
      </c>
      <c r="AR549" s="1">
        <f>IF(IFERROR(MATCH(Tabelle11[[#Headers],[Tim_R]],Spielauswertung!$B537:$E537,0),0)=0,AR548,INDEX(Spielauswertung!$AB537:$AE537,MATCH(Tabelle11[[#Headers],[Tim_R]],Spielauswertung!$B537:$E537,0))+AR548)</f>
        <v>103.07503787023374</v>
      </c>
      <c r="AS549" s="1">
        <f>IF(IFERROR(MATCH(Tabelle11[[#Headers],[Tobias_S]],Spielauswertung!$B537:$E537,0),0)=0,AS548,INDEX(Spielauswertung!$AB537:$AE537,MATCH(Tabelle11[[#Headers],[Tobias_S]],Spielauswertung!$B537:$E537,0))+AS548)</f>
        <v>98.6003422659997</v>
      </c>
      <c r="AT549" s="1">
        <f>IF(IFERROR(MATCH(Tabelle11[[#Headers],[Tom_R]],Spielauswertung!$B537:$E537,0),0)=0,AT548,INDEX(Spielauswertung!$AB537:$AE537,MATCH(Tabelle11[[#Headers],[Tom_R]],Spielauswertung!$B537:$E537,0))+AT548)</f>
        <v>112.62344492949197</v>
      </c>
      <c r="AU549" s="1">
        <f>IF(IFERROR(MATCH(Tabelle11[[#Headers],[Ton_L]],Spielauswertung!$B537:$E537,0),0)=0,AU548,INDEX(Spielauswertung!$AB537:$AE537,MATCH(Tabelle11[[#Headers],[Ton_L]],Spielauswertung!$B537:$E537,0))+AU548)</f>
        <v>92.683083360025861</v>
      </c>
      <c r="AV549" s="1">
        <f>IF(IFERROR(MATCH(Tabelle11[[#Headers],[Yixin_G]],Spielauswertung!$B537:$E537,0),0)=0,AV548,INDEX(Spielauswertung!$AB537:$AE537,MATCH(Tabelle11[[#Headers],[Yixin_G]],Spielauswertung!$B537:$E537,0))+AV548)</f>
        <v>99.900323214082661</v>
      </c>
      <c r="AW549" s="1">
        <f>IF(IFERROR(MATCH(Tabelle11[[#Headers],[Spalte36]],Spielauswertung!$B537:$E537,0),0)=0,AW548,INDEX(Spielauswertung!$AB537:$AE537,MATCH(Tabelle11[[#Headers],[Spalte36]],Spielauswertung!$B537:$E537,0))+AW548)</f>
        <v>100</v>
      </c>
      <c r="AX549" s="1">
        <f>IF(IFERROR(MATCH(Tabelle11[[#Headers],[Spalte37]],Spielauswertung!$B537:$E537,0),0)=0,AX548,INDEX(Spielauswertung!$AB537:$AE537,MATCH(Tabelle11[[#Headers],[Spalte37]],Spielauswertung!$B537:$E537,0))+AX548)</f>
        <v>100</v>
      </c>
      <c r="AY549" s="1">
        <f>IF(IFERROR(MATCH(Tabelle11[[#Headers],[Spalte38]],Spielauswertung!$B537:$E537,0),0)=0,AY548,INDEX(Spielauswertung!$AB537:$AE537,MATCH(Tabelle11[[#Headers],[Spalte38]],Spielauswertung!$B537:$E537,0))+AY548)</f>
        <v>100</v>
      </c>
      <c r="AZ549" s="1">
        <f>IF(IFERROR(MATCH(Tabelle11[[#Headers],[Spalte39]],Spielauswertung!$B537:$E537,0),0)=0,AZ548,INDEX(Spielauswertung!$AB537:$AE537,MATCH(Tabelle11[[#Headers],[Spalte39]],Spielauswertung!$B537:$E537,0))+AZ548)</f>
        <v>100</v>
      </c>
      <c r="BA549" s="1">
        <f>IF(IFERROR(MATCH(Tabelle11[[#Headers],[Spalte40]],Spielauswertung!$B537:$E537,0),0)=0,BA548,INDEX(Spielauswertung!$AB537:$AE537,MATCH(Tabelle11[[#Headers],[Spalte40]],Spielauswertung!$B537:$E537,0))+BA548)</f>
        <v>100</v>
      </c>
      <c r="BB549" s="1">
        <f>IF(IFERROR(MATCH(Tabelle11[[#Headers],[Spalte41]],Spielauswertung!$B537:$E537,0),0)=0,BB548,INDEX(Spielauswertung!$AB537:$AE537,MATCH(Tabelle11[[#Headers],[Spalte41]],Spielauswertung!$B537:$E537,0))+BB548)</f>
        <v>100</v>
      </c>
      <c r="BC549" s="1">
        <f>IF(IFERROR(MATCH(Tabelle11[[#Headers],[Spalte42]],Spielauswertung!$B537:$E537,0),0)=0,BC548,INDEX(Spielauswertung!$AB537:$AE537,MATCH(Tabelle11[[#Headers],[Spalte42]],Spielauswertung!$B537:$E537,0))+BC548)</f>
        <v>100</v>
      </c>
      <c r="BD549" s="1">
        <f>IF(IFERROR(MATCH(Tabelle11[[#Headers],[Spalte43]],Spielauswertung!$B537:$E537,0),0)=0,BD548,INDEX(Spielauswertung!$AB537:$AE537,MATCH(Tabelle11[[#Headers],[Spalte43]],Spielauswertung!$B537:$E537,0))+BD548)</f>
        <v>100</v>
      </c>
      <c r="BE549" s="1">
        <f>IF(IFERROR(MATCH(Tabelle11[[#Headers],[Spalte44]],Spielauswertung!$B537:$E537,0),0)=0,BE548,INDEX(Spielauswertung!$AB537:$AE537,MATCH(Tabelle11[[#Headers],[Spalte44]],Spielauswertung!$B537:$E537,0))+BE548)</f>
        <v>100</v>
      </c>
      <c r="BF549" s="1">
        <f>IF(IFERROR(MATCH(Tabelle11[[#Headers],[Spalte45]],Spielauswertung!$B537:$E537,0),0)=0,BF548,INDEX(Spielauswertung!$AB537:$AE537,MATCH(Tabelle11[[#Headers],[Spalte45]],Spielauswertung!$B537:$E537,0))+BF548)</f>
        <v>100</v>
      </c>
      <c r="BG549" s="1">
        <f>IF(IFERROR(MATCH(Tabelle11[[#Headers],[Spalte46]],Spielauswertung!$B537:$E537,0),0)=0,BG548,INDEX(Spielauswertung!$AB537:$AE537,MATCH(Tabelle11[[#Headers],[Spalte46]],Spielauswertung!$B537:$E537,0))+BG548)</f>
        <v>100</v>
      </c>
      <c r="BH549" s="1">
        <f>IF(IFERROR(MATCH(Tabelle11[[#Headers],[Spalte47]],Spielauswertung!$B537:$E537,0),0)=0,BH548,INDEX(Spielauswertung!$AB537:$AE537,MATCH(Tabelle11[[#Headers],[Spalte47]],Spielauswertung!$B537:$E537,0))+BH548)</f>
        <v>100</v>
      </c>
    </row>
    <row r="550" spans="1:60" x14ac:dyDescent="0.25">
      <c r="A550">
        <f t="shared" si="9"/>
        <v>537</v>
      </c>
      <c r="B550" s="1">
        <f>IF(IFERROR(MATCH(Tabelle11[[#Headers],[Aleix_V]],Spielauswertung!$B538:$E538,0),0)=0,B549,INDEX(Spielauswertung!$AB538:$AE538,MATCH(Tabelle11[[#Headers],[Aleix_V]],Spielauswertung!$B538:$E538,0))+B549)</f>
        <v>102.47318019444646</v>
      </c>
      <c r="C550" s="1">
        <f>IF(IFERROR(MATCH(Tabelle11[[#Headers],[Andres_H]],Spielauswertung!$B538:$E538,0),0)=0,C549,INDEX(Spielauswertung!$AB538:$AE538,MATCH(Tabelle11[[#Headers],[Andres_H]],Spielauswertung!$B538:$E538,0))+C549)</f>
        <v>95.535732339111306</v>
      </c>
      <c r="D550" s="1">
        <f>IF(IFERROR(MATCH(Tabelle11[[#Headers],[Anton_K]],Spielauswertung!$B538:$E538,0),0)=0,D549,INDEX(Spielauswertung!$AB538:$AE538,MATCH(Tabelle11[[#Headers],[Anton_K]],Spielauswertung!$B538:$E538,0))+D549)</f>
        <v>99.287728777054667</v>
      </c>
      <c r="E550" s="1">
        <f>IF(IFERROR(MATCH(Tabelle11[[#Headers],[Bastian_G]],Spielauswertung!$B538:$E538,0),0)=0,E549,INDEX(Spielauswertung!$AB538:$AE538,MATCH(Tabelle11[[#Headers],[Bastian_G]],Spielauswertung!$B538:$E538,0))+E549)</f>
        <v>117.49978695184252</v>
      </c>
      <c r="F550" s="1">
        <f>IF(IFERROR(MATCH(Tabelle11[[#Headers],[Ben_S]],Spielauswertung!$B538:$E538,0),0)=0,F549,INDEX(Spielauswertung!$AB538:$AE538,MATCH(Tabelle11[[#Headers],[Ben_S]],Spielauswertung!$B538:$E538,0))+F549)</f>
        <v>95.932799101521084</v>
      </c>
      <c r="G550" s="1">
        <f>IF(IFERROR(MATCH(Tabelle11[[#Headers],[Benedikt_K]],Spielauswertung!$B538:$E538,0),0)=0,G549,INDEX(Spielauswertung!$AB538:$AE538,MATCH(Tabelle11[[#Headers],[Benedikt_K]],Spielauswertung!$B538:$E538,0))+G549)</f>
        <v>101.20264176422626</v>
      </c>
      <c r="H550" s="1">
        <f>IF(IFERROR(MATCH(Tabelle11[[#Headers],[Benedikt_R]],Spielauswertung!$B538:$E538,0),0)=0,H549,INDEX(Spielauswertung!$AB538:$AE538,MATCH(Tabelle11[[#Headers],[Benedikt_R]],Spielauswertung!$B538:$E538,0))+H549)</f>
        <v>102.6264770510757</v>
      </c>
      <c r="I550" s="1">
        <f>IF(IFERROR(MATCH(Tabelle11[[#Headers],[Carsten_H]],Spielauswertung!$B538:$E538,0),0)=0,I549,INDEX(Spielauswertung!$AB538:$AE538,MATCH(Tabelle11[[#Headers],[Carsten_H]],Spielauswertung!$B538:$E538,0))+I549)</f>
        <v>90.817185094326874</v>
      </c>
      <c r="J550" s="1">
        <f>IF(IFERROR(MATCH(Tabelle11[[#Headers],[Christoph_R]],Spielauswertung!$B538:$E538,0),0)=0,J549,INDEX(Spielauswertung!$AB538:$AE538,MATCH(Tabelle11[[#Headers],[Christoph_R]],Spielauswertung!$B538:$E538,0))+J549)</f>
        <v>109.73261611443155</v>
      </c>
      <c r="K550" s="1">
        <f>IF(IFERROR(MATCH(Tabelle11[[#Headers],[Claudius_J]],Spielauswertung!$B538:$E538,0),0)=0,K549,INDEX(Spielauswertung!$AB538:$AE538,MATCH(Tabelle11[[#Headers],[Claudius_J]],Spielauswertung!$B538:$E538,0))+K549)</f>
        <v>106.16590636000029</v>
      </c>
      <c r="L550" s="1">
        <f>IF(IFERROR(MATCH(Tabelle11[[#Headers],[Daniel_D]],Spielauswertung!$B538:$E538,0),0)=0,L549,INDEX(Spielauswertung!$AB538:$AE538,MATCH(Tabelle11[[#Headers],[Daniel_D]],Spielauswertung!$B538:$E538,0))+L549)</f>
        <v>99.990299180470089</v>
      </c>
      <c r="M550" s="1">
        <f>IF(IFERROR(MATCH(Tabelle11[[#Headers],[David_R]],Spielauswertung!$B538:$E538,0),0)=0,M549,INDEX(Spielauswertung!$AB538:$AE538,MATCH(Tabelle11[[#Headers],[David_R]],Spielauswertung!$B538:$E538,0))+M549)</f>
        <v>96.715943522481638</v>
      </c>
      <c r="N550" s="1">
        <f>IF(IFERROR(MATCH(Tabelle11[[#Headers],[Dennis_P]],Spielauswertung!$B538:$E538,0),0)=0,N549,INDEX(Spielauswertung!$AB538:$AE538,MATCH(Tabelle11[[#Headers],[Dennis_P]],Spielauswertung!$B538:$E538,0))+N549)</f>
        <v>100.04773223105254</v>
      </c>
      <c r="O550" s="1">
        <f>IF(IFERROR(MATCH(Tabelle11[[#Headers],[Dennis_R]],Spielauswertung!$B538:$E538,0),0)=0,O549,INDEX(Spielauswertung!$AB538:$AE538,MATCH(Tabelle11[[#Headers],[Dennis_R]],Spielauswertung!$B538:$E538,0))+O549)</f>
        <v>75.131680864937195</v>
      </c>
      <c r="P550" s="1">
        <f>IF(IFERROR(MATCH(Tabelle11[[#Headers],[Detlef_R]],Spielauswertung!$B538:$E538,0),0)=0,P549,INDEX(Spielauswertung!$AB538:$AE538,MATCH(Tabelle11[[#Headers],[Detlef_R]],Spielauswertung!$B538:$E538,0))+P549)</f>
        <v>87.984671797367014</v>
      </c>
      <c r="Q550" s="1">
        <f>IF(IFERROR(MATCH(Tabelle11[[#Headers],[Dmitrij_M]],Spielauswertung!$B538:$E538,0),0)=0,Q549,INDEX(Spielauswertung!$AB538:$AE538,MATCH(Tabelle11[[#Headers],[Dmitrij_M]],Spielauswertung!$B538:$E538,0))+Q549)</f>
        <v>100.69975721846207</v>
      </c>
      <c r="R550" s="1">
        <f>IF(IFERROR(MATCH(Tabelle11[[#Headers],[Fabian_M]],Spielauswertung!$B538:$E538,0),0)=0,R549,INDEX(Spielauswertung!$AB538:$AE538,MATCH(Tabelle11[[#Headers],[Fabian_M]],Spielauswertung!$B538:$E538,0))+R549)</f>
        <v>95.805387841610738</v>
      </c>
      <c r="S550" s="1">
        <f>IF(IFERROR(MATCH(Tabelle11[[#Headers],[Hannes_S]],Spielauswertung!$B538:$E538,0),0)=0,S549,INDEX(Spielauswertung!$AB538:$AE538,MATCH(Tabelle11[[#Headers],[Hannes_S]],Spielauswertung!$B538:$E538,0))+S549)</f>
        <v>104.83899184012799</v>
      </c>
      <c r="T550" s="1">
        <f>IF(IFERROR(MATCH(Tabelle11[[#Headers],[Jan_B]],Spielauswertung!$B538:$E538,0),0)=0,T549,INDEX(Spielauswertung!$AB538:$AE538,MATCH(Tabelle11[[#Headers],[Jan_B]],Spielauswertung!$B538:$E538,0))+T549)</f>
        <v>100.2794420429173</v>
      </c>
      <c r="U550" s="1">
        <f>IF(IFERROR(MATCH(Tabelle11[[#Headers],[Jan_Hendrik_B]],Spielauswertung!$B538:$E538,0),0)=0,U549,INDEX(Spielauswertung!$AB538:$AE538,MATCH(Tabelle11[[#Headers],[Jan_Hendrik_B]],Spielauswertung!$B538:$E538,0))+U549)</f>
        <v>100.75492416935522</v>
      </c>
      <c r="V550" s="1">
        <f>IF(IFERROR(MATCH(Tabelle11[[#Headers],[Jens_N]],Spielauswertung!$B538:$E538,0),0)=0,V549,INDEX(Spielauswertung!$AB538:$AE538,MATCH(Tabelle11[[#Headers],[Jens_N]],Spielauswertung!$B538:$E538,0))+V549)</f>
        <v>99.643534710196832</v>
      </c>
      <c r="W550" s="1">
        <f>IF(IFERROR(MATCH(Tabelle11[[#Headers],[Johannes_S]],Spielauswertung!$B538:$E538,0),0)=0,W549,INDEX(Spielauswertung!$AB538:$AE538,MATCH(Tabelle11[[#Headers],[Johannes_S]],Spielauswertung!$B538:$E538,0))+W549)</f>
        <v>102.20284750979505</v>
      </c>
      <c r="X550" s="1">
        <f>IF(IFERROR(MATCH(Tabelle11[[#Headers],[Jonathan_F]],Spielauswertung!$B538:$E538,0),0)=0,X549,INDEX(Spielauswertung!$AB538:$AE538,MATCH(Tabelle11[[#Headers],[Jonathan_F]],Spielauswertung!$B538:$E538,0))+X549)</f>
        <v>98.938308797866256</v>
      </c>
      <c r="Y550" s="1">
        <f>IF(IFERROR(MATCH(Tabelle11[[#Headers],[Julius_P]],Spielauswertung!$B538:$E538,0),0)=0,Y549,INDEX(Spielauswertung!$AB538:$AE538,MATCH(Tabelle11[[#Headers],[Julius_P]],Spielauswertung!$B538:$E538,0))+Y549)</f>
        <v>96.540305101873642</v>
      </c>
      <c r="Z550" s="1">
        <f>IF(IFERROR(MATCH(Tabelle11[[#Headers],[Louis_W]],Spielauswertung!$B538:$E538,0),0)=0,Z549,INDEX(Spielauswertung!$AB538:$AE538,MATCH(Tabelle11[[#Headers],[Louis_W]],Spielauswertung!$B538:$E538,0))+Z549)</f>
        <v>87.497452285475362</v>
      </c>
      <c r="AA550" s="1">
        <f>IF(IFERROR(MATCH(Tabelle11[[#Headers],[Lukas_L]],Spielauswertung!$B538:$E538,0),0)=0,AA549,INDEX(Spielauswertung!$AB538:$AE538,MATCH(Tabelle11[[#Headers],[Lukas_L]],Spielauswertung!$B538:$E538,0))+AA549)</f>
        <v>98.447931341404143</v>
      </c>
      <c r="AB550" s="1">
        <f>IF(IFERROR(MATCH(Tabelle11[[#Headers],[Marcin_S]],Spielauswertung!$B538:$E538,0),0)=0,AB549,INDEX(Spielauswertung!$AB538:$AE538,MATCH(Tabelle11[[#Headers],[Marcin_S]],Spielauswertung!$B538:$E538,0))+AB549)</f>
        <v>85.463329105556824</v>
      </c>
      <c r="AC550" s="1">
        <f>IF(IFERROR(MATCH(Tabelle11[[#Headers],[Marco_K]],Spielauswertung!$B538:$E538,0),0)=0,AC549,INDEX(Spielauswertung!$AB538:$AE538,MATCH(Tabelle11[[#Headers],[Marco_K]],Spielauswertung!$B538:$E538,0))+AC549)</f>
        <v>102.12169819441469</v>
      </c>
      <c r="AD550" s="1">
        <f>IF(IFERROR(MATCH(Tabelle11[[#Headers],[Marius_M]],Spielauswertung!$B538:$E538,0),0)=0,AD549,INDEX(Spielauswertung!$AB538:$AE538,MATCH(Tabelle11[[#Headers],[Marius_M]],Spielauswertung!$B538:$E538,0))+AD549)</f>
        <v>124.54012374585781</v>
      </c>
      <c r="AE550" s="1">
        <f>IF(IFERROR(MATCH(Tabelle11[[#Headers],[Marvin_W]],Spielauswertung!$B538:$E538,0),0)=0,AE549,INDEX(Spielauswertung!$AB538:$AE538,MATCH(Tabelle11[[#Headers],[Marvin_W]],Spielauswertung!$B538:$E538,0))+AE549)</f>
        <v>96.700266280577438</v>
      </c>
      <c r="AF550" s="1">
        <f>IF(IFERROR(MATCH(Tabelle11[[#Headers],[Matthias_H]],Spielauswertung!$B538:$E538,0),0)=0,AF549,INDEX(Spielauswertung!$AB538:$AE538,MATCH(Tabelle11[[#Headers],[Matthias_H]],Spielauswertung!$B538:$E538,0))+AF549)</f>
        <v>105.42130178599372</v>
      </c>
      <c r="AG550" s="1">
        <f>IF(IFERROR(MATCH(Tabelle11[[#Headers],[Michael_D]],Spielauswertung!$B538:$E538,0),0)=0,AG549,INDEX(Spielauswertung!$AB538:$AE538,MATCH(Tabelle11[[#Headers],[Michael_D]],Spielauswertung!$B538:$E538,0))+AG549)</f>
        <v>96.436276170375336</v>
      </c>
      <c r="AH550" s="1">
        <f>IF(IFERROR(MATCH(Tabelle11[[#Headers],[Patrick_S]],Spielauswertung!$B538:$E538,0),0)=0,AH549,INDEX(Spielauswertung!$AB538:$AE538,MATCH(Tabelle11[[#Headers],[Patrick_S]],Spielauswertung!$B538:$E538,0))+AH549)</f>
        <v>98.975330692053802</v>
      </c>
      <c r="AI550" s="1">
        <f>IF(IFERROR(MATCH(Tabelle11[[#Headers],[Rano_M]],Spielauswertung!$B538:$E538,0),0)=0,AI549,INDEX(Spielauswertung!$AB538:$AE538,MATCH(Tabelle11[[#Headers],[Rano_M]],Spielauswertung!$B538:$E538,0))+AI549)</f>
        <v>109.38890657420265</v>
      </c>
      <c r="AJ550" s="1">
        <f>IF(IFERROR(MATCH(Tabelle11[[#Headers],[Rene_N]],Spielauswertung!$B538:$E538,0),0)=0,AJ549,INDEX(Spielauswertung!$AB538:$AE538,MATCH(Tabelle11[[#Headers],[Rene_N]],Spielauswertung!$B538:$E538,0))+AJ549)</f>
        <v>101.06482124619033</v>
      </c>
      <c r="AK550" s="1">
        <f>IF(IFERROR(MATCH(Tabelle11[[#Headers],[Rene_P]],Spielauswertung!$B538:$E538,0),0)=0,AK549,INDEX(Spielauswertung!$AB538:$AE538,MATCH(Tabelle11[[#Headers],[Rene_P]],Spielauswertung!$B538:$E538,0))+AK549)</f>
        <v>88.762543186332877</v>
      </c>
      <c r="AL550" s="1">
        <f>IF(IFERROR(MATCH(Tabelle11[[#Headers],[Richard_D]],Spielauswertung!$B538:$E538,0),0)=0,AL549,INDEX(Spielauswertung!$AB538:$AE538,MATCH(Tabelle11[[#Headers],[Richard_D]],Spielauswertung!$B538:$E538,0))+AL549)</f>
        <v>107.23233592026223</v>
      </c>
      <c r="AM550" s="1">
        <f>IF(IFERROR(MATCH(Tabelle11[[#Headers],[Rodrigo_R]],Spielauswertung!$B538:$E538,0),0)=0,AM549,INDEX(Spielauswertung!$AB538:$AE538,MATCH(Tabelle11[[#Headers],[Rodrigo_R]],Spielauswertung!$B538:$E538,0))+AM549)</f>
        <v>116.7028707921346</v>
      </c>
      <c r="AN550" s="1">
        <f>IF(IFERROR(MATCH(Tabelle11[[#Headers],[Sebastian_A]],Spielauswertung!$B538:$E538,0),0)=0,AN549,INDEX(Spielauswertung!$AB538:$AE538,MATCH(Tabelle11[[#Headers],[Sebastian_A]],Spielauswertung!$B538:$E538,0))+AN549)</f>
        <v>102.89457418671324</v>
      </c>
      <c r="AO550" s="1">
        <f>IF(IFERROR(MATCH(Tabelle11[[#Headers],[Sebastian_St]],Spielauswertung!$B538:$E538,0),0)=0,AO549,INDEX(Spielauswertung!$AB538:$AE538,MATCH(Tabelle11[[#Headers],[Sebastian_St]],Spielauswertung!$B538:$E538,0))+AO549)</f>
        <v>97.749574367408982</v>
      </c>
      <c r="AP550" s="1">
        <f>IF(IFERROR(MATCH(Tabelle11[[#Headers],[Simon_U]],Spielauswertung!$B538:$E538,0),0)=0,AP549,INDEX(Spielauswertung!$AB538:$AE538,MATCH(Tabelle11[[#Headers],[Simon_U]],Spielauswertung!$B538:$E538,0))+AP549)</f>
        <v>99.623054841470903</v>
      </c>
      <c r="AQ550" s="1">
        <f>IF(IFERROR(MATCH(Tabelle11[[#Headers],[Steffen_R]],Spielauswertung!$B538:$E538,0),0)=0,AQ549,INDEX(Spielauswertung!$AB538:$AE538,MATCH(Tabelle11[[#Headers],[Steffen_R]],Spielauswertung!$B538:$E538,0))+AQ549)</f>
        <v>93.247497067190949</v>
      </c>
      <c r="AR550" s="1">
        <f>IF(IFERROR(MATCH(Tabelle11[[#Headers],[Tim_R]],Spielauswertung!$B538:$E538,0),0)=0,AR549,INDEX(Spielauswertung!$AB538:$AE538,MATCH(Tabelle11[[#Headers],[Tim_R]],Spielauswertung!$B538:$E538,0))+AR549)</f>
        <v>103.07503787023374</v>
      </c>
      <c r="AS550" s="1">
        <f>IF(IFERROR(MATCH(Tabelle11[[#Headers],[Tobias_S]],Spielauswertung!$B538:$E538,0),0)=0,AS549,INDEX(Spielauswertung!$AB538:$AE538,MATCH(Tabelle11[[#Headers],[Tobias_S]],Spielauswertung!$B538:$E538,0))+AS549)</f>
        <v>98.6003422659997</v>
      </c>
      <c r="AT550" s="1">
        <f>IF(IFERROR(MATCH(Tabelle11[[#Headers],[Tom_R]],Spielauswertung!$B538:$E538,0),0)=0,AT549,INDEX(Spielauswertung!$AB538:$AE538,MATCH(Tabelle11[[#Headers],[Tom_R]],Spielauswertung!$B538:$E538,0))+AT549)</f>
        <v>112.62344492949197</v>
      </c>
      <c r="AU550" s="1">
        <f>IF(IFERROR(MATCH(Tabelle11[[#Headers],[Ton_L]],Spielauswertung!$B538:$E538,0),0)=0,AU549,INDEX(Spielauswertung!$AB538:$AE538,MATCH(Tabelle11[[#Headers],[Ton_L]],Spielauswertung!$B538:$E538,0))+AU549)</f>
        <v>92.683083360025861</v>
      </c>
      <c r="AV550" s="1">
        <f>IF(IFERROR(MATCH(Tabelle11[[#Headers],[Yixin_G]],Spielauswertung!$B538:$E538,0),0)=0,AV549,INDEX(Spielauswertung!$AB538:$AE538,MATCH(Tabelle11[[#Headers],[Yixin_G]],Spielauswertung!$B538:$E538,0))+AV549)</f>
        <v>99.900323214082661</v>
      </c>
      <c r="AW550" s="1">
        <f>IF(IFERROR(MATCH(Tabelle11[[#Headers],[Spalte36]],Spielauswertung!$B538:$E538,0),0)=0,AW549,INDEX(Spielauswertung!$AB538:$AE538,MATCH(Tabelle11[[#Headers],[Spalte36]],Spielauswertung!$B538:$E538,0))+AW549)</f>
        <v>100</v>
      </c>
      <c r="AX550" s="1">
        <f>IF(IFERROR(MATCH(Tabelle11[[#Headers],[Spalte37]],Spielauswertung!$B538:$E538,0),0)=0,AX549,INDEX(Spielauswertung!$AB538:$AE538,MATCH(Tabelle11[[#Headers],[Spalte37]],Spielauswertung!$B538:$E538,0))+AX549)</f>
        <v>100</v>
      </c>
      <c r="AY550" s="1">
        <f>IF(IFERROR(MATCH(Tabelle11[[#Headers],[Spalte38]],Spielauswertung!$B538:$E538,0),0)=0,AY549,INDEX(Spielauswertung!$AB538:$AE538,MATCH(Tabelle11[[#Headers],[Spalte38]],Spielauswertung!$B538:$E538,0))+AY549)</f>
        <v>100</v>
      </c>
      <c r="AZ550" s="1">
        <f>IF(IFERROR(MATCH(Tabelle11[[#Headers],[Spalte39]],Spielauswertung!$B538:$E538,0),0)=0,AZ549,INDEX(Spielauswertung!$AB538:$AE538,MATCH(Tabelle11[[#Headers],[Spalte39]],Spielauswertung!$B538:$E538,0))+AZ549)</f>
        <v>100</v>
      </c>
      <c r="BA550" s="1">
        <f>IF(IFERROR(MATCH(Tabelle11[[#Headers],[Spalte40]],Spielauswertung!$B538:$E538,0),0)=0,BA549,INDEX(Spielauswertung!$AB538:$AE538,MATCH(Tabelle11[[#Headers],[Spalte40]],Spielauswertung!$B538:$E538,0))+BA549)</f>
        <v>100</v>
      </c>
      <c r="BB550" s="1">
        <f>IF(IFERROR(MATCH(Tabelle11[[#Headers],[Spalte41]],Spielauswertung!$B538:$E538,0),0)=0,BB549,INDEX(Spielauswertung!$AB538:$AE538,MATCH(Tabelle11[[#Headers],[Spalte41]],Spielauswertung!$B538:$E538,0))+BB549)</f>
        <v>100</v>
      </c>
      <c r="BC550" s="1">
        <f>IF(IFERROR(MATCH(Tabelle11[[#Headers],[Spalte42]],Spielauswertung!$B538:$E538,0),0)=0,BC549,INDEX(Spielauswertung!$AB538:$AE538,MATCH(Tabelle11[[#Headers],[Spalte42]],Spielauswertung!$B538:$E538,0))+BC549)</f>
        <v>100</v>
      </c>
      <c r="BD550" s="1">
        <f>IF(IFERROR(MATCH(Tabelle11[[#Headers],[Spalte43]],Spielauswertung!$B538:$E538,0),0)=0,BD549,INDEX(Spielauswertung!$AB538:$AE538,MATCH(Tabelle11[[#Headers],[Spalte43]],Spielauswertung!$B538:$E538,0))+BD549)</f>
        <v>100</v>
      </c>
      <c r="BE550" s="1">
        <f>IF(IFERROR(MATCH(Tabelle11[[#Headers],[Spalte44]],Spielauswertung!$B538:$E538,0),0)=0,BE549,INDEX(Spielauswertung!$AB538:$AE538,MATCH(Tabelle11[[#Headers],[Spalte44]],Spielauswertung!$B538:$E538,0))+BE549)</f>
        <v>100</v>
      </c>
      <c r="BF550" s="1">
        <f>IF(IFERROR(MATCH(Tabelle11[[#Headers],[Spalte45]],Spielauswertung!$B538:$E538,0),0)=0,BF549,INDEX(Spielauswertung!$AB538:$AE538,MATCH(Tabelle11[[#Headers],[Spalte45]],Spielauswertung!$B538:$E538,0))+BF549)</f>
        <v>100</v>
      </c>
      <c r="BG550" s="1">
        <f>IF(IFERROR(MATCH(Tabelle11[[#Headers],[Spalte46]],Spielauswertung!$B538:$E538,0),0)=0,BG549,INDEX(Spielauswertung!$AB538:$AE538,MATCH(Tabelle11[[#Headers],[Spalte46]],Spielauswertung!$B538:$E538,0))+BG549)</f>
        <v>100</v>
      </c>
      <c r="BH550" s="1">
        <f>IF(IFERROR(MATCH(Tabelle11[[#Headers],[Spalte47]],Spielauswertung!$B538:$E538,0),0)=0,BH549,INDEX(Spielauswertung!$AB538:$AE538,MATCH(Tabelle11[[#Headers],[Spalte47]],Spielauswertung!$B538:$E538,0))+BH549)</f>
        <v>100</v>
      </c>
    </row>
    <row r="551" spans="1:60" x14ac:dyDescent="0.25">
      <c r="A551">
        <f t="shared" si="9"/>
        <v>538</v>
      </c>
      <c r="B551" s="1">
        <f>IF(IFERROR(MATCH(Tabelle11[[#Headers],[Aleix_V]],Spielauswertung!$B539:$E539,0),0)=0,B550,INDEX(Spielauswertung!$AB539:$AE539,MATCH(Tabelle11[[#Headers],[Aleix_V]],Spielauswertung!$B539:$E539,0))+B550)</f>
        <v>102.47318019444646</v>
      </c>
      <c r="C551" s="1">
        <f>IF(IFERROR(MATCH(Tabelle11[[#Headers],[Andres_H]],Spielauswertung!$B539:$E539,0),0)=0,C550,INDEX(Spielauswertung!$AB539:$AE539,MATCH(Tabelle11[[#Headers],[Andres_H]],Spielauswertung!$B539:$E539,0))+C550)</f>
        <v>95.535732339111306</v>
      </c>
      <c r="D551" s="1">
        <f>IF(IFERROR(MATCH(Tabelle11[[#Headers],[Anton_K]],Spielauswertung!$B539:$E539,0),0)=0,D550,INDEX(Spielauswertung!$AB539:$AE539,MATCH(Tabelle11[[#Headers],[Anton_K]],Spielauswertung!$B539:$E539,0))+D550)</f>
        <v>99.287728777054667</v>
      </c>
      <c r="E551" s="1">
        <f>IF(IFERROR(MATCH(Tabelle11[[#Headers],[Bastian_G]],Spielauswertung!$B539:$E539,0),0)=0,E550,INDEX(Spielauswertung!$AB539:$AE539,MATCH(Tabelle11[[#Headers],[Bastian_G]],Spielauswertung!$B539:$E539,0))+E550)</f>
        <v>117.49978695184252</v>
      </c>
      <c r="F551" s="1">
        <f>IF(IFERROR(MATCH(Tabelle11[[#Headers],[Ben_S]],Spielauswertung!$B539:$E539,0),0)=0,F550,INDEX(Spielauswertung!$AB539:$AE539,MATCH(Tabelle11[[#Headers],[Ben_S]],Spielauswertung!$B539:$E539,0))+F550)</f>
        <v>95.932799101521084</v>
      </c>
      <c r="G551" s="1">
        <f>IF(IFERROR(MATCH(Tabelle11[[#Headers],[Benedikt_K]],Spielauswertung!$B539:$E539,0),0)=0,G550,INDEX(Spielauswertung!$AB539:$AE539,MATCH(Tabelle11[[#Headers],[Benedikt_K]],Spielauswertung!$B539:$E539,0))+G550)</f>
        <v>101.20264176422626</v>
      </c>
      <c r="H551" s="1">
        <f>IF(IFERROR(MATCH(Tabelle11[[#Headers],[Benedikt_R]],Spielauswertung!$B539:$E539,0),0)=0,H550,INDEX(Spielauswertung!$AB539:$AE539,MATCH(Tabelle11[[#Headers],[Benedikt_R]],Spielauswertung!$B539:$E539,0))+H550)</f>
        <v>102.6264770510757</v>
      </c>
      <c r="I551" s="1">
        <f>IF(IFERROR(MATCH(Tabelle11[[#Headers],[Carsten_H]],Spielauswertung!$B539:$E539,0),0)=0,I550,INDEX(Spielauswertung!$AB539:$AE539,MATCH(Tabelle11[[#Headers],[Carsten_H]],Spielauswertung!$B539:$E539,0))+I550)</f>
        <v>90.817185094326874</v>
      </c>
      <c r="J551" s="1">
        <f>IF(IFERROR(MATCH(Tabelle11[[#Headers],[Christoph_R]],Spielauswertung!$B539:$E539,0),0)=0,J550,INDEX(Spielauswertung!$AB539:$AE539,MATCH(Tabelle11[[#Headers],[Christoph_R]],Spielauswertung!$B539:$E539,0))+J550)</f>
        <v>109.73261611443155</v>
      </c>
      <c r="K551" s="1">
        <f>IF(IFERROR(MATCH(Tabelle11[[#Headers],[Claudius_J]],Spielauswertung!$B539:$E539,0),0)=0,K550,INDEX(Spielauswertung!$AB539:$AE539,MATCH(Tabelle11[[#Headers],[Claudius_J]],Spielauswertung!$B539:$E539,0))+K550)</f>
        <v>106.16590636000029</v>
      </c>
      <c r="L551" s="1">
        <f>IF(IFERROR(MATCH(Tabelle11[[#Headers],[Daniel_D]],Spielauswertung!$B539:$E539,0),0)=0,L550,INDEX(Spielauswertung!$AB539:$AE539,MATCH(Tabelle11[[#Headers],[Daniel_D]],Spielauswertung!$B539:$E539,0))+L550)</f>
        <v>99.990299180470089</v>
      </c>
      <c r="M551" s="1">
        <f>IF(IFERROR(MATCH(Tabelle11[[#Headers],[David_R]],Spielauswertung!$B539:$E539,0),0)=0,M550,INDEX(Spielauswertung!$AB539:$AE539,MATCH(Tabelle11[[#Headers],[David_R]],Spielauswertung!$B539:$E539,0))+M550)</f>
        <v>96.715943522481638</v>
      </c>
      <c r="N551" s="1">
        <f>IF(IFERROR(MATCH(Tabelle11[[#Headers],[Dennis_P]],Spielauswertung!$B539:$E539,0),0)=0,N550,INDEX(Spielauswertung!$AB539:$AE539,MATCH(Tabelle11[[#Headers],[Dennis_P]],Spielauswertung!$B539:$E539,0))+N550)</f>
        <v>100.04773223105254</v>
      </c>
      <c r="O551" s="1">
        <f>IF(IFERROR(MATCH(Tabelle11[[#Headers],[Dennis_R]],Spielauswertung!$B539:$E539,0),0)=0,O550,INDEX(Spielauswertung!$AB539:$AE539,MATCH(Tabelle11[[#Headers],[Dennis_R]],Spielauswertung!$B539:$E539,0))+O550)</f>
        <v>75.131680864937195</v>
      </c>
      <c r="P551" s="1">
        <f>IF(IFERROR(MATCH(Tabelle11[[#Headers],[Detlef_R]],Spielauswertung!$B539:$E539,0),0)=0,P550,INDEX(Spielauswertung!$AB539:$AE539,MATCH(Tabelle11[[#Headers],[Detlef_R]],Spielauswertung!$B539:$E539,0))+P550)</f>
        <v>87.984671797367014</v>
      </c>
      <c r="Q551" s="1">
        <f>IF(IFERROR(MATCH(Tabelle11[[#Headers],[Dmitrij_M]],Spielauswertung!$B539:$E539,0),0)=0,Q550,INDEX(Spielauswertung!$AB539:$AE539,MATCH(Tabelle11[[#Headers],[Dmitrij_M]],Spielauswertung!$B539:$E539,0))+Q550)</f>
        <v>100.69975721846207</v>
      </c>
      <c r="R551" s="1">
        <f>IF(IFERROR(MATCH(Tabelle11[[#Headers],[Fabian_M]],Spielauswertung!$B539:$E539,0),0)=0,R550,INDEX(Spielauswertung!$AB539:$AE539,MATCH(Tabelle11[[#Headers],[Fabian_M]],Spielauswertung!$B539:$E539,0))+R550)</f>
        <v>95.805387841610738</v>
      </c>
      <c r="S551" s="1">
        <f>IF(IFERROR(MATCH(Tabelle11[[#Headers],[Hannes_S]],Spielauswertung!$B539:$E539,0),0)=0,S550,INDEX(Spielauswertung!$AB539:$AE539,MATCH(Tabelle11[[#Headers],[Hannes_S]],Spielauswertung!$B539:$E539,0))+S550)</f>
        <v>104.83899184012799</v>
      </c>
      <c r="T551" s="1">
        <f>IF(IFERROR(MATCH(Tabelle11[[#Headers],[Jan_B]],Spielauswertung!$B539:$E539,0),0)=0,T550,INDEX(Spielauswertung!$AB539:$AE539,MATCH(Tabelle11[[#Headers],[Jan_B]],Spielauswertung!$B539:$E539,0))+T550)</f>
        <v>100.2794420429173</v>
      </c>
      <c r="U551" s="1">
        <f>IF(IFERROR(MATCH(Tabelle11[[#Headers],[Jan_Hendrik_B]],Spielauswertung!$B539:$E539,0),0)=0,U550,INDEX(Spielauswertung!$AB539:$AE539,MATCH(Tabelle11[[#Headers],[Jan_Hendrik_B]],Spielauswertung!$B539:$E539,0))+U550)</f>
        <v>100.75492416935522</v>
      </c>
      <c r="V551" s="1">
        <f>IF(IFERROR(MATCH(Tabelle11[[#Headers],[Jens_N]],Spielauswertung!$B539:$E539,0),0)=0,V550,INDEX(Spielauswertung!$AB539:$AE539,MATCH(Tabelle11[[#Headers],[Jens_N]],Spielauswertung!$B539:$E539,0))+V550)</f>
        <v>99.643534710196832</v>
      </c>
      <c r="W551" s="1">
        <f>IF(IFERROR(MATCH(Tabelle11[[#Headers],[Johannes_S]],Spielauswertung!$B539:$E539,0),0)=0,W550,INDEX(Spielauswertung!$AB539:$AE539,MATCH(Tabelle11[[#Headers],[Johannes_S]],Spielauswertung!$B539:$E539,0))+W550)</f>
        <v>102.20284750979505</v>
      </c>
      <c r="X551" s="1">
        <f>IF(IFERROR(MATCH(Tabelle11[[#Headers],[Jonathan_F]],Spielauswertung!$B539:$E539,0),0)=0,X550,INDEX(Spielauswertung!$AB539:$AE539,MATCH(Tabelle11[[#Headers],[Jonathan_F]],Spielauswertung!$B539:$E539,0))+X550)</f>
        <v>98.938308797866256</v>
      </c>
      <c r="Y551" s="1">
        <f>IF(IFERROR(MATCH(Tabelle11[[#Headers],[Julius_P]],Spielauswertung!$B539:$E539,0),0)=0,Y550,INDEX(Spielauswertung!$AB539:$AE539,MATCH(Tabelle11[[#Headers],[Julius_P]],Spielauswertung!$B539:$E539,0))+Y550)</f>
        <v>96.540305101873642</v>
      </c>
      <c r="Z551" s="1">
        <f>IF(IFERROR(MATCH(Tabelle11[[#Headers],[Louis_W]],Spielauswertung!$B539:$E539,0),0)=0,Z550,INDEX(Spielauswertung!$AB539:$AE539,MATCH(Tabelle11[[#Headers],[Louis_W]],Spielauswertung!$B539:$E539,0))+Z550)</f>
        <v>87.497452285475362</v>
      </c>
      <c r="AA551" s="1">
        <f>IF(IFERROR(MATCH(Tabelle11[[#Headers],[Lukas_L]],Spielauswertung!$B539:$E539,0),0)=0,AA550,INDEX(Spielauswertung!$AB539:$AE539,MATCH(Tabelle11[[#Headers],[Lukas_L]],Spielauswertung!$B539:$E539,0))+AA550)</f>
        <v>98.447931341404143</v>
      </c>
      <c r="AB551" s="1">
        <f>IF(IFERROR(MATCH(Tabelle11[[#Headers],[Marcin_S]],Spielauswertung!$B539:$E539,0),0)=0,AB550,INDEX(Spielauswertung!$AB539:$AE539,MATCH(Tabelle11[[#Headers],[Marcin_S]],Spielauswertung!$B539:$E539,0))+AB550)</f>
        <v>85.463329105556824</v>
      </c>
      <c r="AC551" s="1">
        <f>IF(IFERROR(MATCH(Tabelle11[[#Headers],[Marco_K]],Spielauswertung!$B539:$E539,0),0)=0,AC550,INDEX(Spielauswertung!$AB539:$AE539,MATCH(Tabelle11[[#Headers],[Marco_K]],Spielauswertung!$B539:$E539,0))+AC550)</f>
        <v>102.12169819441469</v>
      </c>
      <c r="AD551" s="1">
        <f>IF(IFERROR(MATCH(Tabelle11[[#Headers],[Marius_M]],Spielauswertung!$B539:$E539,0),0)=0,AD550,INDEX(Spielauswertung!$AB539:$AE539,MATCH(Tabelle11[[#Headers],[Marius_M]],Spielauswertung!$B539:$E539,0))+AD550)</f>
        <v>124.54012374585781</v>
      </c>
      <c r="AE551" s="1">
        <f>IF(IFERROR(MATCH(Tabelle11[[#Headers],[Marvin_W]],Spielauswertung!$B539:$E539,0),0)=0,AE550,INDEX(Spielauswertung!$AB539:$AE539,MATCH(Tabelle11[[#Headers],[Marvin_W]],Spielauswertung!$B539:$E539,0))+AE550)</f>
        <v>96.700266280577438</v>
      </c>
      <c r="AF551" s="1">
        <f>IF(IFERROR(MATCH(Tabelle11[[#Headers],[Matthias_H]],Spielauswertung!$B539:$E539,0),0)=0,AF550,INDEX(Spielauswertung!$AB539:$AE539,MATCH(Tabelle11[[#Headers],[Matthias_H]],Spielauswertung!$B539:$E539,0))+AF550)</f>
        <v>105.42130178599372</v>
      </c>
      <c r="AG551" s="1">
        <f>IF(IFERROR(MATCH(Tabelle11[[#Headers],[Michael_D]],Spielauswertung!$B539:$E539,0),0)=0,AG550,INDEX(Spielauswertung!$AB539:$AE539,MATCH(Tabelle11[[#Headers],[Michael_D]],Spielauswertung!$B539:$E539,0))+AG550)</f>
        <v>96.436276170375336</v>
      </c>
      <c r="AH551" s="1">
        <f>IF(IFERROR(MATCH(Tabelle11[[#Headers],[Patrick_S]],Spielauswertung!$B539:$E539,0),0)=0,AH550,INDEX(Spielauswertung!$AB539:$AE539,MATCH(Tabelle11[[#Headers],[Patrick_S]],Spielauswertung!$B539:$E539,0))+AH550)</f>
        <v>98.975330692053802</v>
      </c>
      <c r="AI551" s="1">
        <f>IF(IFERROR(MATCH(Tabelle11[[#Headers],[Rano_M]],Spielauswertung!$B539:$E539,0),0)=0,AI550,INDEX(Spielauswertung!$AB539:$AE539,MATCH(Tabelle11[[#Headers],[Rano_M]],Spielauswertung!$B539:$E539,0))+AI550)</f>
        <v>109.38890657420265</v>
      </c>
      <c r="AJ551" s="1">
        <f>IF(IFERROR(MATCH(Tabelle11[[#Headers],[Rene_N]],Spielauswertung!$B539:$E539,0),0)=0,AJ550,INDEX(Spielauswertung!$AB539:$AE539,MATCH(Tabelle11[[#Headers],[Rene_N]],Spielauswertung!$B539:$E539,0))+AJ550)</f>
        <v>101.06482124619033</v>
      </c>
      <c r="AK551" s="1">
        <f>IF(IFERROR(MATCH(Tabelle11[[#Headers],[Rene_P]],Spielauswertung!$B539:$E539,0),0)=0,AK550,INDEX(Spielauswertung!$AB539:$AE539,MATCH(Tabelle11[[#Headers],[Rene_P]],Spielauswertung!$B539:$E539,0))+AK550)</f>
        <v>88.762543186332877</v>
      </c>
      <c r="AL551" s="1">
        <f>IF(IFERROR(MATCH(Tabelle11[[#Headers],[Richard_D]],Spielauswertung!$B539:$E539,0),0)=0,AL550,INDEX(Spielauswertung!$AB539:$AE539,MATCH(Tabelle11[[#Headers],[Richard_D]],Spielauswertung!$B539:$E539,0))+AL550)</f>
        <v>107.23233592026223</v>
      </c>
      <c r="AM551" s="1">
        <f>IF(IFERROR(MATCH(Tabelle11[[#Headers],[Rodrigo_R]],Spielauswertung!$B539:$E539,0),0)=0,AM550,INDEX(Spielauswertung!$AB539:$AE539,MATCH(Tabelle11[[#Headers],[Rodrigo_R]],Spielauswertung!$B539:$E539,0))+AM550)</f>
        <v>116.7028707921346</v>
      </c>
      <c r="AN551" s="1">
        <f>IF(IFERROR(MATCH(Tabelle11[[#Headers],[Sebastian_A]],Spielauswertung!$B539:$E539,0),0)=0,AN550,INDEX(Spielauswertung!$AB539:$AE539,MATCH(Tabelle11[[#Headers],[Sebastian_A]],Spielauswertung!$B539:$E539,0))+AN550)</f>
        <v>102.89457418671324</v>
      </c>
      <c r="AO551" s="1">
        <f>IF(IFERROR(MATCH(Tabelle11[[#Headers],[Sebastian_St]],Spielauswertung!$B539:$E539,0),0)=0,AO550,INDEX(Spielauswertung!$AB539:$AE539,MATCH(Tabelle11[[#Headers],[Sebastian_St]],Spielauswertung!$B539:$E539,0))+AO550)</f>
        <v>97.749574367408982</v>
      </c>
      <c r="AP551" s="1">
        <f>IF(IFERROR(MATCH(Tabelle11[[#Headers],[Simon_U]],Spielauswertung!$B539:$E539,0),0)=0,AP550,INDEX(Spielauswertung!$AB539:$AE539,MATCH(Tabelle11[[#Headers],[Simon_U]],Spielauswertung!$B539:$E539,0))+AP550)</f>
        <v>99.623054841470903</v>
      </c>
      <c r="AQ551" s="1">
        <f>IF(IFERROR(MATCH(Tabelle11[[#Headers],[Steffen_R]],Spielauswertung!$B539:$E539,0),0)=0,AQ550,INDEX(Spielauswertung!$AB539:$AE539,MATCH(Tabelle11[[#Headers],[Steffen_R]],Spielauswertung!$B539:$E539,0))+AQ550)</f>
        <v>93.247497067190949</v>
      </c>
      <c r="AR551" s="1">
        <f>IF(IFERROR(MATCH(Tabelle11[[#Headers],[Tim_R]],Spielauswertung!$B539:$E539,0),0)=0,AR550,INDEX(Spielauswertung!$AB539:$AE539,MATCH(Tabelle11[[#Headers],[Tim_R]],Spielauswertung!$B539:$E539,0))+AR550)</f>
        <v>103.07503787023374</v>
      </c>
      <c r="AS551" s="1">
        <f>IF(IFERROR(MATCH(Tabelle11[[#Headers],[Tobias_S]],Spielauswertung!$B539:$E539,0),0)=0,AS550,INDEX(Spielauswertung!$AB539:$AE539,MATCH(Tabelle11[[#Headers],[Tobias_S]],Spielauswertung!$B539:$E539,0))+AS550)</f>
        <v>98.6003422659997</v>
      </c>
      <c r="AT551" s="1">
        <f>IF(IFERROR(MATCH(Tabelle11[[#Headers],[Tom_R]],Spielauswertung!$B539:$E539,0),0)=0,AT550,INDEX(Spielauswertung!$AB539:$AE539,MATCH(Tabelle11[[#Headers],[Tom_R]],Spielauswertung!$B539:$E539,0))+AT550)</f>
        <v>112.62344492949197</v>
      </c>
      <c r="AU551" s="1">
        <f>IF(IFERROR(MATCH(Tabelle11[[#Headers],[Ton_L]],Spielauswertung!$B539:$E539,0),0)=0,AU550,INDEX(Spielauswertung!$AB539:$AE539,MATCH(Tabelle11[[#Headers],[Ton_L]],Spielauswertung!$B539:$E539,0))+AU550)</f>
        <v>92.683083360025861</v>
      </c>
      <c r="AV551" s="1">
        <f>IF(IFERROR(MATCH(Tabelle11[[#Headers],[Yixin_G]],Spielauswertung!$B539:$E539,0),0)=0,AV550,INDEX(Spielauswertung!$AB539:$AE539,MATCH(Tabelle11[[#Headers],[Yixin_G]],Spielauswertung!$B539:$E539,0))+AV550)</f>
        <v>99.900323214082661</v>
      </c>
      <c r="AW551" s="1">
        <f>IF(IFERROR(MATCH(Tabelle11[[#Headers],[Spalte36]],Spielauswertung!$B539:$E539,0),0)=0,AW550,INDEX(Spielauswertung!$AB539:$AE539,MATCH(Tabelle11[[#Headers],[Spalte36]],Spielauswertung!$B539:$E539,0))+AW550)</f>
        <v>100</v>
      </c>
      <c r="AX551" s="1">
        <f>IF(IFERROR(MATCH(Tabelle11[[#Headers],[Spalte37]],Spielauswertung!$B539:$E539,0),0)=0,AX550,INDEX(Spielauswertung!$AB539:$AE539,MATCH(Tabelle11[[#Headers],[Spalte37]],Spielauswertung!$B539:$E539,0))+AX550)</f>
        <v>100</v>
      </c>
      <c r="AY551" s="1">
        <f>IF(IFERROR(MATCH(Tabelle11[[#Headers],[Spalte38]],Spielauswertung!$B539:$E539,0),0)=0,AY550,INDEX(Spielauswertung!$AB539:$AE539,MATCH(Tabelle11[[#Headers],[Spalte38]],Spielauswertung!$B539:$E539,0))+AY550)</f>
        <v>100</v>
      </c>
      <c r="AZ551" s="1">
        <f>IF(IFERROR(MATCH(Tabelle11[[#Headers],[Spalte39]],Spielauswertung!$B539:$E539,0),0)=0,AZ550,INDEX(Spielauswertung!$AB539:$AE539,MATCH(Tabelle11[[#Headers],[Spalte39]],Spielauswertung!$B539:$E539,0))+AZ550)</f>
        <v>100</v>
      </c>
      <c r="BA551" s="1">
        <f>IF(IFERROR(MATCH(Tabelle11[[#Headers],[Spalte40]],Spielauswertung!$B539:$E539,0),0)=0,BA550,INDEX(Spielauswertung!$AB539:$AE539,MATCH(Tabelle11[[#Headers],[Spalte40]],Spielauswertung!$B539:$E539,0))+BA550)</f>
        <v>100</v>
      </c>
      <c r="BB551" s="1">
        <f>IF(IFERROR(MATCH(Tabelle11[[#Headers],[Spalte41]],Spielauswertung!$B539:$E539,0),0)=0,BB550,INDEX(Spielauswertung!$AB539:$AE539,MATCH(Tabelle11[[#Headers],[Spalte41]],Spielauswertung!$B539:$E539,0))+BB550)</f>
        <v>100</v>
      </c>
      <c r="BC551" s="1">
        <f>IF(IFERROR(MATCH(Tabelle11[[#Headers],[Spalte42]],Spielauswertung!$B539:$E539,0),0)=0,BC550,INDEX(Spielauswertung!$AB539:$AE539,MATCH(Tabelle11[[#Headers],[Spalte42]],Spielauswertung!$B539:$E539,0))+BC550)</f>
        <v>100</v>
      </c>
      <c r="BD551" s="1">
        <f>IF(IFERROR(MATCH(Tabelle11[[#Headers],[Spalte43]],Spielauswertung!$B539:$E539,0),0)=0,BD550,INDEX(Spielauswertung!$AB539:$AE539,MATCH(Tabelle11[[#Headers],[Spalte43]],Spielauswertung!$B539:$E539,0))+BD550)</f>
        <v>100</v>
      </c>
      <c r="BE551" s="1">
        <f>IF(IFERROR(MATCH(Tabelle11[[#Headers],[Spalte44]],Spielauswertung!$B539:$E539,0),0)=0,BE550,INDEX(Spielauswertung!$AB539:$AE539,MATCH(Tabelle11[[#Headers],[Spalte44]],Spielauswertung!$B539:$E539,0))+BE550)</f>
        <v>100</v>
      </c>
      <c r="BF551" s="1">
        <f>IF(IFERROR(MATCH(Tabelle11[[#Headers],[Spalte45]],Spielauswertung!$B539:$E539,0),0)=0,BF550,INDEX(Spielauswertung!$AB539:$AE539,MATCH(Tabelle11[[#Headers],[Spalte45]],Spielauswertung!$B539:$E539,0))+BF550)</f>
        <v>100</v>
      </c>
      <c r="BG551" s="1">
        <f>IF(IFERROR(MATCH(Tabelle11[[#Headers],[Spalte46]],Spielauswertung!$B539:$E539,0),0)=0,BG550,INDEX(Spielauswertung!$AB539:$AE539,MATCH(Tabelle11[[#Headers],[Spalte46]],Spielauswertung!$B539:$E539,0))+BG550)</f>
        <v>100</v>
      </c>
      <c r="BH551" s="1">
        <f>IF(IFERROR(MATCH(Tabelle11[[#Headers],[Spalte47]],Spielauswertung!$B539:$E539,0),0)=0,BH550,INDEX(Spielauswertung!$AB539:$AE539,MATCH(Tabelle11[[#Headers],[Spalte47]],Spielauswertung!$B539:$E539,0))+BH550)</f>
        <v>100</v>
      </c>
    </row>
    <row r="552" spans="1:60" x14ac:dyDescent="0.25">
      <c r="A552">
        <f t="shared" si="9"/>
        <v>539</v>
      </c>
      <c r="B552" s="1">
        <f>IF(IFERROR(MATCH(Tabelle11[[#Headers],[Aleix_V]],Spielauswertung!$B540:$E540,0),0)=0,B551,INDEX(Spielauswertung!$AB540:$AE540,MATCH(Tabelle11[[#Headers],[Aleix_V]],Spielauswertung!$B540:$E540,0))+B551)</f>
        <v>102.47318019444646</v>
      </c>
      <c r="C552" s="1">
        <f>IF(IFERROR(MATCH(Tabelle11[[#Headers],[Andres_H]],Spielauswertung!$B540:$E540,0),0)=0,C551,INDEX(Spielauswertung!$AB540:$AE540,MATCH(Tabelle11[[#Headers],[Andres_H]],Spielauswertung!$B540:$E540,0))+C551)</f>
        <v>95.535732339111306</v>
      </c>
      <c r="D552" s="1">
        <f>IF(IFERROR(MATCH(Tabelle11[[#Headers],[Anton_K]],Spielauswertung!$B540:$E540,0),0)=0,D551,INDEX(Spielauswertung!$AB540:$AE540,MATCH(Tabelle11[[#Headers],[Anton_K]],Spielauswertung!$B540:$E540,0))+D551)</f>
        <v>99.287728777054667</v>
      </c>
      <c r="E552" s="1">
        <f>IF(IFERROR(MATCH(Tabelle11[[#Headers],[Bastian_G]],Spielauswertung!$B540:$E540,0),0)=0,E551,INDEX(Spielauswertung!$AB540:$AE540,MATCH(Tabelle11[[#Headers],[Bastian_G]],Spielauswertung!$B540:$E540,0))+E551)</f>
        <v>117.49978695184252</v>
      </c>
      <c r="F552" s="1">
        <f>IF(IFERROR(MATCH(Tabelle11[[#Headers],[Ben_S]],Spielauswertung!$B540:$E540,0),0)=0,F551,INDEX(Spielauswertung!$AB540:$AE540,MATCH(Tabelle11[[#Headers],[Ben_S]],Spielauswertung!$B540:$E540,0))+F551)</f>
        <v>95.932799101521084</v>
      </c>
      <c r="G552" s="1">
        <f>IF(IFERROR(MATCH(Tabelle11[[#Headers],[Benedikt_K]],Spielauswertung!$B540:$E540,0),0)=0,G551,INDEX(Spielauswertung!$AB540:$AE540,MATCH(Tabelle11[[#Headers],[Benedikt_K]],Spielauswertung!$B540:$E540,0))+G551)</f>
        <v>101.20264176422626</v>
      </c>
      <c r="H552" s="1">
        <f>IF(IFERROR(MATCH(Tabelle11[[#Headers],[Benedikt_R]],Spielauswertung!$B540:$E540,0),0)=0,H551,INDEX(Spielauswertung!$AB540:$AE540,MATCH(Tabelle11[[#Headers],[Benedikt_R]],Spielauswertung!$B540:$E540,0))+H551)</f>
        <v>102.6264770510757</v>
      </c>
      <c r="I552" s="1">
        <f>IF(IFERROR(MATCH(Tabelle11[[#Headers],[Carsten_H]],Spielauswertung!$B540:$E540,0),0)=0,I551,INDEX(Spielauswertung!$AB540:$AE540,MATCH(Tabelle11[[#Headers],[Carsten_H]],Spielauswertung!$B540:$E540,0))+I551)</f>
        <v>90.817185094326874</v>
      </c>
      <c r="J552" s="1">
        <f>IF(IFERROR(MATCH(Tabelle11[[#Headers],[Christoph_R]],Spielauswertung!$B540:$E540,0),0)=0,J551,INDEX(Spielauswertung!$AB540:$AE540,MATCH(Tabelle11[[#Headers],[Christoph_R]],Spielauswertung!$B540:$E540,0))+J551)</f>
        <v>109.73261611443155</v>
      </c>
      <c r="K552" s="1">
        <f>IF(IFERROR(MATCH(Tabelle11[[#Headers],[Claudius_J]],Spielauswertung!$B540:$E540,0),0)=0,K551,INDEX(Spielauswertung!$AB540:$AE540,MATCH(Tabelle11[[#Headers],[Claudius_J]],Spielauswertung!$B540:$E540,0))+K551)</f>
        <v>106.16590636000029</v>
      </c>
      <c r="L552" s="1">
        <f>IF(IFERROR(MATCH(Tabelle11[[#Headers],[Daniel_D]],Spielauswertung!$B540:$E540,0),0)=0,L551,INDEX(Spielauswertung!$AB540:$AE540,MATCH(Tabelle11[[#Headers],[Daniel_D]],Spielauswertung!$B540:$E540,0))+L551)</f>
        <v>99.990299180470089</v>
      </c>
      <c r="M552" s="1">
        <f>IF(IFERROR(MATCH(Tabelle11[[#Headers],[David_R]],Spielauswertung!$B540:$E540,0),0)=0,M551,INDEX(Spielauswertung!$AB540:$AE540,MATCH(Tabelle11[[#Headers],[David_R]],Spielauswertung!$B540:$E540,0))+M551)</f>
        <v>96.715943522481638</v>
      </c>
      <c r="N552" s="1">
        <f>IF(IFERROR(MATCH(Tabelle11[[#Headers],[Dennis_P]],Spielauswertung!$B540:$E540,0),0)=0,N551,INDEX(Spielauswertung!$AB540:$AE540,MATCH(Tabelle11[[#Headers],[Dennis_P]],Spielauswertung!$B540:$E540,0))+N551)</f>
        <v>100.04773223105254</v>
      </c>
      <c r="O552" s="1">
        <f>IF(IFERROR(MATCH(Tabelle11[[#Headers],[Dennis_R]],Spielauswertung!$B540:$E540,0),0)=0,O551,INDEX(Spielauswertung!$AB540:$AE540,MATCH(Tabelle11[[#Headers],[Dennis_R]],Spielauswertung!$B540:$E540,0))+O551)</f>
        <v>75.131680864937195</v>
      </c>
      <c r="P552" s="1">
        <f>IF(IFERROR(MATCH(Tabelle11[[#Headers],[Detlef_R]],Spielauswertung!$B540:$E540,0),0)=0,P551,INDEX(Spielauswertung!$AB540:$AE540,MATCH(Tabelle11[[#Headers],[Detlef_R]],Spielauswertung!$B540:$E540,0))+P551)</f>
        <v>87.984671797367014</v>
      </c>
      <c r="Q552" s="1">
        <f>IF(IFERROR(MATCH(Tabelle11[[#Headers],[Dmitrij_M]],Spielauswertung!$B540:$E540,0),0)=0,Q551,INDEX(Spielauswertung!$AB540:$AE540,MATCH(Tabelle11[[#Headers],[Dmitrij_M]],Spielauswertung!$B540:$E540,0))+Q551)</f>
        <v>100.69975721846207</v>
      </c>
      <c r="R552" s="1">
        <f>IF(IFERROR(MATCH(Tabelle11[[#Headers],[Fabian_M]],Spielauswertung!$B540:$E540,0),0)=0,R551,INDEX(Spielauswertung!$AB540:$AE540,MATCH(Tabelle11[[#Headers],[Fabian_M]],Spielauswertung!$B540:$E540,0))+R551)</f>
        <v>95.805387841610738</v>
      </c>
      <c r="S552" s="1">
        <f>IF(IFERROR(MATCH(Tabelle11[[#Headers],[Hannes_S]],Spielauswertung!$B540:$E540,0),0)=0,S551,INDEX(Spielauswertung!$AB540:$AE540,MATCH(Tabelle11[[#Headers],[Hannes_S]],Spielauswertung!$B540:$E540,0))+S551)</f>
        <v>104.83899184012799</v>
      </c>
      <c r="T552" s="1">
        <f>IF(IFERROR(MATCH(Tabelle11[[#Headers],[Jan_B]],Spielauswertung!$B540:$E540,0),0)=0,T551,INDEX(Spielauswertung!$AB540:$AE540,MATCH(Tabelle11[[#Headers],[Jan_B]],Spielauswertung!$B540:$E540,0))+T551)</f>
        <v>100.2794420429173</v>
      </c>
      <c r="U552" s="1">
        <f>IF(IFERROR(MATCH(Tabelle11[[#Headers],[Jan_Hendrik_B]],Spielauswertung!$B540:$E540,0),0)=0,U551,INDEX(Spielauswertung!$AB540:$AE540,MATCH(Tabelle11[[#Headers],[Jan_Hendrik_B]],Spielauswertung!$B540:$E540,0))+U551)</f>
        <v>100.75492416935522</v>
      </c>
      <c r="V552" s="1">
        <f>IF(IFERROR(MATCH(Tabelle11[[#Headers],[Jens_N]],Spielauswertung!$B540:$E540,0),0)=0,V551,INDEX(Spielauswertung!$AB540:$AE540,MATCH(Tabelle11[[#Headers],[Jens_N]],Spielauswertung!$B540:$E540,0))+V551)</f>
        <v>99.643534710196832</v>
      </c>
      <c r="W552" s="1">
        <f>IF(IFERROR(MATCH(Tabelle11[[#Headers],[Johannes_S]],Spielauswertung!$B540:$E540,0),0)=0,W551,INDEX(Spielauswertung!$AB540:$AE540,MATCH(Tabelle11[[#Headers],[Johannes_S]],Spielauswertung!$B540:$E540,0))+W551)</f>
        <v>102.20284750979505</v>
      </c>
      <c r="X552" s="1">
        <f>IF(IFERROR(MATCH(Tabelle11[[#Headers],[Jonathan_F]],Spielauswertung!$B540:$E540,0),0)=0,X551,INDEX(Spielauswertung!$AB540:$AE540,MATCH(Tabelle11[[#Headers],[Jonathan_F]],Spielauswertung!$B540:$E540,0))+X551)</f>
        <v>98.938308797866256</v>
      </c>
      <c r="Y552" s="1">
        <f>IF(IFERROR(MATCH(Tabelle11[[#Headers],[Julius_P]],Spielauswertung!$B540:$E540,0),0)=0,Y551,INDEX(Spielauswertung!$AB540:$AE540,MATCH(Tabelle11[[#Headers],[Julius_P]],Spielauswertung!$B540:$E540,0))+Y551)</f>
        <v>96.540305101873642</v>
      </c>
      <c r="Z552" s="1">
        <f>IF(IFERROR(MATCH(Tabelle11[[#Headers],[Louis_W]],Spielauswertung!$B540:$E540,0),0)=0,Z551,INDEX(Spielauswertung!$AB540:$AE540,MATCH(Tabelle11[[#Headers],[Louis_W]],Spielauswertung!$B540:$E540,0))+Z551)</f>
        <v>87.497452285475362</v>
      </c>
      <c r="AA552" s="1">
        <f>IF(IFERROR(MATCH(Tabelle11[[#Headers],[Lukas_L]],Spielauswertung!$B540:$E540,0),0)=0,AA551,INDEX(Spielauswertung!$AB540:$AE540,MATCH(Tabelle11[[#Headers],[Lukas_L]],Spielauswertung!$B540:$E540,0))+AA551)</f>
        <v>98.447931341404143</v>
      </c>
      <c r="AB552" s="1">
        <f>IF(IFERROR(MATCH(Tabelle11[[#Headers],[Marcin_S]],Spielauswertung!$B540:$E540,0),0)=0,AB551,INDEX(Spielauswertung!$AB540:$AE540,MATCH(Tabelle11[[#Headers],[Marcin_S]],Spielauswertung!$B540:$E540,0))+AB551)</f>
        <v>85.463329105556824</v>
      </c>
      <c r="AC552" s="1">
        <f>IF(IFERROR(MATCH(Tabelle11[[#Headers],[Marco_K]],Spielauswertung!$B540:$E540,0),0)=0,AC551,INDEX(Spielauswertung!$AB540:$AE540,MATCH(Tabelle11[[#Headers],[Marco_K]],Spielauswertung!$B540:$E540,0))+AC551)</f>
        <v>102.12169819441469</v>
      </c>
      <c r="AD552" s="1">
        <f>IF(IFERROR(MATCH(Tabelle11[[#Headers],[Marius_M]],Spielauswertung!$B540:$E540,0),0)=0,AD551,INDEX(Spielauswertung!$AB540:$AE540,MATCH(Tabelle11[[#Headers],[Marius_M]],Spielauswertung!$B540:$E540,0))+AD551)</f>
        <v>124.54012374585781</v>
      </c>
      <c r="AE552" s="1">
        <f>IF(IFERROR(MATCH(Tabelle11[[#Headers],[Marvin_W]],Spielauswertung!$B540:$E540,0),0)=0,AE551,INDEX(Spielauswertung!$AB540:$AE540,MATCH(Tabelle11[[#Headers],[Marvin_W]],Spielauswertung!$B540:$E540,0))+AE551)</f>
        <v>96.700266280577438</v>
      </c>
      <c r="AF552" s="1">
        <f>IF(IFERROR(MATCH(Tabelle11[[#Headers],[Matthias_H]],Spielauswertung!$B540:$E540,0),0)=0,AF551,INDEX(Spielauswertung!$AB540:$AE540,MATCH(Tabelle11[[#Headers],[Matthias_H]],Spielauswertung!$B540:$E540,0))+AF551)</f>
        <v>105.42130178599372</v>
      </c>
      <c r="AG552" s="1">
        <f>IF(IFERROR(MATCH(Tabelle11[[#Headers],[Michael_D]],Spielauswertung!$B540:$E540,0),0)=0,AG551,INDEX(Spielauswertung!$AB540:$AE540,MATCH(Tabelle11[[#Headers],[Michael_D]],Spielauswertung!$B540:$E540,0))+AG551)</f>
        <v>96.436276170375336</v>
      </c>
      <c r="AH552" s="1">
        <f>IF(IFERROR(MATCH(Tabelle11[[#Headers],[Patrick_S]],Spielauswertung!$B540:$E540,0),0)=0,AH551,INDEX(Spielauswertung!$AB540:$AE540,MATCH(Tabelle11[[#Headers],[Patrick_S]],Spielauswertung!$B540:$E540,0))+AH551)</f>
        <v>98.975330692053802</v>
      </c>
      <c r="AI552" s="1">
        <f>IF(IFERROR(MATCH(Tabelle11[[#Headers],[Rano_M]],Spielauswertung!$B540:$E540,0),0)=0,AI551,INDEX(Spielauswertung!$AB540:$AE540,MATCH(Tabelle11[[#Headers],[Rano_M]],Spielauswertung!$B540:$E540,0))+AI551)</f>
        <v>109.38890657420265</v>
      </c>
      <c r="AJ552" s="1">
        <f>IF(IFERROR(MATCH(Tabelle11[[#Headers],[Rene_N]],Spielauswertung!$B540:$E540,0),0)=0,AJ551,INDEX(Spielauswertung!$AB540:$AE540,MATCH(Tabelle11[[#Headers],[Rene_N]],Spielauswertung!$B540:$E540,0))+AJ551)</f>
        <v>101.06482124619033</v>
      </c>
      <c r="AK552" s="1">
        <f>IF(IFERROR(MATCH(Tabelle11[[#Headers],[Rene_P]],Spielauswertung!$B540:$E540,0),0)=0,AK551,INDEX(Spielauswertung!$AB540:$AE540,MATCH(Tabelle11[[#Headers],[Rene_P]],Spielauswertung!$B540:$E540,0))+AK551)</f>
        <v>88.762543186332877</v>
      </c>
      <c r="AL552" s="1">
        <f>IF(IFERROR(MATCH(Tabelle11[[#Headers],[Richard_D]],Spielauswertung!$B540:$E540,0),0)=0,AL551,INDEX(Spielauswertung!$AB540:$AE540,MATCH(Tabelle11[[#Headers],[Richard_D]],Spielauswertung!$B540:$E540,0))+AL551)</f>
        <v>107.23233592026223</v>
      </c>
      <c r="AM552" s="1">
        <f>IF(IFERROR(MATCH(Tabelle11[[#Headers],[Rodrigo_R]],Spielauswertung!$B540:$E540,0),0)=0,AM551,INDEX(Spielauswertung!$AB540:$AE540,MATCH(Tabelle11[[#Headers],[Rodrigo_R]],Spielauswertung!$B540:$E540,0))+AM551)</f>
        <v>116.7028707921346</v>
      </c>
      <c r="AN552" s="1">
        <f>IF(IFERROR(MATCH(Tabelle11[[#Headers],[Sebastian_A]],Spielauswertung!$B540:$E540,0),0)=0,AN551,INDEX(Spielauswertung!$AB540:$AE540,MATCH(Tabelle11[[#Headers],[Sebastian_A]],Spielauswertung!$B540:$E540,0))+AN551)</f>
        <v>102.89457418671324</v>
      </c>
      <c r="AO552" s="1">
        <f>IF(IFERROR(MATCH(Tabelle11[[#Headers],[Sebastian_St]],Spielauswertung!$B540:$E540,0),0)=0,AO551,INDEX(Spielauswertung!$AB540:$AE540,MATCH(Tabelle11[[#Headers],[Sebastian_St]],Spielauswertung!$B540:$E540,0))+AO551)</f>
        <v>97.749574367408982</v>
      </c>
      <c r="AP552" s="1">
        <f>IF(IFERROR(MATCH(Tabelle11[[#Headers],[Simon_U]],Spielauswertung!$B540:$E540,0),0)=0,AP551,INDEX(Spielauswertung!$AB540:$AE540,MATCH(Tabelle11[[#Headers],[Simon_U]],Spielauswertung!$B540:$E540,0))+AP551)</f>
        <v>99.623054841470903</v>
      </c>
      <c r="AQ552" s="1">
        <f>IF(IFERROR(MATCH(Tabelle11[[#Headers],[Steffen_R]],Spielauswertung!$B540:$E540,0),0)=0,AQ551,INDEX(Spielauswertung!$AB540:$AE540,MATCH(Tabelle11[[#Headers],[Steffen_R]],Spielauswertung!$B540:$E540,0))+AQ551)</f>
        <v>93.247497067190949</v>
      </c>
      <c r="AR552" s="1">
        <f>IF(IFERROR(MATCH(Tabelle11[[#Headers],[Tim_R]],Spielauswertung!$B540:$E540,0),0)=0,AR551,INDEX(Spielauswertung!$AB540:$AE540,MATCH(Tabelle11[[#Headers],[Tim_R]],Spielauswertung!$B540:$E540,0))+AR551)</f>
        <v>103.07503787023374</v>
      </c>
      <c r="AS552" s="1">
        <f>IF(IFERROR(MATCH(Tabelle11[[#Headers],[Tobias_S]],Spielauswertung!$B540:$E540,0),0)=0,AS551,INDEX(Spielauswertung!$AB540:$AE540,MATCH(Tabelle11[[#Headers],[Tobias_S]],Spielauswertung!$B540:$E540,0))+AS551)</f>
        <v>98.6003422659997</v>
      </c>
      <c r="AT552" s="1">
        <f>IF(IFERROR(MATCH(Tabelle11[[#Headers],[Tom_R]],Spielauswertung!$B540:$E540,0),0)=0,AT551,INDEX(Spielauswertung!$AB540:$AE540,MATCH(Tabelle11[[#Headers],[Tom_R]],Spielauswertung!$B540:$E540,0))+AT551)</f>
        <v>112.62344492949197</v>
      </c>
      <c r="AU552" s="1">
        <f>IF(IFERROR(MATCH(Tabelle11[[#Headers],[Ton_L]],Spielauswertung!$B540:$E540,0),0)=0,AU551,INDEX(Spielauswertung!$AB540:$AE540,MATCH(Tabelle11[[#Headers],[Ton_L]],Spielauswertung!$B540:$E540,0))+AU551)</f>
        <v>92.683083360025861</v>
      </c>
      <c r="AV552" s="1">
        <f>IF(IFERROR(MATCH(Tabelle11[[#Headers],[Yixin_G]],Spielauswertung!$B540:$E540,0),0)=0,AV551,INDEX(Spielauswertung!$AB540:$AE540,MATCH(Tabelle11[[#Headers],[Yixin_G]],Spielauswertung!$B540:$E540,0))+AV551)</f>
        <v>99.900323214082661</v>
      </c>
      <c r="AW552" s="1">
        <f>IF(IFERROR(MATCH(Tabelle11[[#Headers],[Spalte36]],Spielauswertung!$B540:$E540,0),0)=0,AW551,INDEX(Spielauswertung!$AB540:$AE540,MATCH(Tabelle11[[#Headers],[Spalte36]],Spielauswertung!$B540:$E540,0))+AW551)</f>
        <v>100</v>
      </c>
      <c r="AX552" s="1">
        <f>IF(IFERROR(MATCH(Tabelle11[[#Headers],[Spalte37]],Spielauswertung!$B540:$E540,0),0)=0,AX551,INDEX(Spielauswertung!$AB540:$AE540,MATCH(Tabelle11[[#Headers],[Spalte37]],Spielauswertung!$B540:$E540,0))+AX551)</f>
        <v>100</v>
      </c>
      <c r="AY552" s="1">
        <f>IF(IFERROR(MATCH(Tabelle11[[#Headers],[Spalte38]],Spielauswertung!$B540:$E540,0),0)=0,AY551,INDEX(Spielauswertung!$AB540:$AE540,MATCH(Tabelle11[[#Headers],[Spalte38]],Spielauswertung!$B540:$E540,0))+AY551)</f>
        <v>100</v>
      </c>
      <c r="AZ552" s="1">
        <f>IF(IFERROR(MATCH(Tabelle11[[#Headers],[Spalte39]],Spielauswertung!$B540:$E540,0),0)=0,AZ551,INDEX(Spielauswertung!$AB540:$AE540,MATCH(Tabelle11[[#Headers],[Spalte39]],Spielauswertung!$B540:$E540,0))+AZ551)</f>
        <v>100</v>
      </c>
      <c r="BA552" s="1">
        <f>IF(IFERROR(MATCH(Tabelle11[[#Headers],[Spalte40]],Spielauswertung!$B540:$E540,0),0)=0,BA551,INDEX(Spielauswertung!$AB540:$AE540,MATCH(Tabelle11[[#Headers],[Spalte40]],Spielauswertung!$B540:$E540,0))+BA551)</f>
        <v>100</v>
      </c>
      <c r="BB552" s="1">
        <f>IF(IFERROR(MATCH(Tabelle11[[#Headers],[Spalte41]],Spielauswertung!$B540:$E540,0),0)=0,BB551,INDEX(Spielauswertung!$AB540:$AE540,MATCH(Tabelle11[[#Headers],[Spalte41]],Spielauswertung!$B540:$E540,0))+BB551)</f>
        <v>100</v>
      </c>
      <c r="BC552" s="1">
        <f>IF(IFERROR(MATCH(Tabelle11[[#Headers],[Spalte42]],Spielauswertung!$B540:$E540,0),0)=0,BC551,INDEX(Spielauswertung!$AB540:$AE540,MATCH(Tabelle11[[#Headers],[Spalte42]],Spielauswertung!$B540:$E540,0))+BC551)</f>
        <v>100</v>
      </c>
      <c r="BD552" s="1">
        <f>IF(IFERROR(MATCH(Tabelle11[[#Headers],[Spalte43]],Spielauswertung!$B540:$E540,0),0)=0,BD551,INDEX(Spielauswertung!$AB540:$AE540,MATCH(Tabelle11[[#Headers],[Spalte43]],Spielauswertung!$B540:$E540,0))+BD551)</f>
        <v>100</v>
      </c>
      <c r="BE552" s="1">
        <f>IF(IFERROR(MATCH(Tabelle11[[#Headers],[Spalte44]],Spielauswertung!$B540:$E540,0),0)=0,BE551,INDEX(Spielauswertung!$AB540:$AE540,MATCH(Tabelle11[[#Headers],[Spalte44]],Spielauswertung!$B540:$E540,0))+BE551)</f>
        <v>100</v>
      </c>
      <c r="BF552" s="1">
        <f>IF(IFERROR(MATCH(Tabelle11[[#Headers],[Spalte45]],Spielauswertung!$B540:$E540,0),0)=0,BF551,INDEX(Spielauswertung!$AB540:$AE540,MATCH(Tabelle11[[#Headers],[Spalte45]],Spielauswertung!$B540:$E540,0))+BF551)</f>
        <v>100</v>
      </c>
      <c r="BG552" s="1">
        <f>IF(IFERROR(MATCH(Tabelle11[[#Headers],[Spalte46]],Spielauswertung!$B540:$E540,0),0)=0,BG551,INDEX(Spielauswertung!$AB540:$AE540,MATCH(Tabelle11[[#Headers],[Spalte46]],Spielauswertung!$B540:$E540,0))+BG551)</f>
        <v>100</v>
      </c>
      <c r="BH552" s="1">
        <f>IF(IFERROR(MATCH(Tabelle11[[#Headers],[Spalte47]],Spielauswertung!$B540:$E540,0),0)=0,BH551,INDEX(Spielauswertung!$AB540:$AE540,MATCH(Tabelle11[[#Headers],[Spalte47]],Spielauswertung!$B540:$E540,0))+BH551)</f>
        <v>100</v>
      </c>
    </row>
    <row r="553" spans="1:60" x14ac:dyDescent="0.25">
      <c r="A553">
        <f t="shared" si="9"/>
        <v>540</v>
      </c>
      <c r="B553" s="1">
        <f>IF(IFERROR(MATCH(Tabelle11[[#Headers],[Aleix_V]],Spielauswertung!$B541:$E541,0),0)=0,B552,INDEX(Spielauswertung!$AB541:$AE541,MATCH(Tabelle11[[#Headers],[Aleix_V]],Spielauswertung!$B541:$E541,0))+B552)</f>
        <v>102.47318019444646</v>
      </c>
      <c r="C553" s="1">
        <f>IF(IFERROR(MATCH(Tabelle11[[#Headers],[Andres_H]],Spielauswertung!$B541:$E541,0),0)=0,C552,INDEX(Spielauswertung!$AB541:$AE541,MATCH(Tabelle11[[#Headers],[Andres_H]],Spielauswertung!$B541:$E541,0))+C552)</f>
        <v>95.535732339111306</v>
      </c>
      <c r="D553" s="1">
        <f>IF(IFERROR(MATCH(Tabelle11[[#Headers],[Anton_K]],Spielauswertung!$B541:$E541,0),0)=0,D552,INDEX(Spielauswertung!$AB541:$AE541,MATCH(Tabelle11[[#Headers],[Anton_K]],Spielauswertung!$B541:$E541,0))+D552)</f>
        <v>99.287728777054667</v>
      </c>
      <c r="E553" s="1">
        <f>IF(IFERROR(MATCH(Tabelle11[[#Headers],[Bastian_G]],Spielauswertung!$B541:$E541,0),0)=0,E552,INDEX(Spielauswertung!$AB541:$AE541,MATCH(Tabelle11[[#Headers],[Bastian_G]],Spielauswertung!$B541:$E541,0))+E552)</f>
        <v>117.49978695184252</v>
      </c>
      <c r="F553" s="1">
        <f>IF(IFERROR(MATCH(Tabelle11[[#Headers],[Ben_S]],Spielauswertung!$B541:$E541,0),0)=0,F552,INDEX(Spielauswertung!$AB541:$AE541,MATCH(Tabelle11[[#Headers],[Ben_S]],Spielauswertung!$B541:$E541,0))+F552)</f>
        <v>95.932799101521084</v>
      </c>
      <c r="G553" s="1">
        <f>IF(IFERROR(MATCH(Tabelle11[[#Headers],[Benedikt_K]],Spielauswertung!$B541:$E541,0),0)=0,G552,INDEX(Spielauswertung!$AB541:$AE541,MATCH(Tabelle11[[#Headers],[Benedikt_K]],Spielauswertung!$B541:$E541,0))+G552)</f>
        <v>101.20264176422626</v>
      </c>
      <c r="H553" s="1">
        <f>IF(IFERROR(MATCH(Tabelle11[[#Headers],[Benedikt_R]],Spielauswertung!$B541:$E541,0),0)=0,H552,INDEX(Spielauswertung!$AB541:$AE541,MATCH(Tabelle11[[#Headers],[Benedikt_R]],Spielauswertung!$B541:$E541,0))+H552)</f>
        <v>102.6264770510757</v>
      </c>
      <c r="I553" s="1">
        <f>IF(IFERROR(MATCH(Tabelle11[[#Headers],[Carsten_H]],Spielauswertung!$B541:$E541,0),0)=0,I552,INDEX(Spielauswertung!$AB541:$AE541,MATCH(Tabelle11[[#Headers],[Carsten_H]],Spielauswertung!$B541:$E541,0))+I552)</f>
        <v>90.817185094326874</v>
      </c>
      <c r="J553" s="1">
        <f>IF(IFERROR(MATCH(Tabelle11[[#Headers],[Christoph_R]],Spielauswertung!$B541:$E541,0),0)=0,J552,INDEX(Spielauswertung!$AB541:$AE541,MATCH(Tabelle11[[#Headers],[Christoph_R]],Spielauswertung!$B541:$E541,0))+J552)</f>
        <v>109.73261611443155</v>
      </c>
      <c r="K553" s="1">
        <f>IF(IFERROR(MATCH(Tabelle11[[#Headers],[Claudius_J]],Spielauswertung!$B541:$E541,0),0)=0,K552,INDEX(Spielauswertung!$AB541:$AE541,MATCH(Tabelle11[[#Headers],[Claudius_J]],Spielauswertung!$B541:$E541,0))+K552)</f>
        <v>106.16590636000029</v>
      </c>
      <c r="L553" s="1">
        <f>IF(IFERROR(MATCH(Tabelle11[[#Headers],[Daniel_D]],Spielauswertung!$B541:$E541,0),0)=0,L552,INDEX(Spielauswertung!$AB541:$AE541,MATCH(Tabelle11[[#Headers],[Daniel_D]],Spielauswertung!$B541:$E541,0))+L552)</f>
        <v>99.990299180470089</v>
      </c>
      <c r="M553" s="1">
        <f>IF(IFERROR(MATCH(Tabelle11[[#Headers],[David_R]],Spielauswertung!$B541:$E541,0),0)=0,M552,INDEX(Spielauswertung!$AB541:$AE541,MATCH(Tabelle11[[#Headers],[David_R]],Spielauswertung!$B541:$E541,0))+M552)</f>
        <v>96.715943522481638</v>
      </c>
      <c r="N553" s="1">
        <f>IF(IFERROR(MATCH(Tabelle11[[#Headers],[Dennis_P]],Spielauswertung!$B541:$E541,0),0)=0,N552,INDEX(Spielauswertung!$AB541:$AE541,MATCH(Tabelle11[[#Headers],[Dennis_P]],Spielauswertung!$B541:$E541,0))+N552)</f>
        <v>100.04773223105254</v>
      </c>
      <c r="O553" s="1">
        <f>IF(IFERROR(MATCH(Tabelle11[[#Headers],[Dennis_R]],Spielauswertung!$B541:$E541,0),0)=0,O552,INDEX(Spielauswertung!$AB541:$AE541,MATCH(Tabelle11[[#Headers],[Dennis_R]],Spielauswertung!$B541:$E541,0))+O552)</f>
        <v>75.131680864937195</v>
      </c>
      <c r="P553" s="1">
        <f>IF(IFERROR(MATCH(Tabelle11[[#Headers],[Detlef_R]],Spielauswertung!$B541:$E541,0),0)=0,P552,INDEX(Spielauswertung!$AB541:$AE541,MATCH(Tabelle11[[#Headers],[Detlef_R]],Spielauswertung!$B541:$E541,0))+P552)</f>
        <v>87.984671797367014</v>
      </c>
      <c r="Q553" s="1">
        <f>IF(IFERROR(MATCH(Tabelle11[[#Headers],[Dmitrij_M]],Spielauswertung!$B541:$E541,0),0)=0,Q552,INDEX(Spielauswertung!$AB541:$AE541,MATCH(Tabelle11[[#Headers],[Dmitrij_M]],Spielauswertung!$B541:$E541,0))+Q552)</f>
        <v>100.69975721846207</v>
      </c>
      <c r="R553" s="1">
        <f>IF(IFERROR(MATCH(Tabelle11[[#Headers],[Fabian_M]],Spielauswertung!$B541:$E541,0),0)=0,R552,INDEX(Spielauswertung!$AB541:$AE541,MATCH(Tabelle11[[#Headers],[Fabian_M]],Spielauswertung!$B541:$E541,0))+R552)</f>
        <v>95.805387841610738</v>
      </c>
      <c r="S553" s="1">
        <f>IF(IFERROR(MATCH(Tabelle11[[#Headers],[Hannes_S]],Spielauswertung!$B541:$E541,0),0)=0,S552,INDEX(Spielauswertung!$AB541:$AE541,MATCH(Tabelle11[[#Headers],[Hannes_S]],Spielauswertung!$B541:$E541,0))+S552)</f>
        <v>104.83899184012799</v>
      </c>
      <c r="T553" s="1">
        <f>IF(IFERROR(MATCH(Tabelle11[[#Headers],[Jan_B]],Spielauswertung!$B541:$E541,0),0)=0,T552,INDEX(Spielauswertung!$AB541:$AE541,MATCH(Tabelle11[[#Headers],[Jan_B]],Spielauswertung!$B541:$E541,0))+T552)</f>
        <v>100.2794420429173</v>
      </c>
      <c r="U553" s="1">
        <f>IF(IFERROR(MATCH(Tabelle11[[#Headers],[Jan_Hendrik_B]],Spielauswertung!$B541:$E541,0),0)=0,U552,INDEX(Spielauswertung!$AB541:$AE541,MATCH(Tabelle11[[#Headers],[Jan_Hendrik_B]],Spielauswertung!$B541:$E541,0))+U552)</f>
        <v>100.75492416935522</v>
      </c>
      <c r="V553" s="1">
        <f>IF(IFERROR(MATCH(Tabelle11[[#Headers],[Jens_N]],Spielauswertung!$B541:$E541,0),0)=0,V552,INDEX(Spielauswertung!$AB541:$AE541,MATCH(Tabelle11[[#Headers],[Jens_N]],Spielauswertung!$B541:$E541,0))+V552)</f>
        <v>99.643534710196832</v>
      </c>
      <c r="W553" s="1">
        <f>IF(IFERROR(MATCH(Tabelle11[[#Headers],[Johannes_S]],Spielauswertung!$B541:$E541,0),0)=0,W552,INDEX(Spielauswertung!$AB541:$AE541,MATCH(Tabelle11[[#Headers],[Johannes_S]],Spielauswertung!$B541:$E541,0))+W552)</f>
        <v>102.20284750979505</v>
      </c>
      <c r="X553" s="1">
        <f>IF(IFERROR(MATCH(Tabelle11[[#Headers],[Jonathan_F]],Spielauswertung!$B541:$E541,0),0)=0,X552,INDEX(Spielauswertung!$AB541:$AE541,MATCH(Tabelle11[[#Headers],[Jonathan_F]],Spielauswertung!$B541:$E541,0))+X552)</f>
        <v>98.938308797866256</v>
      </c>
      <c r="Y553" s="1">
        <f>IF(IFERROR(MATCH(Tabelle11[[#Headers],[Julius_P]],Spielauswertung!$B541:$E541,0),0)=0,Y552,INDEX(Spielauswertung!$AB541:$AE541,MATCH(Tabelle11[[#Headers],[Julius_P]],Spielauswertung!$B541:$E541,0))+Y552)</f>
        <v>96.540305101873642</v>
      </c>
      <c r="Z553" s="1">
        <f>IF(IFERROR(MATCH(Tabelle11[[#Headers],[Louis_W]],Spielauswertung!$B541:$E541,0),0)=0,Z552,INDEX(Spielauswertung!$AB541:$AE541,MATCH(Tabelle11[[#Headers],[Louis_W]],Spielauswertung!$B541:$E541,0))+Z552)</f>
        <v>87.497452285475362</v>
      </c>
      <c r="AA553" s="1">
        <f>IF(IFERROR(MATCH(Tabelle11[[#Headers],[Lukas_L]],Spielauswertung!$B541:$E541,0),0)=0,AA552,INDEX(Spielauswertung!$AB541:$AE541,MATCH(Tabelle11[[#Headers],[Lukas_L]],Spielauswertung!$B541:$E541,0))+AA552)</f>
        <v>98.447931341404143</v>
      </c>
      <c r="AB553" s="1">
        <f>IF(IFERROR(MATCH(Tabelle11[[#Headers],[Marcin_S]],Spielauswertung!$B541:$E541,0),0)=0,AB552,INDEX(Spielauswertung!$AB541:$AE541,MATCH(Tabelle11[[#Headers],[Marcin_S]],Spielauswertung!$B541:$E541,0))+AB552)</f>
        <v>85.463329105556824</v>
      </c>
      <c r="AC553" s="1">
        <f>IF(IFERROR(MATCH(Tabelle11[[#Headers],[Marco_K]],Spielauswertung!$B541:$E541,0),0)=0,AC552,INDEX(Spielauswertung!$AB541:$AE541,MATCH(Tabelle11[[#Headers],[Marco_K]],Spielauswertung!$B541:$E541,0))+AC552)</f>
        <v>102.12169819441469</v>
      </c>
      <c r="AD553" s="1">
        <f>IF(IFERROR(MATCH(Tabelle11[[#Headers],[Marius_M]],Spielauswertung!$B541:$E541,0),0)=0,AD552,INDEX(Spielauswertung!$AB541:$AE541,MATCH(Tabelle11[[#Headers],[Marius_M]],Spielauswertung!$B541:$E541,0))+AD552)</f>
        <v>124.54012374585781</v>
      </c>
      <c r="AE553" s="1">
        <f>IF(IFERROR(MATCH(Tabelle11[[#Headers],[Marvin_W]],Spielauswertung!$B541:$E541,0),0)=0,AE552,INDEX(Spielauswertung!$AB541:$AE541,MATCH(Tabelle11[[#Headers],[Marvin_W]],Spielauswertung!$B541:$E541,0))+AE552)</f>
        <v>96.700266280577438</v>
      </c>
      <c r="AF553" s="1">
        <f>IF(IFERROR(MATCH(Tabelle11[[#Headers],[Matthias_H]],Spielauswertung!$B541:$E541,0),0)=0,AF552,INDEX(Spielauswertung!$AB541:$AE541,MATCH(Tabelle11[[#Headers],[Matthias_H]],Spielauswertung!$B541:$E541,0))+AF552)</f>
        <v>105.42130178599372</v>
      </c>
      <c r="AG553" s="1">
        <f>IF(IFERROR(MATCH(Tabelle11[[#Headers],[Michael_D]],Spielauswertung!$B541:$E541,0),0)=0,AG552,INDEX(Spielauswertung!$AB541:$AE541,MATCH(Tabelle11[[#Headers],[Michael_D]],Spielauswertung!$B541:$E541,0))+AG552)</f>
        <v>96.436276170375336</v>
      </c>
      <c r="AH553" s="1">
        <f>IF(IFERROR(MATCH(Tabelle11[[#Headers],[Patrick_S]],Spielauswertung!$B541:$E541,0),0)=0,AH552,INDEX(Spielauswertung!$AB541:$AE541,MATCH(Tabelle11[[#Headers],[Patrick_S]],Spielauswertung!$B541:$E541,0))+AH552)</f>
        <v>98.975330692053802</v>
      </c>
      <c r="AI553" s="1">
        <f>IF(IFERROR(MATCH(Tabelle11[[#Headers],[Rano_M]],Spielauswertung!$B541:$E541,0),0)=0,AI552,INDEX(Spielauswertung!$AB541:$AE541,MATCH(Tabelle11[[#Headers],[Rano_M]],Spielauswertung!$B541:$E541,0))+AI552)</f>
        <v>109.38890657420265</v>
      </c>
      <c r="AJ553" s="1">
        <f>IF(IFERROR(MATCH(Tabelle11[[#Headers],[Rene_N]],Spielauswertung!$B541:$E541,0),0)=0,AJ552,INDEX(Spielauswertung!$AB541:$AE541,MATCH(Tabelle11[[#Headers],[Rene_N]],Spielauswertung!$B541:$E541,0))+AJ552)</f>
        <v>101.06482124619033</v>
      </c>
      <c r="AK553" s="1">
        <f>IF(IFERROR(MATCH(Tabelle11[[#Headers],[Rene_P]],Spielauswertung!$B541:$E541,0),0)=0,AK552,INDEX(Spielauswertung!$AB541:$AE541,MATCH(Tabelle11[[#Headers],[Rene_P]],Spielauswertung!$B541:$E541,0))+AK552)</f>
        <v>88.762543186332877</v>
      </c>
      <c r="AL553" s="1">
        <f>IF(IFERROR(MATCH(Tabelle11[[#Headers],[Richard_D]],Spielauswertung!$B541:$E541,0),0)=0,AL552,INDEX(Spielauswertung!$AB541:$AE541,MATCH(Tabelle11[[#Headers],[Richard_D]],Spielauswertung!$B541:$E541,0))+AL552)</f>
        <v>107.23233592026223</v>
      </c>
      <c r="AM553" s="1">
        <f>IF(IFERROR(MATCH(Tabelle11[[#Headers],[Rodrigo_R]],Spielauswertung!$B541:$E541,0),0)=0,AM552,INDEX(Spielauswertung!$AB541:$AE541,MATCH(Tabelle11[[#Headers],[Rodrigo_R]],Spielauswertung!$B541:$E541,0))+AM552)</f>
        <v>116.7028707921346</v>
      </c>
      <c r="AN553" s="1">
        <f>IF(IFERROR(MATCH(Tabelle11[[#Headers],[Sebastian_A]],Spielauswertung!$B541:$E541,0),0)=0,AN552,INDEX(Spielauswertung!$AB541:$AE541,MATCH(Tabelle11[[#Headers],[Sebastian_A]],Spielauswertung!$B541:$E541,0))+AN552)</f>
        <v>102.89457418671324</v>
      </c>
      <c r="AO553" s="1">
        <f>IF(IFERROR(MATCH(Tabelle11[[#Headers],[Sebastian_St]],Spielauswertung!$B541:$E541,0),0)=0,AO552,INDEX(Spielauswertung!$AB541:$AE541,MATCH(Tabelle11[[#Headers],[Sebastian_St]],Spielauswertung!$B541:$E541,0))+AO552)</f>
        <v>97.749574367408982</v>
      </c>
      <c r="AP553" s="1">
        <f>IF(IFERROR(MATCH(Tabelle11[[#Headers],[Simon_U]],Spielauswertung!$B541:$E541,0),0)=0,AP552,INDEX(Spielauswertung!$AB541:$AE541,MATCH(Tabelle11[[#Headers],[Simon_U]],Spielauswertung!$B541:$E541,0))+AP552)</f>
        <v>99.623054841470903</v>
      </c>
      <c r="AQ553" s="1">
        <f>IF(IFERROR(MATCH(Tabelle11[[#Headers],[Steffen_R]],Spielauswertung!$B541:$E541,0),0)=0,AQ552,INDEX(Spielauswertung!$AB541:$AE541,MATCH(Tabelle11[[#Headers],[Steffen_R]],Spielauswertung!$B541:$E541,0))+AQ552)</f>
        <v>93.247497067190949</v>
      </c>
      <c r="AR553" s="1">
        <f>IF(IFERROR(MATCH(Tabelle11[[#Headers],[Tim_R]],Spielauswertung!$B541:$E541,0),0)=0,AR552,INDEX(Spielauswertung!$AB541:$AE541,MATCH(Tabelle11[[#Headers],[Tim_R]],Spielauswertung!$B541:$E541,0))+AR552)</f>
        <v>103.07503787023374</v>
      </c>
      <c r="AS553" s="1">
        <f>IF(IFERROR(MATCH(Tabelle11[[#Headers],[Tobias_S]],Spielauswertung!$B541:$E541,0),0)=0,AS552,INDEX(Spielauswertung!$AB541:$AE541,MATCH(Tabelle11[[#Headers],[Tobias_S]],Spielauswertung!$B541:$E541,0))+AS552)</f>
        <v>98.6003422659997</v>
      </c>
      <c r="AT553" s="1">
        <f>IF(IFERROR(MATCH(Tabelle11[[#Headers],[Tom_R]],Spielauswertung!$B541:$E541,0),0)=0,AT552,INDEX(Spielauswertung!$AB541:$AE541,MATCH(Tabelle11[[#Headers],[Tom_R]],Spielauswertung!$B541:$E541,0))+AT552)</f>
        <v>112.62344492949197</v>
      </c>
      <c r="AU553" s="1">
        <f>IF(IFERROR(MATCH(Tabelle11[[#Headers],[Ton_L]],Spielauswertung!$B541:$E541,0),0)=0,AU552,INDEX(Spielauswertung!$AB541:$AE541,MATCH(Tabelle11[[#Headers],[Ton_L]],Spielauswertung!$B541:$E541,0))+AU552)</f>
        <v>92.683083360025861</v>
      </c>
      <c r="AV553" s="1">
        <f>IF(IFERROR(MATCH(Tabelle11[[#Headers],[Yixin_G]],Spielauswertung!$B541:$E541,0),0)=0,AV552,INDEX(Spielauswertung!$AB541:$AE541,MATCH(Tabelle11[[#Headers],[Yixin_G]],Spielauswertung!$B541:$E541,0))+AV552)</f>
        <v>99.900323214082661</v>
      </c>
      <c r="AW553" s="1">
        <f>IF(IFERROR(MATCH(Tabelle11[[#Headers],[Spalte36]],Spielauswertung!$B541:$E541,0),0)=0,AW552,INDEX(Spielauswertung!$AB541:$AE541,MATCH(Tabelle11[[#Headers],[Spalte36]],Spielauswertung!$B541:$E541,0))+AW552)</f>
        <v>100</v>
      </c>
      <c r="AX553" s="1">
        <f>IF(IFERROR(MATCH(Tabelle11[[#Headers],[Spalte37]],Spielauswertung!$B541:$E541,0),0)=0,AX552,INDEX(Spielauswertung!$AB541:$AE541,MATCH(Tabelle11[[#Headers],[Spalte37]],Spielauswertung!$B541:$E541,0))+AX552)</f>
        <v>100</v>
      </c>
      <c r="AY553" s="1">
        <f>IF(IFERROR(MATCH(Tabelle11[[#Headers],[Spalte38]],Spielauswertung!$B541:$E541,0),0)=0,AY552,INDEX(Spielauswertung!$AB541:$AE541,MATCH(Tabelle11[[#Headers],[Spalte38]],Spielauswertung!$B541:$E541,0))+AY552)</f>
        <v>100</v>
      </c>
      <c r="AZ553" s="1">
        <f>IF(IFERROR(MATCH(Tabelle11[[#Headers],[Spalte39]],Spielauswertung!$B541:$E541,0),0)=0,AZ552,INDEX(Spielauswertung!$AB541:$AE541,MATCH(Tabelle11[[#Headers],[Spalte39]],Spielauswertung!$B541:$E541,0))+AZ552)</f>
        <v>100</v>
      </c>
      <c r="BA553" s="1">
        <f>IF(IFERROR(MATCH(Tabelle11[[#Headers],[Spalte40]],Spielauswertung!$B541:$E541,0),0)=0,BA552,INDEX(Spielauswertung!$AB541:$AE541,MATCH(Tabelle11[[#Headers],[Spalte40]],Spielauswertung!$B541:$E541,0))+BA552)</f>
        <v>100</v>
      </c>
      <c r="BB553" s="1">
        <f>IF(IFERROR(MATCH(Tabelle11[[#Headers],[Spalte41]],Spielauswertung!$B541:$E541,0),0)=0,BB552,INDEX(Spielauswertung!$AB541:$AE541,MATCH(Tabelle11[[#Headers],[Spalte41]],Spielauswertung!$B541:$E541,0))+BB552)</f>
        <v>100</v>
      </c>
      <c r="BC553" s="1">
        <f>IF(IFERROR(MATCH(Tabelle11[[#Headers],[Spalte42]],Spielauswertung!$B541:$E541,0),0)=0,BC552,INDEX(Spielauswertung!$AB541:$AE541,MATCH(Tabelle11[[#Headers],[Spalte42]],Spielauswertung!$B541:$E541,0))+BC552)</f>
        <v>100</v>
      </c>
      <c r="BD553" s="1">
        <f>IF(IFERROR(MATCH(Tabelle11[[#Headers],[Spalte43]],Spielauswertung!$B541:$E541,0),0)=0,BD552,INDEX(Spielauswertung!$AB541:$AE541,MATCH(Tabelle11[[#Headers],[Spalte43]],Spielauswertung!$B541:$E541,0))+BD552)</f>
        <v>100</v>
      </c>
      <c r="BE553" s="1">
        <f>IF(IFERROR(MATCH(Tabelle11[[#Headers],[Spalte44]],Spielauswertung!$B541:$E541,0),0)=0,BE552,INDEX(Spielauswertung!$AB541:$AE541,MATCH(Tabelle11[[#Headers],[Spalte44]],Spielauswertung!$B541:$E541,0))+BE552)</f>
        <v>100</v>
      </c>
      <c r="BF553" s="1">
        <f>IF(IFERROR(MATCH(Tabelle11[[#Headers],[Spalte45]],Spielauswertung!$B541:$E541,0),0)=0,BF552,INDEX(Spielauswertung!$AB541:$AE541,MATCH(Tabelle11[[#Headers],[Spalte45]],Spielauswertung!$B541:$E541,0))+BF552)</f>
        <v>100</v>
      </c>
      <c r="BG553" s="1">
        <f>IF(IFERROR(MATCH(Tabelle11[[#Headers],[Spalte46]],Spielauswertung!$B541:$E541,0),0)=0,BG552,INDEX(Spielauswertung!$AB541:$AE541,MATCH(Tabelle11[[#Headers],[Spalte46]],Spielauswertung!$B541:$E541,0))+BG552)</f>
        <v>100</v>
      </c>
      <c r="BH553" s="1">
        <f>IF(IFERROR(MATCH(Tabelle11[[#Headers],[Spalte47]],Spielauswertung!$B541:$E541,0),0)=0,BH552,INDEX(Spielauswertung!$AB541:$AE541,MATCH(Tabelle11[[#Headers],[Spalte47]],Spielauswertung!$B541:$E541,0))+BH552)</f>
        <v>100</v>
      </c>
    </row>
    <row r="554" spans="1:60" x14ac:dyDescent="0.25">
      <c r="A554">
        <f t="shared" si="9"/>
        <v>541</v>
      </c>
      <c r="B554" s="1">
        <f>IF(IFERROR(MATCH(Tabelle11[[#Headers],[Aleix_V]],Spielauswertung!$B542:$E542,0),0)=0,B553,INDEX(Spielauswertung!$AB542:$AE542,MATCH(Tabelle11[[#Headers],[Aleix_V]],Spielauswertung!$B542:$E542,0))+B553)</f>
        <v>102.47318019444646</v>
      </c>
      <c r="C554" s="1">
        <f>IF(IFERROR(MATCH(Tabelle11[[#Headers],[Andres_H]],Spielauswertung!$B542:$E542,0),0)=0,C553,INDEX(Spielauswertung!$AB542:$AE542,MATCH(Tabelle11[[#Headers],[Andres_H]],Spielauswertung!$B542:$E542,0))+C553)</f>
        <v>95.535732339111306</v>
      </c>
      <c r="D554" s="1">
        <f>IF(IFERROR(MATCH(Tabelle11[[#Headers],[Anton_K]],Spielauswertung!$B542:$E542,0),0)=0,D553,INDEX(Spielauswertung!$AB542:$AE542,MATCH(Tabelle11[[#Headers],[Anton_K]],Spielauswertung!$B542:$E542,0))+D553)</f>
        <v>99.287728777054667</v>
      </c>
      <c r="E554" s="1">
        <f>IF(IFERROR(MATCH(Tabelle11[[#Headers],[Bastian_G]],Spielauswertung!$B542:$E542,0),0)=0,E553,INDEX(Spielauswertung!$AB542:$AE542,MATCH(Tabelle11[[#Headers],[Bastian_G]],Spielauswertung!$B542:$E542,0))+E553)</f>
        <v>117.49978695184252</v>
      </c>
      <c r="F554" s="1">
        <f>IF(IFERROR(MATCH(Tabelle11[[#Headers],[Ben_S]],Spielauswertung!$B542:$E542,0),0)=0,F553,INDEX(Spielauswertung!$AB542:$AE542,MATCH(Tabelle11[[#Headers],[Ben_S]],Spielauswertung!$B542:$E542,0))+F553)</f>
        <v>95.932799101521084</v>
      </c>
      <c r="G554" s="1">
        <f>IF(IFERROR(MATCH(Tabelle11[[#Headers],[Benedikt_K]],Spielauswertung!$B542:$E542,0),0)=0,G553,INDEX(Spielauswertung!$AB542:$AE542,MATCH(Tabelle11[[#Headers],[Benedikt_K]],Spielauswertung!$B542:$E542,0))+G553)</f>
        <v>101.20264176422626</v>
      </c>
      <c r="H554" s="1">
        <f>IF(IFERROR(MATCH(Tabelle11[[#Headers],[Benedikt_R]],Spielauswertung!$B542:$E542,0),0)=0,H553,INDEX(Spielauswertung!$AB542:$AE542,MATCH(Tabelle11[[#Headers],[Benedikt_R]],Spielauswertung!$B542:$E542,0))+H553)</f>
        <v>102.6264770510757</v>
      </c>
      <c r="I554" s="1">
        <f>IF(IFERROR(MATCH(Tabelle11[[#Headers],[Carsten_H]],Spielauswertung!$B542:$E542,0),0)=0,I553,INDEX(Spielauswertung!$AB542:$AE542,MATCH(Tabelle11[[#Headers],[Carsten_H]],Spielauswertung!$B542:$E542,0))+I553)</f>
        <v>90.817185094326874</v>
      </c>
      <c r="J554" s="1">
        <f>IF(IFERROR(MATCH(Tabelle11[[#Headers],[Christoph_R]],Spielauswertung!$B542:$E542,0),0)=0,J553,INDEX(Spielauswertung!$AB542:$AE542,MATCH(Tabelle11[[#Headers],[Christoph_R]],Spielauswertung!$B542:$E542,0))+J553)</f>
        <v>109.73261611443155</v>
      </c>
      <c r="K554" s="1">
        <f>IF(IFERROR(MATCH(Tabelle11[[#Headers],[Claudius_J]],Spielauswertung!$B542:$E542,0),0)=0,K553,INDEX(Spielauswertung!$AB542:$AE542,MATCH(Tabelle11[[#Headers],[Claudius_J]],Spielauswertung!$B542:$E542,0))+K553)</f>
        <v>106.16590636000029</v>
      </c>
      <c r="L554" s="1">
        <f>IF(IFERROR(MATCH(Tabelle11[[#Headers],[Daniel_D]],Spielauswertung!$B542:$E542,0),0)=0,L553,INDEX(Spielauswertung!$AB542:$AE542,MATCH(Tabelle11[[#Headers],[Daniel_D]],Spielauswertung!$B542:$E542,0))+L553)</f>
        <v>99.990299180470089</v>
      </c>
      <c r="M554" s="1">
        <f>IF(IFERROR(MATCH(Tabelle11[[#Headers],[David_R]],Spielauswertung!$B542:$E542,0),0)=0,M553,INDEX(Spielauswertung!$AB542:$AE542,MATCH(Tabelle11[[#Headers],[David_R]],Spielauswertung!$B542:$E542,0))+M553)</f>
        <v>96.715943522481638</v>
      </c>
      <c r="N554" s="1">
        <f>IF(IFERROR(MATCH(Tabelle11[[#Headers],[Dennis_P]],Spielauswertung!$B542:$E542,0),0)=0,N553,INDEX(Spielauswertung!$AB542:$AE542,MATCH(Tabelle11[[#Headers],[Dennis_P]],Spielauswertung!$B542:$E542,0))+N553)</f>
        <v>100.04773223105254</v>
      </c>
      <c r="O554" s="1">
        <f>IF(IFERROR(MATCH(Tabelle11[[#Headers],[Dennis_R]],Spielauswertung!$B542:$E542,0),0)=0,O553,INDEX(Spielauswertung!$AB542:$AE542,MATCH(Tabelle11[[#Headers],[Dennis_R]],Spielauswertung!$B542:$E542,0))+O553)</f>
        <v>75.131680864937195</v>
      </c>
      <c r="P554" s="1">
        <f>IF(IFERROR(MATCH(Tabelle11[[#Headers],[Detlef_R]],Spielauswertung!$B542:$E542,0),0)=0,P553,INDEX(Spielauswertung!$AB542:$AE542,MATCH(Tabelle11[[#Headers],[Detlef_R]],Spielauswertung!$B542:$E542,0))+P553)</f>
        <v>87.984671797367014</v>
      </c>
      <c r="Q554" s="1">
        <f>IF(IFERROR(MATCH(Tabelle11[[#Headers],[Dmitrij_M]],Spielauswertung!$B542:$E542,0),0)=0,Q553,INDEX(Spielauswertung!$AB542:$AE542,MATCH(Tabelle11[[#Headers],[Dmitrij_M]],Spielauswertung!$B542:$E542,0))+Q553)</f>
        <v>100.69975721846207</v>
      </c>
      <c r="R554" s="1">
        <f>IF(IFERROR(MATCH(Tabelle11[[#Headers],[Fabian_M]],Spielauswertung!$B542:$E542,0),0)=0,R553,INDEX(Spielauswertung!$AB542:$AE542,MATCH(Tabelle11[[#Headers],[Fabian_M]],Spielauswertung!$B542:$E542,0))+R553)</f>
        <v>95.805387841610738</v>
      </c>
      <c r="S554" s="1">
        <f>IF(IFERROR(MATCH(Tabelle11[[#Headers],[Hannes_S]],Spielauswertung!$B542:$E542,0),0)=0,S553,INDEX(Spielauswertung!$AB542:$AE542,MATCH(Tabelle11[[#Headers],[Hannes_S]],Spielauswertung!$B542:$E542,0))+S553)</f>
        <v>104.83899184012799</v>
      </c>
      <c r="T554" s="1">
        <f>IF(IFERROR(MATCH(Tabelle11[[#Headers],[Jan_B]],Spielauswertung!$B542:$E542,0),0)=0,T553,INDEX(Spielauswertung!$AB542:$AE542,MATCH(Tabelle11[[#Headers],[Jan_B]],Spielauswertung!$B542:$E542,0))+T553)</f>
        <v>100.2794420429173</v>
      </c>
      <c r="U554" s="1">
        <f>IF(IFERROR(MATCH(Tabelle11[[#Headers],[Jan_Hendrik_B]],Spielauswertung!$B542:$E542,0),0)=0,U553,INDEX(Spielauswertung!$AB542:$AE542,MATCH(Tabelle11[[#Headers],[Jan_Hendrik_B]],Spielauswertung!$B542:$E542,0))+U553)</f>
        <v>100.75492416935522</v>
      </c>
      <c r="V554" s="1">
        <f>IF(IFERROR(MATCH(Tabelle11[[#Headers],[Jens_N]],Spielauswertung!$B542:$E542,0),0)=0,V553,INDEX(Spielauswertung!$AB542:$AE542,MATCH(Tabelle11[[#Headers],[Jens_N]],Spielauswertung!$B542:$E542,0))+V553)</f>
        <v>99.643534710196832</v>
      </c>
      <c r="W554" s="1">
        <f>IF(IFERROR(MATCH(Tabelle11[[#Headers],[Johannes_S]],Spielauswertung!$B542:$E542,0),0)=0,W553,INDEX(Spielauswertung!$AB542:$AE542,MATCH(Tabelle11[[#Headers],[Johannes_S]],Spielauswertung!$B542:$E542,0))+W553)</f>
        <v>102.20284750979505</v>
      </c>
      <c r="X554" s="1">
        <f>IF(IFERROR(MATCH(Tabelle11[[#Headers],[Jonathan_F]],Spielauswertung!$B542:$E542,0),0)=0,X553,INDEX(Spielauswertung!$AB542:$AE542,MATCH(Tabelle11[[#Headers],[Jonathan_F]],Spielauswertung!$B542:$E542,0))+X553)</f>
        <v>98.938308797866256</v>
      </c>
      <c r="Y554" s="1">
        <f>IF(IFERROR(MATCH(Tabelle11[[#Headers],[Julius_P]],Spielauswertung!$B542:$E542,0),0)=0,Y553,INDEX(Spielauswertung!$AB542:$AE542,MATCH(Tabelle11[[#Headers],[Julius_P]],Spielauswertung!$B542:$E542,0))+Y553)</f>
        <v>96.540305101873642</v>
      </c>
      <c r="Z554" s="1">
        <f>IF(IFERROR(MATCH(Tabelle11[[#Headers],[Louis_W]],Spielauswertung!$B542:$E542,0),0)=0,Z553,INDEX(Spielauswertung!$AB542:$AE542,MATCH(Tabelle11[[#Headers],[Louis_W]],Spielauswertung!$B542:$E542,0))+Z553)</f>
        <v>87.497452285475362</v>
      </c>
      <c r="AA554" s="1">
        <f>IF(IFERROR(MATCH(Tabelle11[[#Headers],[Lukas_L]],Spielauswertung!$B542:$E542,0),0)=0,AA553,INDEX(Spielauswertung!$AB542:$AE542,MATCH(Tabelle11[[#Headers],[Lukas_L]],Spielauswertung!$B542:$E542,0))+AA553)</f>
        <v>98.447931341404143</v>
      </c>
      <c r="AB554" s="1">
        <f>IF(IFERROR(MATCH(Tabelle11[[#Headers],[Marcin_S]],Spielauswertung!$B542:$E542,0),0)=0,AB553,INDEX(Spielauswertung!$AB542:$AE542,MATCH(Tabelle11[[#Headers],[Marcin_S]],Spielauswertung!$B542:$E542,0))+AB553)</f>
        <v>85.463329105556824</v>
      </c>
      <c r="AC554" s="1">
        <f>IF(IFERROR(MATCH(Tabelle11[[#Headers],[Marco_K]],Spielauswertung!$B542:$E542,0),0)=0,AC553,INDEX(Spielauswertung!$AB542:$AE542,MATCH(Tabelle11[[#Headers],[Marco_K]],Spielauswertung!$B542:$E542,0))+AC553)</f>
        <v>102.12169819441469</v>
      </c>
      <c r="AD554" s="1">
        <f>IF(IFERROR(MATCH(Tabelle11[[#Headers],[Marius_M]],Spielauswertung!$B542:$E542,0),0)=0,AD553,INDEX(Spielauswertung!$AB542:$AE542,MATCH(Tabelle11[[#Headers],[Marius_M]],Spielauswertung!$B542:$E542,0))+AD553)</f>
        <v>124.54012374585781</v>
      </c>
      <c r="AE554" s="1">
        <f>IF(IFERROR(MATCH(Tabelle11[[#Headers],[Marvin_W]],Spielauswertung!$B542:$E542,0),0)=0,AE553,INDEX(Spielauswertung!$AB542:$AE542,MATCH(Tabelle11[[#Headers],[Marvin_W]],Spielauswertung!$B542:$E542,0))+AE553)</f>
        <v>96.700266280577438</v>
      </c>
      <c r="AF554" s="1">
        <f>IF(IFERROR(MATCH(Tabelle11[[#Headers],[Matthias_H]],Spielauswertung!$B542:$E542,0),0)=0,AF553,INDEX(Spielauswertung!$AB542:$AE542,MATCH(Tabelle11[[#Headers],[Matthias_H]],Spielauswertung!$B542:$E542,0))+AF553)</f>
        <v>105.42130178599372</v>
      </c>
      <c r="AG554" s="1">
        <f>IF(IFERROR(MATCH(Tabelle11[[#Headers],[Michael_D]],Spielauswertung!$B542:$E542,0),0)=0,AG553,INDEX(Spielauswertung!$AB542:$AE542,MATCH(Tabelle11[[#Headers],[Michael_D]],Spielauswertung!$B542:$E542,0))+AG553)</f>
        <v>96.436276170375336</v>
      </c>
      <c r="AH554" s="1">
        <f>IF(IFERROR(MATCH(Tabelle11[[#Headers],[Patrick_S]],Spielauswertung!$B542:$E542,0),0)=0,AH553,INDEX(Spielauswertung!$AB542:$AE542,MATCH(Tabelle11[[#Headers],[Patrick_S]],Spielauswertung!$B542:$E542,0))+AH553)</f>
        <v>98.975330692053802</v>
      </c>
      <c r="AI554" s="1">
        <f>IF(IFERROR(MATCH(Tabelle11[[#Headers],[Rano_M]],Spielauswertung!$B542:$E542,0),0)=0,AI553,INDEX(Spielauswertung!$AB542:$AE542,MATCH(Tabelle11[[#Headers],[Rano_M]],Spielauswertung!$B542:$E542,0))+AI553)</f>
        <v>109.38890657420265</v>
      </c>
      <c r="AJ554" s="1">
        <f>IF(IFERROR(MATCH(Tabelle11[[#Headers],[Rene_N]],Spielauswertung!$B542:$E542,0),0)=0,AJ553,INDEX(Spielauswertung!$AB542:$AE542,MATCH(Tabelle11[[#Headers],[Rene_N]],Spielauswertung!$B542:$E542,0))+AJ553)</f>
        <v>101.06482124619033</v>
      </c>
      <c r="AK554" s="1">
        <f>IF(IFERROR(MATCH(Tabelle11[[#Headers],[Rene_P]],Spielauswertung!$B542:$E542,0),0)=0,AK553,INDEX(Spielauswertung!$AB542:$AE542,MATCH(Tabelle11[[#Headers],[Rene_P]],Spielauswertung!$B542:$E542,0))+AK553)</f>
        <v>88.762543186332877</v>
      </c>
      <c r="AL554" s="1">
        <f>IF(IFERROR(MATCH(Tabelle11[[#Headers],[Richard_D]],Spielauswertung!$B542:$E542,0),0)=0,AL553,INDEX(Spielauswertung!$AB542:$AE542,MATCH(Tabelle11[[#Headers],[Richard_D]],Spielauswertung!$B542:$E542,0))+AL553)</f>
        <v>107.23233592026223</v>
      </c>
      <c r="AM554" s="1">
        <f>IF(IFERROR(MATCH(Tabelle11[[#Headers],[Rodrigo_R]],Spielauswertung!$B542:$E542,0),0)=0,AM553,INDEX(Spielauswertung!$AB542:$AE542,MATCH(Tabelle11[[#Headers],[Rodrigo_R]],Spielauswertung!$B542:$E542,0))+AM553)</f>
        <v>116.7028707921346</v>
      </c>
      <c r="AN554" s="1">
        <f>IF(IFERROR(MATCH(Tabelle11[[#Headers],[Sebastian_A]],Spielauswertung!$B542:$E542,0),0)=0,AN553,INDEX(Spielauswertung!$AB542:$AE542,MATCH(Tabelle11[[#Headers],[Sebastian_A]],Spielauswertung!$B542:$E542,0))+AN553)</f>
        <v>102.89457418671324</v>
      </c>
      <c r="AO554" s="1">
        <f>IF(IFERROR(MATCH(Tabelle11[[#Headers],[Sebastian_St]],Spielauswertung!$B542:$E542,0),0)=0,AO553,INDEX(Spielauswertung!$AB542:$AE542,MATCH(Tabelle11[[#Headers],[Sebastian_St]],Spielauswertung!$B542:$E542,0))+AO553)</f>
        <v>97.749574367408982</v>
      </c>
      <c r="AP554" s="1">
        <f>IF(IFERROR(MATCH(Tabelle11[[#Headers],[Simon_U]],Spielauswertung!$B542:$E542,0),0)=0,AP553,INDEX(Spielauswertung!$AB542:$AE542,MATCH(Tabelle11[[#Headers],[Simon_U]],Spielauswertung!$B542:$E542,0))+AP553)</f>
        <v>99.623054841470903</v>
      </c>
      <c r="AQ554" s="1">
        <f>IF(IFERROR(MATCH(Tabelle11[[#Headers],[Steffen_R]],Spielauswertung!$B542:$E542,0),0)=0,AQ553,INDEX(Spielauswertung!$AB542:$AE542,MATCH(Tabelle11[[#Headers],[Steffen_R]],Spielauswertung!$B542:$E542,0))+AQ553)</f>
        <v>93.247497067190949</v>
      </c>
      <c r="AR554" s="1">
        <f>IF(IFERROR(MATCH(Tabelle11[[#Headers],[Tim_R]],Spielauswertung!$B542:$E542,0),0)=0,AR553,INDEX(Spielauswertung!$AB542:$AE542,MATCH(Tabelle11[[#Headers],[Tim_R]],Spielauswertung!$B542:$E542,0))+AR553)</f>
        <v>103.07503787023374</v>
      </c>
      <c r="AS554" s="1">
        <f>IF(IFERROR(MATCH(Tabelle11[[#Headers],[Tobias_S]],Spielauswertung!$B542:$E542,0),0)=0,AS553,INDEX(Spielauswertung!$AB542:$AE542,MATCH(Tabelle11[[#Headers],[Tobias_S]],Spielauswertung!$B542:$E542,0))+AS553)</f>
        <v>98.6003422659997</v>
      </c>
      <c r="AT554" s="1">
        <f>IF(IFERROR(MATCH(Tabelle11[[#Headers],[Tom_R]],Spielauswertung!$B542:$E542,0),0)=0,AT553,INDEX(Spielauswertung!$AB542:$AE542,MATCH(Tabelle11[[#Headers],[Tom_R]],Spielauswertung!$B542:$E542,0))+AT553)</f>
        <v>112.62344492949197</v>
      </c>
      <c r="AU554" s="1">
        <f>IF(IFERROR(MATCH(Tabelle11[[#Headers],[Ton_L]],Spielauswertung!$B542:$E542,0),0)=0,AU553,INDEX(Spielauswertung!$AB542:$AE542,MATCH(Tabelle11[[#Headers],[Ton_L]],Spielauswertung!$B542:$E542,0))+AU553)</f>
        <v>92.683083360025861</v>
      </c>
      <c r="AV554" s="1">
        <f>IF(IFERROR(MATCH(Tabelle11[[#Headers],[Yixin_G]],Spielauswertung!$B542:$E542,0),0)=0,AV553,INDEX(Spielauswertung!$AB542:$AE542,MATCH(Tabelle11[[#Headers],[Yixin_G]],Spielauswertung!$B542:$E542,0))+AV553)</f>
        <v>99.900323214082661</v>
      </c>
      <c r="AW554" s="1">
        <f>IF(IFERROR(MATCH(Tabelle11[[#Headers],[Spalte36]],Spielauswertung!$B542:$E542,0),0)=0,AW553,INDEX(Spielauswertung!$AB542:$AE542,MATCH(Tabelle11[[#Headers],[Spalte36]],Spielauswertung!$B542:$E542,0))+AW553)</f>
        <v>100</v>
      </c>
      <c r="AX554" s="1">
        <f>IF(IFERROR(MATCH(Tabelle11[[#Headers],[Spalte37]],Spielauswertung!$B542:$E542,0),0)=0,AX553,INDEX(Spielauswertung!$AB542:$AE542,MATCH(Tabelle11[[#Headers],[Spalte37]],Spielauswertung!$B542:$E542,0))+AX553)</f>
        <v>100</v>
      </c>
      <c r="AY554" s="1">
        <f>IF(IFERROR(MATCH(Tabelle11[[#Headers],[Spalte38]],Spielauswertung!$B542:$E542,0),0)=0,AY553,INDEX(Spielauswertung!$AB542:$AE542,MATCH(Tabelle11[[#Headers],[Spalte38]],Spielauswertung!$B542:$E542,0))+AY553)</f>
        <v>100</v>
      </c>
      <c r="AZ554" s="1">
        <f>IF(IFERROR(MATCH(Tabelle11[[#Headers],[Spalte39]],Spielauswertung!$B542:$E542,0),0)=0,AZ553,INDEX(Spielauswertung!$AB542:$AE542,MATCH(Tabelle11[[#Headers],[Spalte39]],Spielauswertung!$B542:$E542,0))+AZ553)</f>
        <v>100</v>
      </c>
      <c r="BA554" s="1">
        <f>IF(IFERROR(MATCH(Tabelle11[[#Headers],[Spalte40]],Spielauswertung!$B542:$E542,0),0)=0,BA553,INDEX(Spielauswertung!$AB542:$AE542,MATCH(Tabelle11[[#Headers],[Spalte40]],Spielauswertung!$B542:$E542,0))+BA553)</f>
        <v>100</v>
      </c>
      <c r="BB554" s="1">
        <f>IF(IFERROR(MATCH(Tabelle11[[#Headers],[Spalte41]],Spielauswertung!$B542:$E542,0),0)=0,BB553,INDEX(Spielauswertung!$AB542:$AE542,MATCH(Tabelle11[[#Headers],[Spalte41]],Spielauswertung!$B542:$E542,0))+BB553)</f>
        <v>100</v>
      </c>
      <c r="BC554" s="1">
        <f>IF(IFERROR(MATCH(Tabelle11[[#Headers],[Spalte42]],Spielauswertung!$B542:$E542,0),0)=0,BC553,INDEX(Spielauswertung!$AB542:$AE542,MATCH(Tabelle11[[#Headers],[Spalte42]],Spielauswertung!$B542:$E542,0))+BC553)</f>
        <v>100</v>
      </c>
      <c r="BD554" s="1">
        <f>IF(IFERROR(MATCH(Tabelle11[[#Headers],[Spalte43]],Spielauswertung!$B542:$E542,0),0)=0,BD553,INDEX(Spielauswertung!$AB542:$AE542,MATCH(Tabelle11[[#Headers],[Spalte43]],Spielauswertung!$B542:$E542,0))+BD553)</f>
        <v>100</v>
      </c>
      <c r="BE554" s="1">
        <f>IF(IFERROR(MATCH(Tabelle11[[#Headers],[Spalte44]],Spielauswertung!$B542:$E542,0),0)=0,BE553,INDEX(Spielauswertung!$AB542:$AE542,MATCH(Tabelle11[[#Headers],[Spalte44]],Spielauswertung!$B542:$E542,0))+BE553)</f>
        <v>100</v>
      </c>
      <c r="BF554" s="1">
        <f>IF(IFERROR(MATCH(Tabelle11[[#Headers],[Spalte45]],Spielauswertung!$B542:$E542,0),0)=0,BF553,INDEX(Spielauswertung!$AB542:$AE542,MATCH(Tabelle11[[#Headers],[Spalte45]],Spielauswertung!$B542:$E542,0))+BF553)</f>
        <v>100</v>
      </c>
      <c r="BG554" s="1">
        <f>IF(IFERROR(MATCH(Tabelle11[[#Headers],[Spalte46]],Spielauswertung!$B542:$E542,0),0)=0,BG553,INDEX(Spielauswertung!$AB542:$AE542,MATCH(Tabelle11[[#Headers],[Spalte46]],Spielauswertung!$B542:$E542,0))+BG553)</f>
        <v>100</v>
      </c>
      <c r="BH554" s="1">
        <f>IF(IFERROR(MATCH(Tabelle11[[#Headers],[Spalte47]],Spielauswertung!$B542:$E542,0),0)=0,BH553,INDEX(Spielauswertung!$AB542:$AE542,MATCH(Tabelle11[[#Headers],[Spalte47]],Spielauswertung!$B542:$E542,0))+BH553)</f>
        <v>100</v>
      </c>
    </row>
    <row r="555" spans="1:60" x14ac:dyDescent="0.25">
      <c r="A555">
        <f t="shared" si="9"/>
        <v>542</v>
      </c>
      <c r="B555" s="1">
        <f>IF(IFERROR(MATCH(Tabelle11[[#Headers],[Aleix_V]],Spielauswertung!$B543:$E543,0),0)=0,B554,INDEX(Spielauswertung!$AB543:$AE543,MATCH(Tabelle11[[#Headers],[Aleix_V]],Spielauswertung!$B543:$E543,0))+B554)</f>
        <v>102.47318019444646</v>
      </c>
      <c r="C555" s="1">
        <f>IF(IFERROR(MATCH(Tabelle11[[#Headers],[Andres_H]],Spielauswertung!$B543:$E543,0),0)=0,C554,INDEX(Spielauswertung!$AB543:$AE543,MATCH(Tabelle11[[#Headers],[Andres_H]],Spielauswertung!$B543:$E543,0))+C554)</f>
        <v>95.535732339111306</v>
      </c>
      <c r="D555" s="1">
        <f>IF(IFERROR(MATCH(Tabelle11[[#Headers],[Anton_K]],Spielauswertung!$B543:$E543,0),0)=0,D554,INDEX(Spielauswertung!$AB543:$AE543,MATCH(Tabelle11[[#Headers],[Anton_K]],Spielauswertung!$B543:$E543,0))+D554)</f>
        <v>99.287728777054667</v>
      </c>
      <c r="E555" s="1">
        <f>IF(IFERROR(MATCH(Tabelle11[[#Headers],[Bastian_G]],Spielauswertung!$B543:$E543,0),0)=0,E554,INDEX(Spielauswertung!$AB543:$AE543,MATCH(Tabelle11[[#Headers],[Bastian_G]],Spielauswertung!$B543:$E543,0))+E554)</f>
        <v>117.49978695184252</v>
      </c>
      <c r="F555" s="1">
        <f>IF(IFERROR(MATCH(Tabelle11[[#Headers],[Ben_S]],Spielauswertung!$B543:$E543,0),0)=0,F554,INDEX(Spielauswertung!$AB543:$AE543,MATCH(Tabelle11[[#Headers],[Ben_S]],Spielauswertung!$B543:$E543,0))+F554)</f>
        <v>95.932799101521084</v>
      </c>
      <c r="G555" s="1">
        <f>IF(IFERROR(MATCH(Tabelle11[[#Headers],[Benedikt_K]],Spielauswertung!$B543:$E543,0),0)=0,G554,INDEX(Spielauswertung!$AB543:$AE543,MATCH(Tabelle11[[#Headers],[Benedikt_K]],Spielauswertung!$B543:$E543,0))+G554)</f>
        <v>101.20264176422626</v>
      </c>
      <c r="H555" s="1">
        <f>IF(IFERROR(MATCH(Tabelle11[[#Headers],[Benedikt_R]],Spielauswertung!$B543:$E543,0),0)=0,H554,INDEX(Spielauswertung!$AB543:$AE543,MATCH(Tabelle11[[#Headers],[Benedikt_R]],Spielauswertung!$B543:$E543,0))+H554)</f>
        <v>102.6264770510757</v>
      </c>
      <c r="I555" s="1">
        <f>IF(IFERROR(MATCH(Tabelle11[[#Headers],[Carsten_H]],Spielauswertung!$B543:$E543,0),0)=0,I554,INDEX(Spielauswertung!$AB543:$AE543,MATCH(Tabelle11[[#Headers],[Carsten_H]],Spielauswertung!$B543:$E543,0))+I554)</f>
        <v>90.817185094326874</v>
      </c>
      <c r="J555" s="1">
        <f>IF(IFERROR(MATCH(Tabelle11[[#Headers],[Christoph_R]],Spielauswertung!$B543:$E543,0),0)=0,J554,INDEX(Spielauswertung!$AB543:$AE543,MATCH(Tabelle11[[#Headers],[Christoph_R]],Spielauswertung!$B543:$E543,0))+J554)</f>
        <v>109.73261611443155</v>
      </c>
      <c r="K555" s="1">
        <f>IF(IFERROR(MATCH(Tabelle11[[#Headers],[Claudius_J]],Spielauswertung!$B543:$E543,0),0)=0,K554,INDEX(Spielauswertung!$AB543:$AE543,MATCH(Tabelle11[[#Headers],[Claudius_J]],Spielauswertung!$B543:$E543,0))+K554)</f>
        <v>106.16590636000029</v>
      </c>
      <c r="L555" s="1">
        <f>IF(IFERROR(MATCH(Tabelle11[[#Headers],[Daniel_D]],Spielauswertung!$B543:$E543,0),0)=0,L554,INDEX(Spielauswertung!$AB543:$AE543,MATCH(Tabelle11[[#Headers],[Daniel_D]],Spielauswertung!$B543:$E543,0))+L554)</f>
        <v>99.990299180470089</v>
      </c>
      <c r="M555" s="1">
        <f>IF(IFERROR(MATCH(Tabelle11[[#Headers],[David_R]],Spielauswertung!$B543:$E543,0),0)=0,M554,INDEX(Spielauswertung!$AB543:$AE543,MATCH(Tabelle11[[#Headers],[David_R]],Spielauswertung!$B543:$E543,0))+M554)</f>
        <v>96.715943522481638</v>
      </c>
      <c r="N555" s="1">
        <f>IF(IFERROR(MATCH(Tabelle11[[#Headers],[Dennis_P]],Spielauswertung!$B543:$E543,0),0)=0,N554,INDEX(Spielauswertung!$AB543:$AE543,MATCH(Tabelle11[[#Headers],[Dennis_P]],Spielauswertung!$B543:$E543,0))+N554)</f>
        <v>100.04773223105254</v>
      </c>
      <c r="O555" s="1">
        <f>IF(IFERROR(MATCH(Tabelle11[[#Headers],[Dennis_R]],Spielauswertung!$B543:$E543,0),0)=0,O554,INDEX(Spielauswertung!$AB543:$AE543,MATCH(Tabelle11[[#Headers],[Dennis_R]],Spielauswertung!$B543:$E543,0))+O554)</f>
        <v>75.131680864937195</v>
      </c>
      <c r="P555" s="1">
        <f>IF(IFERROR(MATCH(Tabelle11[[#Headers],[Detlef_R]],Spielauswertung!$B543:$E543,0),0)=0,P554,INDEX(Spielauswertung!$AB543:$AE543,MATCH(Tabelle11[[#Headers],[Detlef_R]],Spielauswertung!$B543:$E543,0))+P554)</f>
        <v>87.984671797367014</v>
      </c>
      <c r="Q555" s="1">
        <f>IF(IFERROR(MATCH(Tabelle11[[#Headers],[Dmitrij_M]],Spielauswertung!$B543:$E543,0),0)=0,Q554,INDEX(Spielauswertung!$AB543:$AE543,MATCH(Tabelle11[[#Headers],[Dmitrij_M]],Spielauswertung!$B543:$E543,0))+Q554)</f>
        <v>100.69975721846207</v>
      </c>
      <c r="R555" s="1">
        <f>IF(IFERROR(MATCH(Tabelle11[[#Headers],[Fabian_M]],Spielauswertung!$B543:$E543,0),0)=0,R554,INDEX(Spielauswertung!$AB543:$AE543,MATCH(Tabelle11[[#Headers],[Fabian_M]],Spielauswertung!$B543:$E543,0))+R554)</f>
        <v>95.805387841610738</v>
      </c>
      <c r="S555" s="1">
        <f>IF(IFERROR(MATCH(Tabelle11[[#Headers],[Hannes_S]],Spielauswertung!$B543:$E543,0),0)=0,S554,INDEX(Spielauswertung!$AB543:$AE543,MATCH(Tabelle11[[#Headers],[Hannes_S]],Spielauswertung!$B543:$E543,0))+S554)</f>
        <v>104.83899184012799</v>
      </c>
      <c r="T555" s="1">
        <f>IF(IFERROR(MATCH(Tabelle11[[#Headers],[Jan_B]],Spielauswertung!$B543:$E543,0),0)=0,T554,INDEX(Spielauswertung!$AB543:$AE543,MATCH(Tabelle11[[#Headers],[Jan_B]],Spielauswertung!$B543:$E543,0))+T554)</f>
        <v>100.2794420429173</v>
      </c>
      <c r="U555" s="1">
        <f>IF(IFERROR(MATCH(Tabelle11[[#Headers],[Jan_Hendrik_B]],Spielauswertung!$B543:$E543,0),0)=0,U554,INDEX(Spielauswertung!$AB543:$AE543,MATCH(Tabelle11[[#Headers],[Jan_Hendrik_B]],Spielauswertung!$B543:$E543,0))+U554)</f>
        <v>100.75492416935522</v>
      </c>
      <c r="V555" s="1">
        <f>IF(IFERROR(MATCH(Tabelle11[[#Headers],[Jens_N]],Spielauswertung!$B543:$E543,0),0)=0,V554,INDEX(Spielauswertung!$AB543:$AE543,MATCH(Tabelle11[[#Headers],[Jens_N]],Spielauswertung!$B543:$E543,0))+V554)</f>
        <v>99.643534710196832</v>
      </c>
      <c r="W555" s="1">
        <f>IF(IFERROR(MATCH(Tabelle11[[#Headers],[Johannes_S]],Spielauswertung!$B543:$E543,0),0)=0,W554,INDEX(Spielauswertung!$AB543:$AE543,MATCH(Tabelle11[[#Headers],[Johannes_S]],Spielauswertung!$B543:$E543,0))+W554)</f>
        <v>102.20284750979505</v>
      </c>
      <c r="X555" s="1">
        <f>IF(IFERROR(MATCH(Tabelle11[[#Headers],[Jonathan_F]],Spielauswertung!$B543:$E543,0),0)=0,X554,INDEX(Spielauswertung!$AB543:$AE543,MATCH(Tabelle11[[#Headers],[Jonathan_F]],Spielauswertung!$B543:$E543,0))+X554)</f>
        <v>98.938308797866256</v>
      </c>
      <c r="Y555" s="1">
        <f>IF(IFERROR(MATCH(Tabelle11[[#Headers],[Julius_P]],Spielauswertung!$B543:$E543,0),0)=0,Y554,INDEX(Spielauswertung!$AB543:$AE543,MATCH(Tabelle11[[#Headers],[Julius_P]],Spielauswertung!$B543:$E543,0))+Y554)</f>
        <v>96.540305101873642</v>
      </c>
      <c r="Z555" s="1">
        <f>IF(IFERROR(MATCH(Tabelle11[[#Headers],[Louis_W]],Spielauswertung!$B543:$E543,0),0)=0,Z554,INDEX(Spielauswertung!$AB543:$AE543,MATCH(Tabelle11[[#Headers],[Louis_W]],Spielauswertung!$B543:$E543,0))+Z554)</f>
        <v>87.497452285475362</v>
      </c>
      <c r="AA555" s="1">
        <f>IF(IFERROR(MATCH(Tabelle11[[#Headers],[Lukas_L]],Spielauswertung!$B543:$E543,0),0)=0,AA554,INDEX(Spielauswertung!$AB543:$AE543,MATCH(Tabelle11[[#Headers],[Lukas_L]],Spielauswertung!$B543:$E543,0))+AA554)</f>
        <v>98.447931341404143</v>
      </c>
      <c r="AB555" s="1">
        <f>IF(IFERROR(MATCH(Tabelle11[[#Headers],[Marcin_S]],Spielauswertung!$B543:$E543,0),0)=0,AB554,INDEX(Spielauswertung!$AB543:$AE543,MATCH(Tabelle11[[#Headers],[Marcin_S]],Spielauswertung!$B543:$E543,0))+AB554)</f>
        <v>85.463329105556824</v>
      </c>
      <c r="AC555" s="1">
        <f>IF(IFERROR(MATCH(Tabelle11[[#Headers],[Marco_K]],Spielauswertung!$B543:$E543,0),0)=0,AC554,INDEX(Spielauswertung!$AB543:$AE543,MATCH(Tabelle11[[#Headers],[Marco_K]],Spielauswertung!$B543:$E543,0))+AC554)</f>
        <v>102.12169819441469</v>
      </c>
      <c r="AD555" s="1">
        <f>IF(IFERROR(MATCH(Tabelle11[[#Headers],[Marius_M]],Spielauswertung!$B543:$E543,0),0)=0,AD554,INDEX(Spielauswertung!$AB543:$AE543,MATCH(Tabelle11[[#Headers],[Marius_M]],Spielauswertung!$B543:$E543,0))+AD554)</f>
        <v>124.54012374585781</v>
      </c>
      <c r="AE555" s="1">
        <f>IF(IFERROR(MATCH(Tabelle11[[#Headers],[Marvin_W]],Spielauswertung!$B543:$E543,0),0)=0,AE554,INDEX(Spielauswertung!$AB543:$AE543,MATCH(Tabelle11[[#Headers],[Marvin_W]],Spielauswertung!$B543:$E543,0))+AE554)</f>
        <v>96.700266280577438</v>
      </c>
      <c r="AF555" s="1">
        <f>IF(IFERROR(MATCH(Tabelle11[[#Headers],[Matthias_H]],Spielauswertung!$B543:$E543,0),0)=0,AF554,INDEX(Spielauswertung!$AB543:$AE543,MATCH(Tabelle11[[#Headers],[Matthias_H]],Spielauswertung!$B543:$E543,0))+AF554)</f>
        <v>105.42130178599372</v>
      </c>
      <c r="AG555" s="1">
        <f>IF(IFERROR(MATCH(Tabelle11[[#Headers],[Michael_D]],Spielauswertung!$B543:$E543,0),0)=0,AG554,INDEX(Spielauswertung!$AB543:$AE543,MATCH(Tabelle11[[#Headers],[Michael_D]],Spielauswertung!$B543:$E543,0))+AG554)</f>
        <v>96.436276170375336</v>
      </c>
      <c r="AH555" s="1">
        <f>IF(IFERROR(MATCH(Tabelle11[[#Headers],[Patrick_S]],Spielauswertung!$B543:$E543,0),0)=0,AH554,INDEX(Spielauswertung!$AB543:$AE543,MATCH(Tabelle11[[#Headers],[Patrick_S]],Spielauswertung!$B543:$E543,0))+AH554)</f>
        <v>98.975330692053802</v>
      </c>
      <c r="AI555" s="1">
        <f>IF(IFERROR(MATCH(Tabelle11[[#Headers],[Rano_M]],Spielauswertung!$B543:$E543,0),0)=0,AI554,INDEX(Spielauswertung!$AB543:$AE543,MATCH(Tabelle11[[#Headers],[Rano_M]],Spielauswertung!$B543:$E543,0))+AI554)</f>
        <v>109.38890657420265</v>
      </c>
      <c r="AJ555" s="1">
        <f>IF(IFERROR(MATCH(Tabelle11[[#Headers],[Rene_N]],Spielauswertung!$B543:$E543,0),0)=0,AJ554,INDEX(Spielauswertung!$AB543:$AE543,MATCH(Tabelle11[[#Headers],[Rene_N]],Spielauswertung!$B543:$E543,0))+AJ554)</f>
        <v>101.06482124619033</v>
      </c>
      <c r="AK555" s="1">
        <f>IF(IFERROR(MATCH(Tabelle11[[#Headers],[Rene_P]],Spielauswertung!$B543:$E543,0),0)=0,AK554,INDEX(Spielauswertung!$AB543:$AE543,MATCH(Tabelle11[[#Headers],[Rene_P]],Spielauswertung!$B543:$E543,0))+AK554)</f>
        <v>88.762543186332877</v>
      </c>
      <c r="AL555" s="1">
        <f>IF(IFERROR(MATCH(Tabelle11[[#Headers],[Richard_D]],Spielauswertung!$B543:$E543,0),0)=0,AL554,INDEX(Spielauswertung!$AB543:$AE543,MATCH(Tabelle11[[#Headers],[Richard_D]],Spielauswertung!$B543:$E543,0))+AL554)</f>
        <v>107.23233592026223</v>
      </c>
      <c r="AM555" s="1">
        <f>IF(IFERROR(MATCH(Tabelle11[[#Headers],[Rodrigo_R]],Spielauswertung!$B543:$E543,0),0)=0,AM554,INDEX(Spielauswertung!$AB543:$AE543,MATCH(Tabelle11[[#Headers],[Rodrigo_R]],Spielauswertung!$B543:$E543,0))+AM554)</f>
        <v>116.7028707921346</v>
      </c>
      <c r="AN555" s="1">
        <f>IF(IFERROR(MATCH(Tabelle11[[#Headers],[Sebastian_A]],Spielauswertung!$B543:$E543,0),0)=0,AN554,INDEX(Spielauswertung!$AB543:$AE543,MATCH(Tabelle11[[#Headers],[Sebastian_A]],Spielauswertung!$B543:$E543,0))+AN554)</f>
        <v>102.89457418671324</v>
      </c>
      <c r="AO555" s="1">
        <f>IF(IFERROR(MATCH(Tabelle11[[#Headers],[Sebastian_St]],Spielauswertung!$B543:$E543,0),0)=0,AO554,INDEX(Spielauswertung!$AB543:$AE543,MATCH(Tabelle11[[#Headers],[Sebastian_St]],Spielauswertung!$B543:$E543,0))+AO554)</f>
        <v>97.749574367408982</v>
      </c>
      <c r="AP555" s="1">
        <f>IF(IFERROR(MATCH(Tabelle11[[#Headers],[Simon_U]],Spielauswertung!$B543:$E543,0),0)=0,AP554,INDEX(Spielauswertung!$AB543:$AE543,MATCH(Tabelle11[[#Headers],[Simon_U]],Spielauswertung!$B543:$E543,0))+AP554)</f>
        <v>99.623054841470903</v>
      </c>
      <c r="AQ555" s="1">
        <f>IF(IFERROR(MATCH(Tabelle11[[#Headers],[Steffen_R]],Spielauswertung!$B543:$E543,0),0)=0,AQ554,INDEX(Spielauswertung!$AB543:$AE543,MATCH(Tabelle11[[#Headers],[Steffen_R]],Spielauswertung!$B543:$E543,0))+AQ554)</f>
        <v>93.247497067190949</v>
      </c>
      <c r="AR555" s="1">
        <f>IF(IFERROR(MATCH(Tabelle11[[#Headers],[Tim_R]],Spielauswertung!$B543:$E543,0),0)=0,AR554,INDEX(Spielauswertung!$AB543:$AE543,MATCH(Tabelle11[[#Headers],[Tim_R]],Spielauswertung!$B543:$E543,0))+AR554)</f>
        <v>103.07503787023374</v>
      </c>
      <c r="AS555" s="1">
        <f>IF(IFERROR(MATCH(Tabelle11[[#Headers],[Tobias_S]],Spielauswertung!$B543:$E543,0),0)=0,AS554,INDEX(Spielauswertung!$AB543:$AE543,MATCH(Tabelle11[[#Headers],[Tobias_S]],Spielauswertung!$B543:$E543,0))+AS554)</f>
        <v>98.6003422659997</v>
      </c>
      <c r="AT555" s="1">
        <f>IF(IFERROR(MATCH(Tabelle11[[#Headers],[Tom_R]],Spielauswertung!$B543:$E543,0),0)=0,AT554,INDEX(Spielauswertung!$AB543:$AE543,MATCH(Tabelle11[[#Headers],[Tom_R]],Spielauswertung!$B543:$E543,0))+AT554)</f>
        <v>112.62344492949197</v>
      </c>
      <c r="AU555" s="1">
        <f>IF(IFERROR(MATCH(Tabelle11[[#Headers],[Ton_L]],Spielauswertung!$B543:$E543,0),0)=0,AU554,INDEX(Spielauswertung!$AB543:$AE543,MATCH(Tabelle11[[#Headers],[Ton_L]],Spielauswertung!$B543:$E543,0))+AU554)</f>
        <v>92.683083360025861</v>
      </c>
      <c r="AV555" s="1">
        <f>IF(IFERROR(MATCH(Tabelle11[[#Headers],[Yixin_G]],Spielauswertung!$B543:$E543,0),0)=0,AV554,INDEX(Spielauswertung!$AB543:$AE543,MATCH(Tabelle11[[#Headers],[Yixin_G]],Spielauswertung!$B543:$E543,0))+AV554)</f>
        <v>99.900323214082661</v>
      </c>
      <c r="AW555" s="1">
        <f>IF(IFERROR(MATCH(Tabelle11[[#Headers],[Spalte36]],Spielauswertung!$B543:$E543,0),0)=0,AW554,INDEX(Spielauswertung!$AB543:$AE543,MATCH(Tabelle11[[#Headers],[Spalte36]],Spielauswertung!$B543:$E543,0))+AW554)</f>
        <v>100</v>
      </c>
      <c r="AX555" s="1">
        <f>IF(IFERROR(MATCH(Tabelle11[[#Headers],[Spalte37]],Spielauswertung!$B543:$E543,0),0)=0,AX554,INDEX(Spielauswertung!$AB543:$AE543,MATCH(Tabelle11[[#Headers],[Spalte37]],Spielauswertung!$B543:$E543,0))+AX554)</f>
        <v>100</v>
      </c>
      <c r="AY555" s="1">
        <f>IF(IFERROR(MATCH(Tabelle11[[#Headers],[Spalte38]],Spielauswertung!$B543:$E543,0),0)=0,AY554,INDEX(Spielauswertung!$AB543:$AE543,MATCH(Tabelle11[[#Headers],[Spalte38]],Spielauswertung!$B543:$E543,0))+AY554)</f>
        <v>100</v>
      </c>
      <c r="AZ555" s="1">
        <f>IF(IFERROR(MATCH(Tabelle11[[#Headers],[Spalte39]],Spielauswertung!$B543:$E543,0),0)=0,AZ554,INDEX(Spielauswertung!$AB543:$AE543,MATCH(Tabelle11[[#Headers],[Spalte39]],Spielauswertung!$B543:$E543,0))+AZ554)</f>
        <v>100</v>
      </c>
      <c r="BA555" s="1">
        <f>IF(IFERROR(MATCH(Tabelle11[[#Headers],[Spalte40]],Spielauswertung!$B543:$E543,0),0)=0,BA554,INDEX(Spielauswertung!$AB543:$AE543,MATCH(Tabelle11[[#Headers],[Spalte40]],Spielauswertung!$B543:$E543,0))+BA554)</f>
        <v>100</v>
      </c>
      <c r="BB555" s="1">
        <f>IF(IFERROR(MATCH(Tabelle11[[#Headers],[Spalte41]],Spielauswertung!$B543:$E543,0),0)=0,BB554,INDEX(Spielauswertung!$AB543:$AE543,MATCH(Tabelle11[[#Headers],[Spalte41]],Spielauswertung!$B543:$E543,0))+BB554)</f>
        <v>100</v>
      </c>
      <c r="BC555" s="1">
        <f>IF(IFERROR(MATCH(Tabelle11[[#Headers],[Spalte42]],Spielauswertung!$B543:$E543,0),0)=0,BC554,INDEX(Spielauswertung!$AB543:$AE543,MATCH(Tabelle11[[#Headers],[Spalte42]],Spielauswertung!$B543:$E543,0))+BC554)</f>
        <v>100</v>
      </c>
      <c r="BD555" s="1">
        <f>IF(IFERROR(MATCH(Tabelle11[[#Headers],[Spalte43]],Spielauswertung!$B543:$E543,0),0)=0,BD554,INDEX(Spielauswertung!$AB543:$AE543,MATCH(Tabelle11[[#Headers],[Spalte43]],Spielauswertung!$B543:$E543,0))+BD554)</f>
        <v>100</v>
      </c>
      <c r="BE555" s="1">
        <f>IF(IFERROR(MATCH(Tabelle11[[#Headers],[Spalte44]],Spielauswertung!$B543:$E543,0),0)=0,BE554,INDEX(Spielauswertung!$AB543:$AE543,MATCH(Tabelle11[[#Headers],[Spalte44]],Spielauswertung!$B543:$E543,0))+BE554)</f>
        <v>100</v>
      </c>
      <c r="BF555" s="1">
        <f>IF(IFERROR(MATCH(Tabelle11[[#Headers],[Spalte45]],Spielauswertung!$B543:$E543,0),0)=0,BF554,INDEX(Spielauswertung!$AB543:$AE543,MATCH(Tabelle11[[#Headers],[Spalte45]],Spielauswertung!$B543:$E543,0))+BF554)</f>
        <v>100</v>
      </c>
      <c r="BG555" s="1">
        <f>IF(IFERROR(MATCH(Tabelle11[[#Headers],[Spalte46]],Spielauswertung!$B543:$E543,0),0)=0,BG554,INDEX(Spielauswertung!$AB543:$AE543,MATCH(Tabelle11[[#Headers],[Spalte46]],Spielauswertung!$B543:$E543,0))+BG554)</f>
        <v>100</v>
      </c>
      <c r="BH555" s="1">
        <f>IF(IFERROR(MATCH(Tabelle11[[#Headers],[Spalte47]],Spielauswertung!$B543:$E543,0),0)=0,BH554,INDEX(Spielauswertung!$AB543:$AE543,MATCH(Tabelle11[[#Headers],[Spalte47]],Spielauswertung!$B543:$E543,0))+BH554)</f>
        <v>100</v>
      </c>
    </row>
    <row r="556" spans="1:60" x14ac:dyDescent="0.25">
      <c r="A556">
        <f t="shared" si="9"/>
        <v>543</v>
      </c>
      <c r="B556" s="1">
        <f>IF(IFERROR(MATCH(Tabelle11[[#Headers],[Aleix_V]],Spielauswertung!$B544:$E544,0),0)=0,B555,INDEX(Spielauswertung!$AB544:$AE544,MATCH(Tabelle11[[#Headers],[Aleix_V]],Spielauswertung!$B544:$E544,0))+B555)</f>
        <v>102.47318019444646</v>
      </c>
      <c r="C556" s="1">
        <f>IF(IFERROR(MATCH(Tabelle11[[#Headers],[Andres_H]],Spielauswertung!$B544:$E544,0),0)=0,C555,INDEX(Spielauswertung!$AB544:$AE544,MATCH(Tabelle11[[#Headers],[Andres_H]],Spielauswertung!$B544:$E544,0))+C555)</f>
        <v>95.535732339111306</v>
      </c>
      <c r="D556" s="1">
        <f>IF(IFERROR(MATCH(Tabelle11[[#Headers],[Anton_K]],Spielauswertung!$B544:$E544,0),0)=0,D555,INDEX(Spielauswertung!$AB544:$AE544,MATCH(Tabelle11[[#Headers],[Anton_K]],Spielauswertung!$B544:$E544,0))+D555)</f>
        <v>99.287728777054667</v>
      </c>
      <c r="E556" s="1">
        <f>IF(IFERROR(MATCH(Tabelle11[[#Headers],[Bastian_G]],Spielauswertung!$B544:$E544,0),0)=0,E555,INDEX(Spielauswertung!$AB544:$AE544,MATCH(Tabelle11[[#Headers],[Bastian_G]],Spielauswertung!$B544:$E544,0))+E555)</f>
        <v>117.49978695184252</v>
      </c>
      <c r="F556" s="1">
        <f>IF(IFERROR(MATCH(Tabelle11[[#Headers],[Ben_S]],Spielauswertung!$B544:$E544,0),0)=0,F555,INDEX(Spielauswertung!$AB544:$AE544,MATCH(Tabelle11[[#Headers],[Ben_S]],Spielauswertung!$B544:$E544,0))+F555)</f>
        <v>95.932799101521084</v>
      </c>
      <c r="G556" s="1">
        <f>IF(IFERROR(MATCH(Tabelle11[[#Headers],[Benedikt_K]],Spielauswertung!$B544:$E544,0),0)=0,G555,INDEX(Spielauswertung!$AB544:$AE544,MATCH(Tabelle11[[#Headers],[Benedikt_K]],Spielauswertung!$B544:$E544,0))+G555)</f>
        <v>101.20264176422626</v>
      </c>
      <c r="H556" s="1">
        <f>IF(IFERROR(MATCH(Tabelle11[[#Headers],[Benedikt_R]],Spielauswertung!$B544:$E544,0),0)=0,H555,INDEX(Spielauswertung!$AB544:$AE544,MATCH(Tabelle11[[#Headers],[Benedikt_R]],Spielauswertung!$B544:$E544,0))+H555)</f>
        <v>102.6264770510757</v>
      </c>
      <c r="I556" s="1">
        <f>IF(IFERROR(MATCH(Tabelle11[[#Headers],[Carsten_H]],Spielauswertung!$B544:$E544,0),0)=0,I555,INDEX(Spielauswertung!$AB544:$AE544,MATCH(Tabelle11[[#Headers],[Carsten_H]],Spielauswertung!$B544:$E544,0))+I555)</f>
        <v>90.817185094326874</v>
      </c>
      <c r="J556" s="1">
        <f>IF(IFERROR(MATCH(Tabelle11[[#Headers],[Christoph_R]],Spielauswertung!$B544:$E544,0),0)=0,J555,INDEX(Spielauswertung!$AB544:$AE544,MATCH(Tabelle11[[#Headers],[Christoph_R]],Spielauswertung!$B544:$E544,0))+J555)</f>
        <v>109.73261611443155</v>
      </c>
      <c r="K556" s="1">
        <f>IF(IFERROR(MATCH(Tabelle11[[#Headers],[Claudius_J]],Spielauswertung!$B544:$E544,0),0)=0,K555,INDEX(Spielauswertung!$AB544:$AE544,MATCH(Tabelle11[[#Headers],[Claudius_J]],Spielauswertung!$B544:$E544,0))+K555)</f>
        <v>106.16590636000029</v>
      </c>
      <c r="L556" s="1">
        <f>IF(IFERROR(MATCH(Tabelle11[[#Headers],[Daniel_D]],Spielauswertung!$B544:$E544,0),0)=0,L555,INDEX(Spielauswertung!$AB544:$AE544,MATCH(Tabelle11[[#Headers],[Daniel_D]],Spielauswertung!$B544:$E544,0))+L555)</f>
        <v>99.990299180470089</v>
      </c>
      <c r="M556" s="1">
        <f>IF(IFERROR(MATCH(Tabelle11[[#Headers],[David_R]],Spielauswertung!$B544:$E544,0),0)=0,M555,INDEX(Spielauswertung!$AB544:$AE544,MATCH(Tabelle11[[#Headers],[David_R]],Spielauswertung!$B544:$E544,0))+M555)</f>
        <v>96.715943522481638</v>
      </c>
      <c r="N556" s="1">
        <f>IF(IFERROR(MATCH(Tabelle11[[#Headers],[Dennis_P]],Spielauswertung!$B544:$E544,0),0)=0,N555,INDEX(Spielauswertung!$AB544:$AE544,MATCH(Tabelle11[[#Headers],[Dennis_P]],Spielauswertung!$B544:$E544,0))+N555)</f>
        <v>100.04773223105254</v>
      </c>
      <c r="O556" s="1">
        <f>IF(IFERROR(MATCH(Tabelle11[[#Headers],[Dennis_R]],Spielauswertung!$B544:$E544,0),0)=0,O555,INDEX(Spielauswertung!$AB544:$AE544,MATCH(Tabelle11[[#Headers],[Dennis_R]],Spielauswertung!$B544:$E544,0))+O555)</f>
        <v>75.131680864937195</v>
      </c>
      <c r="P556" s="1">
        <f>IF(IFERROR(MATCH(Tabelle11[[#Headers],[Detlef_R]],Spielauswertung!$B544:$E544,0),0)=0,P555,INDEX(Spielauswertung!$AB544:$AE544,MATCH(Tabelle11[[#Headers],[Detlef_R]],Spielauswertung!$B544:$E544,0))+P555)</f>
        <v>87.984671797367014</v>
      </c>
      <c r="Q556" s="1">
        <f>IF(IFERROR(MATCH(Tabelle11[[#Headers],[Dmitrij_M]],Spielauswertung!$B544:$E544,0),0)=0,Q555,INDEX(Spielauswertung!$AB544:$AE544,MATCH(Tabelle11[[#Headers],[Dmitrij_M]],Spielauswertung!$B544:$E544,0))+Q555)</f>
        <v>100.69975721846207</v>
      </c>
      <c r="R556" s="1">
        <f>IF(IFERROR(MATCH(Tabelle11[[#Headers],[Fabian_M]],Spielauswertung!$B544:$E544,0),0)=0,R555,INDEX(Spielauswertung!$AB544:$AE544,MATCH(Tabelle11[[#Headers],[Fabian_M]],Spielauswertung!$B544:$E544,0))+R555)</f>
        <v>95.805387841610738</v>
      </c>
      <c r="S556" s="1">
        <f>IF(IFERROR(MATCH(Tabelle11[[#Headers],[Hannes_S]],Spielauswertung!$B544:$E544,0),0)=0,S555,INDEX(Spielauswertung!$AB544:$AE544,MATCH(Tabelle11[[#Headers],[Hannes_S]],Spielauswertung!$B544:$E544,0))+S555)</f>
        <v>104.83899184012799</v>
      </c>
      <c r="T556" s="1">
        <f>IF(IFERROR(MATCH(Tabelle11[[#Headers],[Jan_B]],Spielauswertung!$B544:$E544,0),0)=0,T555,INDEX(Spielauswertung!$AB544:$AE544,MATCH(Tabelle11[[#Headers],[Jan_B]],Spielauswertung!$B544:$E544,0))+T555)</f>
        <v>100.2794420429173</v>
      </c>
      <c r="U556" s="1">
        <f>IF(IFERROR(MATCH(Tabelle11[[#Headers],[Jan_Hendrik_B]],Spielauswertung!$B544:$E544,0),0)=0,U555,INDEX(Spielauswertung!$AB544:$AE544,MATCH(Tabelle11[[#Headers],[Jan_Hendrik_B]],Spielauswertung!$B544:$E544,0))+U555)</f>
        <v>100.75492416935522</v>
      </c>
      <c r="V556" s="1">
        <f>IF(IFERROR(MATCH(Tabelle11[[#Headers],[Jens_N]],Spielauswertung!$B544:$E544,0),0)=0,V555,INDEX(Spielauswertung!$AB544:$AE544,MATCH(Tabelle11[[#Headers],[Jens_N]],Spielauswertung!$B544:$E544,0))+V555)</f>
        <v>99.643534710196832</v>
      </c>
      <c r="W556" s="1">
        <f>IF(IFERROR(MATCH(Tabelle11[[#Headers],[Johannes_S]],Spielauswertung!$B544:$E544,0),0)=0,W555,INDEX(Spielauswertung!$AB544:$AE544,MATCH(Tabelle11[[#Headers],[Johannes_S]],Spielauswertung!$B544:$E544,0))+W555)</f>
        <v>102.20284750979505</v>
      </c>
      <c r="X556" s="1">
        <f>IF(IFERROR(MATCH(Tabelle11[[#Headers],[Jonathan_F]],Spielauswertung!$B544:$E544,0),0)=0,X555,INDEX(Spielauswertung!$AB544:$AE544,MATCH(Tabelle11[[#Headers],[Jonathan_F]],Spielauswertung!$B544:$E544,0))+X555)</f>
        <v>98.938308797866256</v>
      </c>
      <c r="Y556" s="1">
        <f>IF(IFERROR(MATCH(Tabelle11[[#Headers],[Julius_P]],Spielauswertung!$B544:$E544,0),0)=0,Y555,INDEX(Spielauswertung!$AB544:$AE544,MATCH(Tabelle11[[#Headers],[Julius_P]],Spielauswertung!$B544:$E544,0))+Y555)</f>
        <v>96.540305101873642</v>
      </c>
      <c r="Z556" s="1">
        <f>IF(IFERROR(MATCH(Tabelle11[[#Headers],[Louis_W]],Spielauswertung!$B544:$E544,0),0)=0,Z555,INDEX(Spielauswertung!$AB544:$AE544,MATCH(Tabelle11[[#Headers],[Louis_W]],Spielauswertung!$B544:$E544,0))+Z555)</f>
        <v>87.497452285475362</v>
      </c>
      <c r="AA556" s="1">
        <f>IF(IFERROR(MATCH(Tabelle11[[#Headers],[Lukas_L]],Spielauswertung!$B544:$E544,0),0)=0,AA555,INDEX(Spielauswertung!$AB544:$AE544,MATCH(Tabelle11[[#Headers],[Lukas_L]],Spielauswertung!$B544:$E544,0))+AA555)</f>
        <v>98.447931341404143</v>
      </c>
      <c r="AB556" s="1">
        <f>IF(IFERROR(MATCH(Tabelle11[[#Headers],[Marcin_S]],Spielauswertung!$B544:$E544,0),0)=0,AB555,INDEX(Spielauswertung!$AB544:$AE544,MATCH(Tabelle11[[#Headers],[Marcin_S]],Spielauswertung!$B544:$E544,0))+AB555)</f>
        <v>85.463329105556824</v>
      </c>
      <c r="AC556" s="1">
        <f>IF(IFERROR(MATCH(Tabelle11[[#Headers],[Marco_K]],Spielauswertung!$B544:$E544,0),0)=0,AC555,INDEX(Spielauswertung!$AB544:$AE544,MATCH(Tabelle11[[#Headers],[Marco_K]],Spielauswertung!$B544:$E544,0))+AC555)</f>
        <v>102.12169819441469</v>
      </c>
      <c r="AD556" s="1">
        <f>IF(IFERROR(MATCH(Tabelle11[[#Headers],[Marius_M]],Spielauswertung!$B544:$E544,0),0)=0,AD555,INDEX(Spielauswertung!$AB544:$AE544,MATCH(Tabelle11[[#Headers],[Marius_M]],Spielauswertung!$B544:$E544,0))+AD555)</f>
        <v>124.54012374585781</v>
      </c>
      <c r="AE556" s="1">
        <f>IF(IFERROR(MATCH(Tabelle11[[#Headers],[Marvin_W]],Spielauswertung!$B544:$E544,0),0)=0,AE555,INDEX(Spielauswertung!$AB544:$AE544,MATCH(Tabelle11[[#Headers],[Marvin_W]],Spielauswertung!$B544:$E544,0))+AE555)</f>
        <v>96.700266280577438</v>
      </c>
      <c r="AF556" s="1">
        <f>IF(IFERROR(MATCH(Tabelle11[[#Headers],[Matthias_H]],Spielauswertung!$B544:$E544,0),0)=0,AF555,INDEX(Spielauswertung!$AB544:$AE544,MATCH(Tabelle11[[#Headers],[Matthias_H]],Spielauswertung!$B544:$E544,0))+AF555)</f>
        <v>105.42130178599372</v>
      </c>
      <c r="AG556" s="1">
        <f>IF(IFERROR(MATCH(Tabelle11[[#Headers],[Michael_D]],Spielauswertung!$B544:$E544,0),0)=0,AG555,INDEX(Spielauswertung!$AB544:$AE544,MATCH(Tabelle11[[#Headers],[Michael_D]],Spielauswertung!$B544:$E544,0))+AG555)</f>
        <v>96.436276170375336</v>
      </c>
      <c r="AH556" s="1">
        <f>IF(IFERROR(MATCH(Tabelle11[[#Headers],[Patrick_S]],Spielauswertung!$B544:$E544,0),0)=0,AH555,INDEX(Spielauswertung!$AB544:$AE544,MATCH(Tabelle11[[#Headers],[Patrick_S]],Spielauswertung!$B544:$E544,0))+AH555)</f>
        <v>98.975330692053802</v>
      </c>
      <c r="AI556" s="1">
        <f>IF(IFERROR(MATCH(Tabelle11[[#Headers],[Rano_M]],Spielauswertung!$B544:$E544,0),0)=0,AI555,INDEX(Spielauswertung!$AB544:$AE544,MATCH(Tabelle11[[#Headers],[Rano_M]],Spielauswertung!$B544:$E544,0))+AI555)</f>
        <v>109.38890657420265</v>
      </c>
      <c r="AJ556" s="1">
        <f>IF(IFERROR(MATCH(Tabelle11[[#Headers],[Rene_N]],Spielauswertung!$B544:$E544,0),0)=0,AJ555,INDEX(Spielauswertung!$AB544:$AE544,MATCH(Tabelle11[[#Headers],[Rene_N]],Spielauswertung!$B544:$E544,0))+AJ555)</f>
        <v>101.06482124619033</v>
      </c>
      <c r="AK556" s="1">
        <f>IF(IFERROR(MATCH(Tabelle11[[#Headers],[Rene_P]],Spielauswertung!$B544:$E544,0),0)=0,AK555,INDEX(Spielauswertung!$AB544:$AE544,MATCH(Tabelle11[[#Headers],[Rene_P]],Spielauswertung!$B544:$E544,0))+AK555)</f>
        <v>88.762543186332877</v>
      </c>
      <c r="AL556" s="1">
        <f>IF(IFERROR(MATCH(Tabelle11[[#Headers],[Richard_D]],Spielauswertung!$B544:$E544,0),0)=0,AL555,INDEX(Spielauswertung!$AB544:$AE544,MATCH(Tabelle11[[#Headers],[Richard_D]],Spielauswertung!$B544:$E544,0))+AL555)</f>
        <v>107.23233592026223</v>
      </c>
      <c r="AM556" s="1">
        <f>IF(IFERROR(MATCH(Tabelle11[[#Headers],[Rodrigo_R]],Spielauswertung!$B544:$E544,0),0)=0,AM555,INDEX(Spielauswertung!$AB544:$AE544,MATCH(Tabelle11[[#Headers],[Rodrigo_R]],Spielauswertung!$B544:$E544,0))+AM555)</f>
        <v>116.7028707921346</v>
      </c>
      <c r="AN556" s="1">
        <f>IF(IFERROR(MATCH(Tabelle11[[#Headers],[Sebastian_A]],Spielauswertung!$B544:$E544,0),0)=0,AN555,INDEX(Spielauswertung!$AB544:$AE544,MATCH(Tabelle11[[#Headers],[Sebastian_A]],Spielauswertung!$B544:$E544,0))+AN555)</f>
        <v>102.89457418671324</v>
      </c>
      <c r="AO556" s="1">
        <f>IF(IFERROR(MATCH(Tabelle11[[#Headers],[Sebastian_St]],Spielauswertung!$B544:$E544,0),0)=0,AO555,INDEX(Spielauswertung!$AB544:$AE544,MATCH(Tabelle11[[#Headers],[Sebastian_St]],Spielauswertung!$B544:$E544,0))+AO555)</f>
        <v>97.749574367408982</v>
      </c>
      <c r="AP556" s="1">
        <f>IF(IFERROR(MATCH(Tabelle11[[#Headers],[Simon_U]],Spielauswertung!$B544:$E544,0),0)=0,AP555,INDEX(Spielauswertung!$AB544:$AE544,MATCH(Tabelle11[[#Headers],[Simon_U]],Spielauswertung!$B544:$E544,0))+AP555)</f>
        <v>99.623054841470903</v>
      </c>
      <c r="AQ556" s="1">
        <f>IF(IFERROR(MATCH(Tabelle11[[#Headers],[Steffen_R]],Spielauswertung!$B544:$E544,0),0)=0,AQ555,INDEX(Spielauswertung!$AB544:$AE544,MATCH(Tabelle11[[#Headers],[Steffen_R]],Spielauswertung!$B544:$E544,0))+AQ555)</f>
        <v>93.247497067190949</v>
      </c>
      <c r="AR556" s="1">
        <f>IF(IFERROR(MATCH(Tabelle11[[#Headers],[Tim_R]],Spielauswertung!$B544:$E544,0),0)=0,AR555,INDEX(Spielauswertung!$AB544:$AE544,MATCH(Tabelle11[[#Headers],[Tim_R]],Spielauswertung!$B544:$E544,0))+AR555)</f>
        <v>103.07503787023374</v>
      </c>
      <c r="AS556" s="1">
        <f>IF(IFERROR(MATCH(Tabelle11[[#Headers],[Tobias_S]],Spielauswertung!$B544:$E544,0),0)=0,AS555,INDEX(Spielauswertung!$AB544:$AE544,MATCH(Tabelle11[[#Headers],[Tobias_S]],Spielauswertung!$B544:$E544,0))+AS555)</f>
        <v>98.6003422659997</v>
      </c>
      <c r="AT556" s="1">
        <f>IF(IFERROR(MATCH(Tabelle11[[#Headers],[Tom_R]],Spielauswertung!$B544:$E544,0),0)=0,AT555,INDEX(Spielauswertung!$AB544:$AE544,MATCH(Tabelle11[[#Headers],[Tom_R]],Spielauswertung!$B544:$E544,0))+AT555)</f>
        <v>112.62344492949197</v>
      </c>
      <c r="AU556" s="1">
        <f>IF(IFERROR(MATCH(Tabelle11[[#Headers],[Ton_L]],Spielauswertung!$B544:$E544,0),0)=0,AU555,INDEX(Spielauswertung!$AB544:$AE544,MATCH(Tabelle11[[#Headers],[Ton_L]],Spielauswertung!$B544:$E544,0))+AU555)</f>
        <v>92.683083360025861</v>
      </c>
      <c r="AV556" s="1">
        <f>IF(IFERROR(MATCH(Tabelle11[[#Headers],[Yixin_G]],Spielauswertung!$B544:$E544,0),0)=0,AV555,INDEX(Spielauswertung!$AB544:$AE544,MATCH(Tabelle11[[#Headers],[Yixin_G]],Spielauswertung!$B544:$E544,0))+AV555)</f>
        <v>99.900323214082661</v>
      </c>
      <c r="AW556" s="1">
        <f>IF(IFERROR(MATCH(Tabelle11[[#Headers],[Spalte36]],Spielauswertung!$B544:$E544,0),0)=0,AW555,INDEX(Spielauswertung!$AB544:$AE544,MATCH(Tabelle11[[#Headers],[Spalte36]],Spielauswertung!$B544:$E544,0))+AW555)</f>
        <v>100</v>
      </c>
      <c r="AX556" s="1">
        <f>IF(IFERROR(MATCH(Tabelle11[[#Headers],[Spalte37]],Spielauswertung!$B544:$E544,0),0)=0,AX555,INDEX(Spielauswertung!$AB544:$AE544,MATCH(Tabelle11[[#Headers],[Spalte37]],Spielauswertung!$B544:$E544,0))+AX555)</f>
        <v>100</v>
      </c>
      <c r="AY556" s="1">
        <f>IF(IFERROR(MATCH(Tabelle11[[#Headers],[Spalte38]],Spielauswertung!$B544:$E544,0),0)=0,AY555,INDEX(Spielauswertung!$AB544:$AE544,MATCH(Tabelle11[[#Headers],[Spalte38]],Spielauswertung!$B544:$E544,0))+AY555)</f>
        <v>100</v>
      </c>
      <c r="AZ556" s="1">
        <f>IF(IFERROR(MATCH(Tabelle11[[#Headers],[Spalte39]],Spielauswertung!$B544:$E544,0),0)=0,AZ555,INDEX(Spielauswertung!$AB544:$AE544,MATCH(Tabelle11[[#Headers],[Spalte39]],Spielauswertung!$B544:$E544,0))+AZ555)</f>
        <v>100</v>
      </c>
      <c r="BA556" s="1">
        <f>IF(IFERROR(MATCH(Tabelle11[[#Headers],[Spalte40]],Spielauswertung!$B544:$E544,0),0)=0,BA555,INDEX(Spielauswertung!$AB544:$AE544,MATCH(Tabelle11[[#Headers],[Spalte40]],Spielauswertung!$B544:$E544,0))+BA555)</f>
        <v>100</v>
      </c>
      <c r="BB556" s="1">
        <f>IF(IFERROR(MATCH(Tabelle11[[#Headers],[Spalte41]],Spielauswertung!$B544:$E544,0),0)=0,BB555,INDEX(Spielauswertung!$AB544:$AE544,MATCH(Tabelle11[[#Headers],[Spalte41]],Spielauswertung!$B544:$E544,0))+BB555)</f>
        <v>100</v>
      </c>
      <c r="BC556" s="1">
        <f>IF(IFERROR(MATCH(Tabelle11[[#Headers],[Spalte42]],Spielauswertung!$B544:$E544,0),0)=0,BC555,INDEX(Spielauswertung!$AB544:$AE544,MATCH(Tabelle11[[#Headers],[Spalte42]],Spielauswertung!$B544:$E544,0))+BC555)</f>
        <v>100</v>
      </c>
      <c r="BD556" s="1">
        <f>IF(IFERROR(MATCH(Tabelle11[[#Headers],[Spalte43]],Spielauswertung!$B544:$E544,0),0)=0,BD555,INDEX(Spielauswertung!$AB544:$AE544,MATCH(Tabelle11[[#Headers],[Spalte43]],Spielauswertung!$B544:$E544,0))+BD555)</f>
        <v>100</v>
      </c>
      <c r="BE556" s="1">
        <f>IF(IFERROR(MATCH(Tabelle11[[#Headers],[Spalte44]],Spielauswertung!$B544:$E544,0),0)=0,BE555,INDEX(Spielauswertung!$AB544:$AE544,MATCH(Tabelle11[[#Headers],[Spalte44]],Spielauswertung!$B544:$E544,0))+BE555)</f>
        <v>100</v>
      </c>
      <c r="BF556" s="1">
        <f>IF(IFERROR(MATCH(Tabelle11[[#Headers],[Spalte45]],Spielauswertung!$B544:$E544,0),0)=0,BF555,INDEX(Spielauswertung!$AB544:$AE544,MATCH(Tabelle11[[#Headers],[Spalte45]],Spielauswertung!$B544:$E544,0))+BF555)</f>
        <v>100</v>
      </c>
      <c r="BG556" s="1">
        <f>IF(IFERROR(MATCH(Tabelle11[[#Headers],[Spalte46]],Spielauswertung!$B544:$E544,0),0)=0,BG555,INDEX(Spielauswertung!$AB544:$AE544,MATCH(Tabelle11[[#Headers],[Spalte46]],Spielauswertung!$B544:$E544,0))+BG555)</f>
        <v>100</v>
      </c>
      <c r="BH556" s="1">
        <f>IF(IFERROR(MATCH(Tabelle11[[#Headers],[Spalte47]],Spielauswertung!$B544:$E544,0),0)=0,BH555,INDEX(Spielauswertung!$AB544:$AE544,MATCH(Tabelle11[[#Headers],[Spalte47]],Spielauswertung!$B544:$E544,0))+BH555)</f>
        <v>100</v>
      </c>
    </row>
    <row r="557" spans="1:60" x14ac:dyDescent="0.25">
      <c r="A557">
        <f t="shared" si="9"/>
        <v>544</v>
      </c>
      <c r="B557" s="1">
        <f>IF(IFERROR(MATCH(Tabelle11[[#Headers],[Aleix_V]],Spielauswertung!$B545:$E545,0),0)=0,B556,INDEX(Spielauswertung!$AB545:$AE545,MATCH(Tabelle11[[#Headers],[Aleix_V]],Spielauswertung!$B545:$E545,0))+B556)</f>
        <v>102.47318019444646</v>
      </c>
      <c r="C557" s="1">
        <f>IF(IFERROR(MATCH(Tabelle11[[#Headers],[Andres_H]],Spielauswertung!$B545:$E545,0),0)=0,C556,INDEX(Spielauswertung!$AB545:$AE545,MATCH(Tabelle11[[#Headers],[Andres_H]],Spielauswertung!$B545:$E545,0))+C556)</f>
        <v>95.535732339111306</v>
      </c>
      <c r="D557" s="1">
        <f>IF(IFERROR(MATCH(Tabelle11[[#Headers],[Anton_K]],Spielauswertung!$B545:$E545,0),0)=0,D556,INDEX(Spielauswertung!$AB545:$AE545,MATCH(Tabelle11[[#Headers],[Anton_K]],Spielauswertung!$B545:$E545,0))+D556)</f>
        <v>99.287728777054667</v>
      </c>
      <c r="E557" s="1">
        <f>IF(IFERROR(MATCH(Tabelle11[[#Headers],[Bastian_G]],Spielauswertung!$B545:$E545,0),0)=0,E556,INDEX(Spielauswertung!$AB545:$AE545,MATCH(Tabelle11[[#Headers],[Bastian_G]],Spielauswertung!$B545:$E545,0))+E556)</f>
        <v>117.49978695184252</v>
      </c>
      <c r="F557" s="1">
        <f>IF(IFERROR(MATCH(Tabelle11[[#Headers],[Ben_S]],Spielauswertung!$B545:$E545,0),0)=0,F556,INDEX(Spielauswertung!$AB545:$AE545,MATCH(Tabelle11[[#Headers],[Ben_S]],Spielauswertung!$B545:$E545,0))+F556)</f>
        <v>95.932799101521084</v>
      </c>
      <c r="G557" s="1">
        <f>IF(IFERROR(MATCH(Tabelle11[[#Headers],[Benedikt_K]],Spielauswertung!$B545:$E545,0),0)=0,G556,INDEX(Spielauswertung!$AB545:$AE545,MATCH(Tabelle11[[#Headers],[Benedikt_K]],Spielauswertung!$B545:$E545,0))+G556)</f>
        <v>101.20264176422626</v>
      </c>
      <c r="H557" s="1">
        <f>IF(IFERROR(MATCH(Tabelle11[[#Headers],[Benedikt_R]],Spielauswertung!$B545:$E545,0),0)=0,H556,INDEX(Spielauswertung!$AB545:$AE545,MATCH(Tabelle11[[#Headers],[Benedikt_R]],Spielauswertung!$B545:$E545,0))+H556)</f>
        <v>102.6264770510757</v>
      </c>
      <c r="I557" s="1">
        <f>IF(IFERROR(MATCH(Tabelle11[[#Headers],[Carsten_H]],Spielauswertung!$B545:$E545,0),0)=0,I556,INDEX(Spielauswertung!$AB545:$AE545,MATCH(Tabelle11[[#Headers],[Carsten_H]],Spielauswertung!$B545:$E545,0))+I556)</f>
        <v>90.817185094326874</v>
      </c>
      <c r="J557" s="1">
        <f>IF(IFERROR(MATCH(Tabelle11[[#Headers],[Christoph_R]],Spielauswertung!$B545:$E545,0),0)=0,J556,INDEX(Spielauswertung!$AB545:$AE545,MATCH(Tabelle11[[#Headers],[Christoph_R]],Spielauswertung!$B545:$E545,0))+J556)</f>
        <v>109.73261611443155</v>
      </c>
      <c r="K557" s="1">
        <f>IF(IFERROR(MATCH(Tabelle11[[#Headers],[Claudius_J]],Spielauswertung!$B545:$E545,0),0)=0,K556,INDEX(Spielauswertung!$AB545:$AE545,MATCH(Tabelle11[[#Headers],[Claudius_J]],Spielauswertung!$B545:$E545,0))+K556)</f>
        <v>106.16590636000029</v>
      </c>
      <c r="L557" s="1">
        <f>IF(IFERROR(MATCH(Tabelle11[[#Headers],[Daniel_D]],Spielauswertung!$B545:$E545,0),0)=0,L556,INDEX(Spielauswertung!$AB545:$AE545,MATCH(Tabelle11[[#Headers],[Daniel_D]],Spielauswertung!$B545:$E545,0))+L556)</f>
        <v>99.990299180470089</v>
      </c>
      <c r="M557" s="1">
        <f>IF(IFERROR(MATCH(Tabelle11[[#Headers],[David_R]],Spielauswertung!$B545:$E545,0),0)=0,M556,INDEX(Spielauswertung!$AB545:$AE545,MATCH(Tabelle11[[#Headers],[David_R]],Spielauswertung!$B545:$E545,0))+M556)</f>
        <v>96.715943522481638</v>
      </c>
      <c r="N557" s="1">
        <f>IF(IFERROR(MATCH(Tabelle11[[#Headers],[Dennis_P]],Spielauswertung!$B545:$E545,0),0)=0,N556,INDEX(Spielauswertung!$AB545:$AE545,MATCH(Tabelle11[[#Headers],[Dennis_P]],Spielauswertung!$B545:$E545,0))+N556)</f>
        <v>100.04773223105254</v>
      </c>
      <c r="O557" s="1">
        <f>IF(IFERROR(MATCH(Tabelle11[[#Headers],[Dennis_R]],Spielauswertung!$B545:$E545,0),0)=0,O556,INDEX(Spielauswertung!$AB545:$AE545,MATCH(Tabelle11[[#Headers],[Dennis_R]],Spielauswertung!$B545:$E545,0))+O556)</f>
        <v>75.131680864937195</v>
      </c>
      <c r="P557" s="1">
        <f>IF(IFERROR(MATCH(Tabelle11[[#Headers],[Detlef_R]],Spielauswertung!$B545:$E545,0),0)=0,P556,INDEX(Spielauswertung!$AB545:$AE545,MATCH(Tabelle11[[#Headers],[Detlef_R]],Spielauswertung!$B545:$E545,0))+P556)</f>
        <v>87.984671797367014</v>
      </c>
      <c r="Q557" s="1">
        <f>IF(IFERROR(MATCH(Tabelle11[[#Headers],[Dmitrij_M]],Spielauswertung!$B545:$E545,0),0)=0,Q556,INDEX(Spielauswertung!$AB545:$AE545,MATCH(Tabelle11[[#Headers],[Dmitrij_M]],Spielauswertung!$B545:$E545,0))+Q556)</f>
        <v>100.69975721846207</v>
      </c>
      <c r="R557" s="1">
        <f>IF(IFERROR(MATCH(Tabelle11[[#Headers],[Fabian_M]],Spielauswertung!$B545:$E545,0),0)=0,R556,INDEX(Spielauswertung!$AB545:$AE545,MATCH(Tabelle11[[#Headers],[Fabian_M]],Spielauswertung!$B545:$E545,0))+R556)</f>
        <v>95.805387841610738</v>
      </c>
      <c r="S557" s="1">
        <f>IF(IFERROR(MATCH(Tabelle11[[#Headers],[Hannes_S]],Spielauswertung!$B545:$E545,0),0)=0,S556,INDEX(Spielauswertung!$AB545:$AE545,MATCH(Tabelle11[[#Headers],[Hannes_S]],Spielauswertung!$B545:$E545,0))+S556)</f>
        <v>104.83899184012799</v>
      </c>
      <c r="T557" s="1">
        <f>IF(IFERROR(MATCH(Tabelle11[[#Headers],[Jan_B]],Spielauswertung!$B545:$E545,0),0)=0,T556,INDEX(Spielauswertung!$AB545:$AE545,MATCH(Tabelle11[[#Headers],[Jan_B]],Spielauswertung!$B545:$E545,0))+T556)</f>
        <v>100.2794420429173</v>
      </c>
      <c r="U557" s="1">
        <f>IF(IFERROR(MATCH(Tabelle11[[#Headers],[Jan_Hendrik_B]],Spielauswertung!$B545:$E545,0),0)=0,U556,INDEX(Spielauswertung!$AB545:$AE545,MATCH(Tabelle11[[#Headers],[Jan_Hendrik_B]],Spielauswertung!$B545:$E545,0))+U556)</f>
        <v>100.75492416935522</v>
      </c>
      <c r="V557" s="1">
        <f>IF(IFERROR(MATCH(Tabelle11[[#Headers],[Jens_N]],Spielauswertung!$B545:$E545,0),0)=0,V556,INDEX(Spielauswertung!$AB545:$AE545,MATCH(Tabelle11[[#Headers],[Jens_N]],Spielauswertung!$B545:$E545,0))+V556)</f>
        <v>99.643534710196832</v>
      </c>
      <c r="W557" s="1">
        <f>IF(IFERROR(MATCH(Tabelle11[[#Headers],[Johannes_S]],Spielauswertung!$B545:$E545,0),0)=0,W556,INDEX(Spielauswertung!$AB545:$AE545,MATCH(Tabelle11[[#Headers],[Johannes_S]],Spielauswertung!$B545:$E545,0))+W556)</f>
        <v>102.20284750979505</v>
      </c>
      <c r="X557" s="1">
        <f>IF(IFERROR(MATCH(Tabelle11[[#Headers],[Jonathan_F]],Spielauswertung!$B545:$E545,0),0)=0,X556,INDEX(Spielauswertung!$AB545:$AE545,MATCH(Tabelle11[[#Headers],[Jonathan_F]],Spielauswertung!$B545:$E545,0))+X556)</f>
        <v>98.938308797866256</v>
      </c>
      <c r="Y557" s="1">
        <f>IF(IFERROR(MATCH(Tabelle11[[#Headers],[Julius_P]],Spielauswertung!$B545:$E545,0),0)=0,Y556,INDEX(Spielauswertung!$AB545:$AE545,MATCH(Tabelle11[[#Headers],[Julius_P]],Spielauswertung!$B545:$E545,0))+Y556)</f>
        <v>96.540305101873642</v>
      </c>
      <c r="Z557" s="1">
        <f>IF(IFERROR(MATCH(Tabelle11[[#Headers],[Louis_W]],Spielauswertung!$B545:$E545,0),0)=0,Z556,INDEX(Spielauswertung!$AB545:$AE545,MATCH(Tabelle11[[#Headers],[Louis_W]],Spielauswertung!$B545:$E545,0))+Z556)</f>
        <v>87.497452285475362</v>
      </c>
      <c r="AA557" s="1">
        <f>IF(IFERROR(MATCH(Tabelle11[[#Headers],[Lukas_L]],Spielauswertung!$B545:$E545,0),0)=0,AA556,INDEX(Spielauswertung!$AB545:$AE545,MATCH(Tabelle11[[#Headers],[Lukas_L]],Spielauswertung!$B545:$E545,0))+AA556)</f>
        <v>98.447931341404143</v>
      </c>
      <c r="AB557" s="1">
        <f>IF(IFERROR(MATCH(Tabelle11[[#Headers],[Marcin_S]],Spielauswertung!$B545:$E545,0),0)=0,AB556,INDEX(Spielauswertung!$AB545:$AE545,MATCH(Tabelle11[[#Headers],[Marcin_S]],Spielauswertung!$B545:$E545,0))+AB556)</f>
        <v>85.463329105556824</v>
      </c>
      <c r="AC557" s="1">
        <f>IF(IFERROR(MATCH(Tabelle11[[#Headers],[Marco_K]],Spielauswertung!$B545:$E545,0),0)=0,AC556,INDEX(Spielauswertung!$AB545:$AE545,MATCH(Tabelle11[[#Headers],[Marco_K]],Spielauswertung!$B545:$E545,0))+AC556)</f>
        <v>102.12169819441469</v>
      </c>
      <c r="AD557" s="1">
        <f>IF(IFERROR(MATCH(Tabelle11[[#Headers],[Marius_M]],Spielauswertung!$B545:$E545,0),0)=0,AD556,INDEX(Spielauswertung!$AB545:$AE545,MATCH(Tabelle11[[#Headers],[Marius_M]],Spielauswertung!$B545:$E545,0))+AD556)</f>
        <v>124.54012374585781</v>
      </c>
      <c r="AE557" s="1">
        <f>IF(IFERROR(MATCH(Tabelle11[[#Headers],[Marvin_W]],Spielauswertung!$B545:$E545,0),0)=0,AE556,INDEX(Spielauswertung!$AB545:$AE545,MATCH(Tabelle11[[#Headers],[Marvin_W]],Spielauswertung!$B545:$E545,0))+AE556)</f>
        <v>96.700266280577438</v>
      </c>
      <c r="AF557" s="1">
        <f>IF(IFERROR(MATCH(Tabelle11[[#Headers],[Matthias_H]],Spielauswertung!$B545:$E545,0),0)=0,AF556,INDEX(Spielauswertung!$AB545:$AE545,MATCH(Tabelle11[[#Headers],[Matthias_H]],Spielauswertung!$B545:$E545,0))+AF556)</f>
        <v>105.42130178599372</v>
      </c>
      <c r="AG557" s="1">
        <f>IF(IFERROR(MATCH(Tabelle11[[#Headers],[Michael_D]],Spielauswertung!$B545:$E545,0),0)=0,AG556,INDEX(Spielauswertung!$AB545:$AE545,MATCH(Tabelle11[[#Headers],[Michael_D]],Spielauswertung!$B545:$E545,0))+AG556)</f>
        <v>96.436276170375336</v>
      </c>
      <c r="AH557" s="1">
        <f>IF(IFERROR(MATCH(Tabelle11[[#Headers],[Patrick_S]],Spielauswertung!$B545:$E545,0),0)=0,AH556,INDEX(Spielauswertung!$AB545:$AE545,MATCH(Tabelle11[[#Headers],[Patrick_S]],Spielauswertung!$B545:$E545,0))+AH556)</f>
        <v>98.975330692053802</v>
      </c>
      <c r="AI557" s="1">
        <f>IF(IFERROR(MATCH(Tabelle11[[#Headers],[Rano_M]],Spielauswertung!$B545:$E545,0),0)=0,AI556,INDEX(Spielauswertung!$AB545:$AE545,MATCH(Tabelle11[[#Headers],[Rano_M]],Spielauswertung!$B545:$E545,0))+AI556)</f>
        <v>109.38890657420265</v>
      </c>
      <c r="AJ557" s="1">
        <f>IF(IFERROR(MATCH(Tabelle11[[#Headers],[Rene_N]],Spielauswertung!$B545:$E545,0),0)=0,AJ556,INDEX(Spielauswertung!$AB545:$AE545,MATCH(Tabelle11[[#Headers],[Rene_N]],Spielauswertung!$B545:$E545,0))+AJ556)</f>
        <v>101.06482124619033</v>
      </c>
      <c r="AK557" s="1">
        <f>IF(IFERROR(MATCH(Tabelle11[[#Headers],[Rene_P]],Spielauswertung!$B545:$E545,0),0)=0,AK556,INDEX(Spielauswertung!$AB545:$AE545,MATCH(Tabelle11[[#Headers],[Rene_P]],Spielauswertung!$B545:$E545,0))+AK556)</f>
        <v>88.762543186332877</v>
      </c>
      <c r="AL557" s="1">
        <f>IF(IFERROR(MATCH(Tabelle11[[#Headers],[Richard_D]],Spielauswertung!$B545:$E545,0),0)=0,AL556,INDEX(Spielauswertung!$AB545:$AE545,MATCH(Tabelle11[[#Headers],[Richard_D]],Spielauswertung!$B545:$E545,0))+AL556)</f>
        <v>107.23233592026223</v>
      </c>
      <c r="AM557" s="1">
        <f>IF(IFERROR(MATCH(Tabelle11[[#Headers],[Rodrigo_R]],Spielauswertung!$B545:$E545,0),0)=0,AM556,INDEX(Spielauswertung!$AB545:$AE545,MATCH(Tabelle11[[#Headers],[Rodrigo_R]],Spielauswertung!$B545:$E545,0))+AM556)</f>
        <v>116.7028707921346</v>
      </c>
      <c r="AN557" s="1">
        <f>IF(IFERROR(MATCH(Tabelle11[[#Headers],[Sebastian_A]],Spielauswertung!$B545:$E545,0),0)=0,AN556,INDEX(Spielauswertung!$AB545:$AE545,MATCH(Tabelle11[[#Headers],[Sebastian_A]],Spielauswertung!$B545:$E545,0))+AN556)</f>
        <v>102.89457418671324</v>
      </c>
      <c r="AO557" s="1">
        <f>IF(IFERROR(MATCH(Tabelle11[[#Headers],[Sebastian_St]],Spielauswertung!$B545:$E545,0),0)=0,AO556,INDEX(Spielauswertung!$AB545:$AE545,MATCH(Tabelle11[[#Headers],[Sebastian_St]],Spielauswertung!$B545:$E545,0))+AO556)</f>
        <v>97.749574367408982</v>
      </c>
      <c r="AP557" s="1">
        <f>IF(IFERROR(MATCH(Tabelle11[[#Headers],[Simon_U]],Spielauswertung!$B545:$E545,0),0)=0,AP556,INDEX(Spielauswertung!$AB545:$AE545,MATCH(Tabelle11[[#Headers],[Simon_U]],Spielauswertung!$B545:$E545,0))+AP556)</f>
        <v>99.623054841470903</v>
      </c>
      <c r="AQ557" s="1">
        <f>IF(IFERROR(MATCH(Tabelle11[[#Headers],[Steffen_R]],Spielauswertung!$B545:$E545,0),0)=0,AQ556,INDEX(Spielauswertung!$AB545:$AE545,MATCH(Tabelle11[[#Headers],[Steffen_R]],Spielauswertung!$B545:$E545,0))+AQ556)</f>
        <v>93.247497067190949</v>
      </c>
      <c r="AR557" s="1">
        <f>IF(IFERROR(MATCH(Tabelle11[[#Headers],[Tim_R]],Spielauswertung!$B545:$E545,0),0)=0,AR556,INDEX(Spielauswertung!$AB545:$AE545,MATCH(Tabelle11[[#Headers],[Tim_R]],Spielauswertung!$B545:$E545,0))+AR556)</f>
        <v>103.07503787023374</v>
      </c>
      <c r="AS557" s="1">
        <f>IF(IFERROR(MATCH(Tabelle11[[#Headers],[Tobias_S]],Spielauswertung!$B545:$E545,0),0)=0,AS556,INDEX(Spielauswertung!$AB545:$AE545,MATCH(Tabelle11[[#Headers],[Tobias_S]],Spielauswertung!$B545:$E545,0))+AS556)</f>
        <v>98.6003422659997</v>
      </c>
      <c r="AT557" s="1">
        <f>IF(IFERROR(MATCH(Tabelle11[[#Headers],[Tom_R]],Spielauswertung!$B545:$E545,0),0)=0,AT556,INDEX(Spielauswertung!$AB545:$AE545,MATCH(Tabelle11[[#Headers],[Tom_R]],Spielauswertung!$B545:$E545,0))+AT556)</f>
        <v>112.62344492949197</v>
      </c>
      <c r="AU557" s="1">
        <f>IF(IFERROR(MATCH(Tabelle11[[#Headers],[Ton_L]],Spielauswertung!$B545:$E545,0),0)=0,AU556,INDEX(Spielauswertung!$AB545:$AE545,MATCH(Tabelle11[[#Headers],[Ton_L]],Spielauswertung!$B545:$E545,0))+AU556)</f>
        <v>92.683083360025861</v>
      </c>
      <c r="AV557" s="1">
        <f>IF(IFERROR(MATCH(Tabelle11[[#Headers],[Yixin_G]],Spielauswertung!$B545:$E545,0),0)=0,AV556,INDEX(Spielauswertung!$AB545:$AE545,MATCH(Tabelle11[[#Headers],[Yixin_G]],Spielauswertung!$B545:$E545,0))+AV556)</f>
        <v>99.900323214082661</v>
      </c>
      <c r="AW557" s="1">
        <f>IF(IFERROR(MATCH(Tabelle11[[#Headers],[Spalte36]],Spielauswertung!$B545:$E545,0),0)=0,AW556,INDEX(Spielauswertung!$AB545:$AE545,MATCH(Tabelle11[[#Headers],[Spalte36]],Spielauswertung!$B545:$E545,0))+AW556)</f>
        <v>100</v>
      </c>
      <c r="AX557" s="1">
        <f>IF(IFERROR(MATCH(Tabelle11[[#Headers],[Spalte37]],Spielauswertung!$B545:$E545,0),0)=0,AX556,INDEX(Spielauswertung!$AB545:$AE545,MATCH(Tabelle11[[#Headers],[Spalte37]],Spielauswertung!$B545:$E545,0))+AX556)</f>
        <v>100</v>
      </c>
      <c r="AY557" s="1">
        <f>IF(IFERROR(MATCH(Tabelle11[[#Headers],[Spalte38]],Spielauswertung!$B545:$E545,0),0)=0,AY556,INDEX(Spielauswertung!$AB545:$AE545,MATCH(Tabelle11[[#Headers],[Spalte38]],Spielauswertung!$B545:$E545,0))+AY556)</f>
        <v>100</v>
      </c>
      <c r="AZ557" s="1">
        <f>IF(IFERROR(MATCH(Tabelle11[[#Headers],[Spalte39]],Spielauswertung!$B545:$E545,0),0)=0,AZ556,INDEX(Spielauswertung!$AB545:$AE545,MATCH(Tabelle11[[#Headers],[Spalte39]],Spielauswertung!$B545:$E545,0))+AZ556)</f>
        <v>100</v>
      </c>
      <c r="BA557" s="1">
        <f>IF(IFERROR(MATCH(Tabelle11[[#Headers],[Spalte40]],Spielauswertung!$B545:$E545,0),0)=0,BA556,INDEX(Spielauswertung!$AB545:$AE545,MATCH(Tabelle11[[#Headers],[Spalte40]],Spielauswertung!$B545:$E545,0))+BA556)</f>
        <v>100</v>
      </c>
      <c r="BB557" s="1">
        <f>IF(IFERROR(MATCH(Tabelle11[[#Headers],[Spalte41]],Spielauswertung!$B545:$E545,0),0)=0,BB556,INDEX(Spielauswertung!$AB545:$AE545,MATCH(Tabelle11[[#Headers],[Spalte41]],Spielauswertung!$B545:$E545,0))+BB556)</f>
        <v>100</v>
      </c>
      <c r="BC557" s="1">
        <f>IF(IFERROR(MATCH(Tabelle11[[#Headers],[Spalte42]],Spielauswertung!$B545:$E545,0),0)=0,BC556,INDEX(Spielauswertung!$AB545:$AE545,MATCH(Tabelle11[[#Headers],[Spalte42]],Spielauswertung!$B545:$E545,0))+BC556)</f>
        <v>100</v>
      </c>
      <c r="BD557" s="1">
        <f>IF(IFERROR(MATCH(Tabelle11[[#Headers],[Spalte43]],Spielauswertung!$B545:$E545,0),0)=0,BD556,INDEX(Spielauswertung!$AB545:$AE545,MATCH(Tabelle11[[#Headers],[Spalte43]],Spielauswertung!$B545:$E545,0))+BD556)</f>
        <v>100</v>
      </c>
      <c r="BE557" s="1">
        <f>IF(IFERROR(MATCH(Tabelle11[[#Headers],[Spalte44]],Spielauswertung!$B545:$E545,0),0)=0,BE556,INDEX(Spielauswertung!$AB545:$AE545,MATCH(Tabelle11[[#Headers],[Spalte44]],Spielauswertung!$B545:$E545,0))+BE556)</f>
        <v>100</v>
      </c>
      <c r="BF557" s="1">
        <f>IF(IFERROR(MATCH(Tabelle11[[#Headers],[Spalte45]],Spielauswertung!$B545:$E545,0),0)=0,BF556,INDEX(Spielauswertung!$AB545:$AE545,MATCH(Tabelle11[[#Headers],[Spalte45]],Spielauswertung!$B545:$E545,0))+BF556)</f>
        <v>100</v>
      </c>
      <c r="BG557" s="1">
        <f>IF(IFERROR(MATCH(Tabelle11[[#Headers],[Spalte46]],Spielauswertung!$B545:$E545,0),0)=0,BG556,INDEX(Spielauswertung!$AB545:$AE545,MATCH(Tabelle11[[#Headers],[Spalte46]],Spielauswertung!$B545:$E545,0))+BG556)</f>
        <v>100</v>
      </c>
      <c r="BH557" s="1">
        <f>IF(IFERROR(MATCH(Tabelle11[[#Headers],[Spalte47]],Spielauswertung!$B545:$E545,0),0)=0,BH556,INDEX(Spielauswertung!$AB545:$AE545,MATCH(Tabelle11[[#Headers],[Spalte47]],Spielauswertung!$B545:$E545,0))+BH556)</f>
        <v>100</v>
      </c>
    </row>
    <row r="558" spans="1:60" x14ac:dyDescent="0.25">
      <c r="A558">
        <f t="shared" si="9"/>
        <v>545</v>
      </c>
      <c r="B558" s="1">
        <f>IF(IFERROR(MATCH(Tabelle11[[#Headers],[Aleix_V]],Spielauswertung!$B546:$E546,0),0)=0,B557,INDEX(Spielauswertung!$AB546:$AE546,MATCH(Tabelle11[[#Headers],[Aleix_V]],Spielauswertung!$B546:$E546,0))+B557)</f>
        <v>102.47318019444646</v>
      </c>
      <c r="C558" s="1">
        <f>IF(IFERROR(MATCH(Tabelle11[[#Headers],[Andres_H]],Spielauswertung!$B546:$E546,0),0)=0,C557,INDEX(Spielauswertung!$AB546:$AE546,MATCH(Tabelle11[[#Headers],[Andres_H]],Spielauswertung!$B546:$E546,0))+C557)</f>
        <v>95.535732339111306</v>
      </c>
      <c r="D558" s="1">
        <f>IF(IFERROR(MATCH(Tabelle11[[#Headers],[Anton_K]],Spielauswertung!$B546:$E546,0),0)=0,D557,INDEX(Spielauswertung!$AB546:$AE546,MATCH(Tabelle11[[#Headers],[Anton_K]],Spielauswertung!$B546:$E546,0))+D557)</f>
        <v>99.287728777054667</v>
      </c>
      <c r="E558" s="1">
        <f>IF(IFERROR(MATCH(Tabelle11[[#Headers],[Bastian_G]],Spielauswertung!$B546:$E546,0),0)=0,E557,INDEX(Spielauswertung!$AB546:$AE546,MATCH(Tabelle11[[#Headers],[Bastian_G]],Spielauswertung!$B546:$E546,0))+E557)</f>
        <v>117.49978695184252</v>
      </c>
      <c r="F558" s="1">
        <f>IF(IFERROR(MATCH(Tabelle11[[#Headers],[Ben_S]],Spielauswertung!$B546:$E546,0),0)=0,F557,INDEX(Spielauswertung!$AB546:$AE546,MATCH(Tabelle11[[#Headers],[Ben_S]],Spielauswertung!$B546:$E546,0))+F557)</f>
        <v>95.932799101521084</v>
      </c>
      <c r="G558" s="1">
        <f>IF(IFERROR(MATCH(Tabelle11[[#Headers],[Benedikt_K]],Spielauswertung!$B546:$E546,0),0)=0,G557,INDEX(Spielauswertung!$AB546:$AE546,MATCH(Tabelle11[[#Headers],[Benedikt_K]],Spielauswertung!$B546:$E546,0))+G557)</f>
        <v>101.20264176422626</v>
      </c>
      <c r="H558" s="1">
        <f>IF(IFERROR(MATCH(Tabelle11[[#Headers],[Benedikt_R]],Spielauswertung!$B546:$E546,0),0)=0,H557,INDEX(Spielauswertung!$AB546:$AE546,MATCH(Tabelle11[[#Headers],[Benedikt_R]],Spielauswertung!$B546:$E546,0))+H557)</f>
        <v>102.6264770510757</v>
      </c>
      <c r="I558" s="1">
        <f>IF(IFERROR(MATCH(Tabelle11[[#Headers],[Carsten_H]],Spielauswertung!$B546:$E546,0),0)=0,I557,INDEX(Spielauswertung!$AB546:$AE546,MATCH(Tabelle11[[#Headers],[Carsten_H]],Spielauswertung!$B546:$E546,0))+I557)</f>
        <v>90.817185094326874</v>
      </c>
      <c r="J558" s="1">
        <f>IF(IFERROR(MATCH(Tabelle11[[#Headers],[Christoph_R]],Spielauswertung!$B546:$E546,0),0)=0,J557,INDEX(Spielauswertung!$AB546:$AE546,MATCH(Tabelle11[[#Headers],[Christoph_R]],Spielauswertung!$B546:$E546,0))+J557)</f>
        <v>109.73261611443155</v>
      </c>
      <c r="K558" s="1">
        <f>IF(IFERROR(MATCH(Tabelle11[[#Headers],[Claudius_J]],Spielauswertung!$B546:$E546,0),0)=0,K557,INDEX(Spielauswertung!$AB546:$AE546,MATCH(Tabelle11[[#Headers],[Claudius_J]],Spielauswertung!$B546:$E546,0))+K557)</f>
        <v>106.16590636000029</v>
      </c>
      <c r="L558" s="1">
        <f>IF(IFERROR(MATCH(Tabelle11[[#Headers],[Daniel_D]],Spielauswertung!$B546:$E546,0),0)=0,L557,INDEX(Spielauswertung!$AB546:$AE546,MATCH(Tabelle11[[#Headers],[Daniel_D]],Spielauswertung!$B546:$E546,0))+L557)</f>
        <v>99.990299180470089</v>
      </c>
      <c r="M558" s="1">
        <f>IF(IFERROR(MATCH(Tabelle11[[#Headers],[David_R]],Spielauswertung!$B546:$E546,0),0)=0,M557,INDEX(Spielauswertung!$AB546:$AE546,MATCH(Tabelle11[[#Headers],[David_R]],Spielauswertung!$B546:$E546,0))+M557)</f>
        <v>96.715943522481638</v>
      </c>
      <c r="N558" s="1">
        <f>IF(IFERROR(MATCH(Tabelle11[[#Headers],[Dennis_P]],Spielauswertung!$B546:$E546,0),0)=0,N557,INDEX(Spielauswertung!$AB546:$AE546,MATCH(Tabelle11[[#Headers],[Dennis_P]],Spielauswertung!$B546:$E546,0))+N557)</f>
        <v>100.04773223105254</v>
      </c>
      <c r="O558" s="1">
        <f>IF(IFERROR(MATCH(Tabelle11[[#Headers],[Dennis_R]],Spielauswertung!$B546:$E546,0),0)=0,O557,INDEX(Spielauswertung!$AB546:$AE546,MATCH(Tabelle11[[#Headers],[Dennis_R]],Spielauswertung!$B546:$E546,0))+O557)</f>
        <v>75.131680864937195</v>
      </c>
      <c r="P558" s="1">
        <f>IF(IFERROR(MATCH(Tabelle11[[#Headers],[Detlef_R]],Spielauswertung!$B546:$E546,0),0)=0,P557,INDEX(Spielauswertung!$AB546:$AE546,MATCH(Tabelle11[[#Headers],[Detlef_R]],Spielauswertung!$B546:$E546,0))+P557)</f>
        <v>87.984671797367014</v>
      </c>
      <c r="Q558" s="1">
        <f>IF(IFERROR(MATCH(Tabelle11[[#Headers],[Dmitrij_M]],Spielauswertung!$B546:$E546,0),0)=0,Q557,INDEX(Spielauswertung!$AB546:$AE546,MATCH(Tabelle11[[#Headers],[Dmitrij_M]],Spielauswertung!$B546:$E546,0))+Q557)</f>
        <v>100.69975721846207</v>
      </c>
      <c r="R558" s="1">
        <f>IF(IFERROR(MATCH(Tabelle11[[#Headers],[Fabian_M]],Spielauswertung!$B546:$E546,0),0)=0,R557,INDEX(Spielauswertung!$AB546:$AE546,MATCH(Tabelle11[[#Headers],[Fabian_M]],Spielauswertung!$B546:$E546,0))+R557)</f>
        <v>95.805387841610738</v>
      </c>
      <c r="S558" s="1">
        <f>IF(IFERROR(MATCH(Tabelle11[[#Headers],[Hannes_S]],Spielauswertung!$B546:$E546,0),0)=0,S557,INDEX(Spielauswertung!$AB546:$AE546,MATCH(Tabelle11[[#Headers],[Hannes_S]],Spielauswertung!$B546:$E546,0))+S557)</f>
        <v>104.83899184012799</v>
      </c>
      <c r="T558" s="1">
        <f>IF(IFERROR(MATCH(Tabelle11[[#Headers],[Jan_B]],Spielauswertung!$B546:$E546,0),0)=0,T557,INDEX(Spielauswertung!$AB546:$AE546,MATCH(Tabelle11[[#Headers],[Jan_B]],Spielauswertung!$B546:$E546,0))+T557)</f>
        <v>100.2794420429173</v>
      </c>
      <c r="U558" s="1">
        <f>IF(IFERROR(MATCH(Tabelle11[[#Headers],[Jan_Hendrik_B]],Spielauswertung!$B546:$E546,0),0)=0,U557,INDEX(Spielauswertung!$AB546:$AE546,MATCH(Tabelle11[[#Headers],[Jan_Hendrik_B]],Spielauswertung!$B546:$E546,0))+U557)</f>
        <v>100.75492416935522</v>
      </c>
      <c r="V558" s="1">
        <f>IF(IFERROR(MATCH(Tabelle11[[#Headers],[Jens_N]],Spielauswertung!$B546:$E546,0),0)=0,V557,INDEX(Spielauswertung!$AB546:$AE546,MATCH(Tabelle11[[#Headers],[Jens_N]],Spielauswertung!$B546:$E546,0))+V557)</f>
        <v>99.643534710196832</v>
      </c>
      <c r="W558" s="1">
        <f>IF(IFERROR(MATCH(Tabelle11[[#Headers],[Johannes_S]],Spielauswertung!$B546:$E546,0),0)=0,W557,INDEX(Spielauswertung!$AB546:$AE546,MATCH(Tabelle11[[#Headers],[Johannes_S]],Spielauswertung!$B546:$E546,0))+W557)</f>
        <v>102.20284750979505</v>
      </c>
      <c r="X558" s="1">
        <f>IF(IFERROR(MATCH(Tabelle11[[#Headers],[Jonathan_F]],Spielauswertung!$B546:$E546,0),0)=0,X557,INDEX(Spielauswertung!$AB546:$AE546,MATCH(Tabelle11[[#Headers],[Jonathan_F]],Spielauswertung!$B546:$E546,0))+X557)</f>
        <v>98.938308797866256</v>
      </c>
      <c r="Y558" s="1">
        <f>IF(IFERROR(MATCH(Tabelle11[[#Headers],[Julius_P]],Spielauswertung!$B546:$E546,0),0)=0,Y557,INDEX(Spielauswertung!$AB546:$AE546,MATCH(Tabelle11[[#Headers],[Julius_P]],Spielauswertung!$B546:$E546,0))+Y557)</f>
        <v>96.540305101873642</v>
      </c>
      <c r="Z558" s="1">
        <f>IF(IFERROR(MATCH(Tabelle11[[#Headers],[Louis_W]],Spielauswertung!$B546:$E546,0),0)=0,Z557,INDEX(Spielauswertung!$AB546:$AE546,MATCH(Tabelle11[[#Headers],[Louis_W]],Spielauswertung!$B546:$E546,0))+Z557)</f>
        <v>87.497452285475362</v>
      </c>
      <c r="AA558" s="1">
        <f>IF(IFERROR(MATCH(Tabelle11[[#Headers],[Lukas_L]],Spielauswertung!$B546:$E546,0),0)=0,AA557,INDEX(Spielauswertung!$AB546:$AE546,MATCH(Tabelle11[[#Headers],[Lukas_L]],Spielauswertung!$B546:$E546,0))+AA557)</f>
        <v>98.447931341404143</v>
      </c>
      <c r="AB558" s="1">
        <f>IF(IFERROR(MATCH(Tabelle11[[#Headers],[Marcin_S]],Spielauswertung!$B546:$E546,0),0)=0,AB557,INDEX(Spielauswertung!$AB546:$AE546,MATCH(Tabelle11[[#Headers],[Marcin_S]],Spielauswertung!$B546:$E546,0))+AB557)</f>
        <v>85.463329105556824</v>
      </c>
      <c r="AC558" s="1">
        <f>IF(IFERROR(MATCH(Tabelle11[[#Headers],[Marco_K]],Spielauswertung!$B546:$E546,0),0)=0,AC557,INDEX(Spielauswertung!$AB546:$AE546,MATCH(Tabelle11[[#Headers],[Marco_K]],Spielauswertung!$B546:$E546,0))+AC557)</f>
        <v>102.12169819441469</v>
      </c>
      <c r="AD558" s="1">
        <f>IF(IFERROR(MATCH(Tabelle11[[#Headers],[Marius_M]],Spielauswertung!$B546:$E546,0),0)=0,AD557,INDEX(Spielauswertung!$AB546:$AE546,MATCH(Tabelle11[[#Headers],[Marius_M]],Spielauswertung!$B546:$E546,0))+AD557)</f>
        <v>124.54012374585781</v>
      </c>
      <c r="AE558" s="1">
        <f>IF(IFERROR(MATCH(Tabelle11[[#Headers],[Marvin_W]],Spielauswertung!$B546:$E546,0),0)=0,AE557,INDEX(Spielauswertung!$AB546:$AE546,MATCH(Tabelle11[[#Headers],[Marvin_W]],Spielauswertung!$B546:$E546,0))+AE557)</f>
        <v>96.700266280577438</v>
      </c>
      <c r="AF558" s="1">
        <f>IF(IFERROR(MATCH(Tabelle11[[#Headers],[Matthias_H]],Spielauswertung!$B546:$E546,0),0)=0,AF557,INDEX(Spielauswertung!$AB546:$AE546,MATCH(Tabelle11[[#Headers],[Matthias_H]],Spielauswertung!$B546:$E546,0))+AF557)</f>
        <v>105.42130178599372</v>
      </c>
      <c r="AG558" s="1">
        <f>IF(IFERROR(MATCH(Tabelle11[[#Headers],[Michael_D]],Spielauswertung!$B546:$E546,0),0)=0,AG557,INDEX(Spielauswertung!$AB546:$AE546,MATCH(Tabelle11[[#Headers],[Michael_D]],Spielauswertung!$B546:$E546,0))+AG557)</f>
        <v>96.436276170375336</v>
      </c>
      <c r="AH558" s="1">
        <f>IF(IFERROR(MATCH(Tabelle11[[#Headers],[Patrick_S]],Spielauswertung!$B546:$E546,0),0)=0,AH557,INDEX(Spielauswertung!$AB546:$AE546,MATCH(Tabelle11[[#Headers],[Patrick_S]],Spielauswertung!$B546:$E546,0))+AH557)</f>
        <v>98.975330692053802</v>
      </c>
      <c r="AI558" s="1">
        <f>IF(IFERROR(MATCH(Tabelle11[[#Headers],[Rano_M]],Spielauswertung!$B546:$E546,0),0)=0,AI557,INDEX(Spielauswertung!$AB546:$AE546,MATCH(Tabelle11[[#Headers],[Rano_M]],Spielauswertung!$B546:$E546,0))+AI557)</f>
        <v>109.38890657420265</v>
      </c>
      <c r="AJ558" s="1">
        <f>IF(IFERROR(MATCH(Tabelle11[[#Headers],[Rene_N]],Spielauswertung!$B546:$E546,0),0)=0,AJ557,INDEX(Spielauswertung!$AB546:$AE546,MATCH(Tabelle11[[#Headers],[Rene_N]],Spielauswertung!$B546:$E546,0))+AJ557)</f>
        <v>101.06482124619033</v>
      </c>
      <c r="AK558" s="1">
        <f>IF(IFERROR(MATCH(Tabelle11[[#Headers],[Rene_P]],Spielauswertung!$B546:$E546,0),0)=0,AK557,INDEX(Spielauswertung!$AB546:$AE546,MATCH(Tabelle11[[#Headers],[Rene_P]],Spielauswertung!$B546:$E546,0))+AK557)</f>
        <v>88.762543186332877</v>
      </c>
      <c r="AL558" s="1">
        <f>IF(IFERROR(MATCH(Tabelle11[[#Headers],[Richard_D]],Spielauswertung!$B546:$E546,0),0)=0,AL557,INDEX(Spielauswertung!$AB546:$AE546,MATCH(Tabelle11[[#Headers],[Richard_D]],Spielauswertung!$B546:$E546,0))+AL557)</f>
        <v>107.23233592026223</v>
      </c>
      <c r="AM558" s="1">
        <f>IF(IFERROR(MATCH(Tabelle11[[#Headers],[Rodrigo_R]],Spielauswertung!$B546:$E546,0),0)=0,AM557,INDEX(Spielauswertung!$AB546:$AE546,MATCH(Tabelle11[[#Headers],[Rodrigo_R]],Spielauswertung!$B546:$E546,0))+AM557)</f>
        <v>116.7028707921346</v>
      </c>
      <c r="AN558" s="1">
        <f>IF(IFERROR(MATCH(Tabelle11[[#Headers],[Sebastian_A]],Spielauswertung!$B546:$E546,0),0)=0,AN557,INDEX(Spielauswertung!$AB546:$AE546,MATCH(Tabelle11[[#Headers],[Sebastian_A]],Spielauswertung!$B546:$E546,0))+AN557)</f>
        <v>102.89457418671324</v>
      </c>
      <c r="AO558" s="1">
        <f>IF(IFERROR(MATCH(Tabelle11[[#Headers],[Sebastian_St]],Spielauswertung!$B546:$E546,0),0)=0,AO557,INDEX(Spielauswertung!$AB546:$AE546,MATCH(Tabelle11[[#Headers],[Sebastian_St]],Spielauswertung!$B546:$E546,0))+AO557)</f>
        <v>97.749574367408982</v>
      </c>
      <c r="AP558" s="1">
        <f>IF(IFERROR(MATCH(Tabelle11[[#Headers],[Simon_U]],Spielauswertung!$B546:$E546,0),0)=0,AP557,INDEX(Spielauswertung!$AB546:$AE546,MATCH(Tabelle11[[#Headers],[Simon_U]],Spielauswertung!$B546:$E546,0))+AP557)</f>
        <v>99.623054841470903</v>
      </c>
      <c r="AQ558" s="1">
        <f>IF(IFERROR(MATCH(Tabelle11[[#Headers],[Steffen_R]],Spielauswertung!$B546:$E546,0),0)=0,AQ557,INDEX(Spielauswertung!$AB546:$AE546,MATCH(Tabelle11[[#Headers],[Steffen_R]],Spielauswertung!$B546:$E546,0))+AQ557)</f>
        <v>93.247497067190949</v>
      </c>
      <c r="AR558" s="1">
        <f>IF(IFERROR(MATCH(Tabelle11[[#Headers],[Tim_R]],Spielauswertung!$B546:$E546,0),0)=0,AR557,INDEX(Spielauswertung!$AB546:$AE546,MATCH(Tabelle11[[#Headers],[Tim_R]],Spielauswertung!$B546:$E546,0))+AR557)</f>
        <v>103.07503787023374</v>
      </c>
      <c r="AS558" s="1">
        <f>IF(IFERROR(MATCH(Tabelle11[[#Headers],[Tobias_S]],Spielauswertung!$B546:$E546,0),0)=0,AS557,INDEX(Spielauswertung!$AB546:$AE546,MATCH(Tabelle11[[#Headers],[Tobias_S]],Spielauswertung!$B546:$E546,0))+AS557)</f>
        <v>98.6003422659997</v>
      </c>
      <c r="AT558" s="1">
        <f>IF(IFERROR(MATCH(Tabelle11[[#Headers],[Tom_R]],Spielauswertung!$B546:$E546,0),0)=0,AT557,INDEX(Spielauswertung!$AB546:$AE546,MATCH(Tabelle11[[#Headers],[Tom_R]],Spielauswertung!$B546:$E546,0))+AT557)</f>
        <v>112.62344492949197</v>
      </c>
      <c r="AU558" s="1">
        <f>IF(IFERROR(MATCH(Tabelle11[[#Headers],[Ton_L]],Spielauswertung!$B546:$E546,0),0)=0,AU557,INDEX(Spielauswertung!$AB546:$AE546,MATCH(Tabelle11[[#Headers],[Ton_L]],Spielauswertung!$B546:$E546,0))+AU557)</f>
        <v>92.683083360025861</v>
      </c>
      <c r="AV558" s="1">
        <f>IF(IFERROR(MATCH(Tabelle11[[#Headers],[Yixin_G]],Spielauswertung!$B546:$E546,0),0)=0,AV557,INDEX(Spielauswertung!$AB546:$AE546,MATCH(Tabelle11[[#Headers],[Yixin_G]],Spielauswertung!$B546:$E546,0))+AV557)</f>
        <v>99.900323214082661</v>
      </c>
      <c r="AW558" s="1">
        <f>IF(IFERROR(MATCH(Tabelle11[[#Headers],[Spalte36]],Spielauswertung!$B546:$E546,0),0)=0,AW557,INDEX(Spielauswertung!$AB546:$AE546,MATCH(Tabelle11[[#Headers],[Spalte36]],Spielauswertung!$B546:$E546,0))+AW557)</f>
        <v>100</v>
      </c>
      <c r="AX558" s="1">
        <f>IF(IFERROR(MATCH(Tabelle11[[#Headers],[Spalte37]],Spielauswertung!$B546:$E546,0),0)=0,AX557,INDEX(Spielauswertung!$AB546:$AE546,MATCH(Tabelle11[[#Headers],[Spalte37]],Spielauswertung!$B546:$E546,0))+AX557)</f>
        <v>100</v>
      </c>
      <c r="AY558" s="1">
        <f>IF(IFERROR(MATCH(Tabelle11[[#Headers],[Spalte38]],Spielauswertung!$B546:$E546,0),0)=0,AY557,INDEX(Spielauswertung!$AB546:$AE546,MATCH(Tabelle11[[#Headers],[Spalte38]],Spielauswertung!$B546:$E546,0))+AY557)</f>
        <v>100</v>
      </c>
      <c r="AZ558" s="1">
        <f>IF(IFERROR(MATCH(Tabelle11[[#Headers],[Spalte39]],Spielauswertung!$B546:$E546,0),0)=0,AZ557,INDEX(Spielauswertung!$AB546:$AE546,MATCH(Tabelle11[[#Headers],[Spalte39]],Spielauswertung!$B546:$E546,0))+AZ557)</f>
        <v>100</v>
      </c>
      <c r="BA558" s="1">
        <f>IF(IFERROR(MATCH(Tabelle11[[#Headers],[Spalte40]],Spielauswertung!$B546:$E546,0),0)=0,BA557,INDEX(Spielauswertung!$AB546:$AE546,MATCH(Tabelle11[[#Headers],[Spalte40]],Spielauswertung!$B546:$E546,0))+BA557)</f>
        <v>100</v>
      </c>
      <c r="BB558" s="1">
        <f>IF(IFERROR(MATCH(Tabelle11[[#Headers],[Spalte41]],Spielauswertung!$B546:$E546,0),0)=0,BB557,INDEX(Spielauswertung!$AB546:$AE546,MATCH(Tabelle11[[#Headers],[Spalte41]],Spielauswertung!$B546:$E546,0))+BB557)</f>
        <v>100</v>
      </c>
      <c r="BC558" s="1">
        <f>IF(IFERROR(MATCH(Tabelle11[[#Headers],[Spalte42]],Spielauswertung!$B546:$E546,0),0)=0,BC557,INDEX(Spielauswertung!$AB546:$AE546,MATCH(Tabelle11[[#Headers],[Spalte42]],Spielauswertung!$B546:$E546,0))+BC557)</f>
        <v>100</v>
      </c>
      <c r="BD558" s="1">
        <f>IF(IFERROR(MATCH(Tabelle11[[#Headers],[Spalte43]],Spielauswertung!$B546:$E546,0),0)=0,BD557,INDEX(Spielauswertung!$AB546:$AE546,MATCH(Tabelle11[[#Headers],[Spalte43]],Spielauswertung!$B546:$E546,0))+BD557)</f>
        <v>100</v>
      </c>
      <c r="BE558" s="1">
        <f>IF(IFERROR(MATCH(Tabelle11[[#Headers],[Spalte44]],Spielauswertung!$B546:$E546,0),0)=0,BE557,INDEX(Spielauswertung!$AB546:$AE546,MATCH(Tabelle11[[#Headers],[Spalte44]],Spielauswertung!$B546:$E546,0))+BE557)</f>
        <v>100</v>
      </c>
      <c r="BF558" s="1">
        <f>IF(IFERROR(MATCH(Tabelle11[[#Headers],[Spalte45]],Spielauswertung!$B546:$E546,0),0)=0,BF557,INDEX(Spielauswertung!$AB546:$AE546,MATCH(Tabelle11[[#Headers],[Spalte45]],Spielauswertung!$B546:$E546,0))+BF557)</f>
        <v>100</v>
      </c>
      <c r="BG558" s="1">
        <f>IF(IFERROR(MATCH(Tabelle11[[#Headers],[Spalte46]],Spielauswertung!$B546:$E546,0),0)=0,BG557,INDEX(Spielauswertung!$AB546:$AE546,MATCH(Tabelle11[[#Headers],[Spalte46]],Spielauswertung!$B546:$E546,0))+BG557)</f>
        <v>100</v>
      </c>
      <c r="BH558" s="1">
        <f>IF(IFERROR(MATCH(Tabelle11[[#Headers],[Spalte47]],Spielauswertung!$B546:$E546,0),0)=0,BH557,INDEX(Spielauswertung!$AB546:$AE546,MATCH(Tabelle11[[#Headers],[Spalte47]],Spielauswertung!$B546:$E546,0))+BH557)</f>
        <v>100</v>
      </c>
    </row>
    <row r="559" spans="1:60" x14ac:dyDescent="0.25">
      <c r="A559">
        <f t="shared" si="9"/>
        <v>546</v>
      </c>
      <c r="B559" s="1">
        <f>IF(IFERROR(MATCH(Tabelle11[[#Headers],[Aleix_V]],Spielauswertung!$B547:$E547,0),0)=0,B558,INDEX(Spielauswertung!$AB547:$AE547,MATCH(Tabelle11[[#Headers],[Aleix_V]],Spielauswertung!$B547:$E547,0))+B558)</f>
        <v>102.47318019444646</v>
      </c>
      <c r="C559" s="1">
        <f>IF(IFERROR(MATCH(Tabelle11[[#Headers],[Andres_H]],Spielauswertung!$B547:$E547,0),0)=0,C558,INDEX(Spielauswertung!$AB547:$AE547,MATCH(Tabelle11[[#Headers],[Andres_H]],Spielauswertung!$B547:$E547,0))+C558)</f>
        <v>95.535732339111306</v>
      </c>
      <c r="D559" s="1">
        <f>IF(IFERROR(MATCH(Tabelle11[[#Headers],[Anton_K]],Spielauswertung!$B547:$E547,0),0)=0,D558,INDEX(Spielauswertung!$AB547:$AE547,MATCH(Tabelle11[[#Headers],[Anton_K]],Spielauswertung!$B547:$E547,0))+D558)</f>
        <v>99.287728777054667</v>
      </c>
      <c r="E559" s="1">
        <f>IF(IFERROR(MATCH(Tabelle11[[#Headers],[Bastian_G]],Spielauswertung!$B547:$E547,0),0)=0,E558,INDEX(Spielauswertung!$AB547:$AE547,MATCH(Tabelle11[[#Headers],[Bastian_G]],Spielauswertung!$B547:$E547,0))+E558)</f>
        <v>117.49978695184252</v>
      </c>
      <c r="F559" s="1">
        <f>IF(IFERROR(MATCH(Tabelle11[[#Headers],[Ben_S]],Spielauswertung!$B547:$E547,0),0)=0,F558,INDEX(Spielauswertung!$AB547:$AE547,MATCH(Tabelle11[[#Headers],[Ben_S]],Spielauswertung!$B547:$E547,0))+F558)</f>
        <v>95.932799101521084</v>
      </c>
      <c r="G559" s="1">
        <f>IF(IFERROR(MATCH(Tabelle11[[#Headers],[Benedikt_K]],Spielauswertung!$B547:$E547,0),0)=0,G558,INDEX(Spielauswertung!$AB547:$AE547,MATCH(Tabelle11[[#Headers],[Benedikt_K]],Spielauswertung!$B547:$E547,0))+G558)</f>
        <v>101.20264176422626</v>
      </c>
      <c r="H559" s="1">
        <f>IF(IFERROR(MATCH(Tabelle11[[#Headers],[Benedikt_R]],Spielauswertung!$B547:$E547,0),0)=0,H558,INDEX(Spielauswertung!$AB547:$AE547,MATCH(Tabelle11[[#Headers],[Benedikt_R]],Spielauswertung!$B547:$E547,0))+H558)</f>
        <v>102.6264770510757</v>
      </c>
      <c r="I559" s="1">
        <f>IF(IFERROR(MATCH(Tabelle11[[#Headers],[Carsten_H]],Spielauswertung!$B547:$E547,0),0)=0,I558,INDEX(Spielauswertung!$AB547:$AE547,MATCH(Tabelle11[[#Headers],[Carsten_H]],Spielauswertung!$B547:$E547,0))+I558)</f>
        <v>90.817185094326874</v>
      </c>
      <c r="J559" s="1">
        <f>IF(IFERROR(MATCH(Tabelle11[[#Headers],[Christoph_R]],Spielauswertung!$B547:$E547,0),0)=0,J558,INDEX(Spielauswertung!$AB547:$AE547,MATCH(Tabelle11[[#Headers],[Christoph_R]],Spielauswertung!$B547:$E547,0))+J558)</f>
        <v>109.73261611443155</v>
      </c>
      <c r="K559" s="1">
        <f>IF(IFERROR(MATCH(Tabelle11[[#Headers],[Claudius_J]],Spielauswertung!$B547:$E547,0),0)=0,K558,INDEX(Spielauswertung!$AB547:$AE547,MATCH(Tabelle11[[#Headers],[Claudius_J]],Spielauswertung!$B547:$E547,0))+K558)</f>
        <v>106.16590636000029</v>
      </c>
      <c r="L559" s="1">
        <f>IF(IFERROR(MATCH(Tabelle11[[#Headers],[Daniel_D]],Spielauswertung!$B547:$E547,0),0)=0,L558,INDEX(Spielauswertung!$AB547:$AE547,MATCH(Tabelle11[[#Headers],[Daniel_D]],Spielauswertung!$B547:$E547,0))+L558)</f>
        <v>99.990299180470089</v>
      </c>
      <c r="M559" s="1">
        <f>IF(IFERROR(MATCH(Tabelle11[[#Headers],[David_R]],Spielauswertung!$B547:$E547,0),0)=0,M558,INDEX(Spielauswertung!$AB547:$AE547,MATCH(Tabelle11[[#Headers],[David_R]],Spielauswertung!$B547:$E547,0))+M558)</f>
        <v>96.715943522481638</v>
      </c>
      <c r="N559" s="1">
        <f>IF(IFERROR(MATCH(Tabelle11[[#Headers],[Dennis_P]],Spielauswertung!$B547:$E547,0),0)=0,N558,INDEX(Spielauswertung!$AB547:$AE547,MATCH(Tabelle11[[#Headers],[Dennis_P]],Spielauswertung!$B547:$E547,0))+N558)</f>
        <v>100.04773223105254</v>
      </c>
      <c r="O559" s="1">
        <f>IF(IFERROR(MATCH(Tabelle11[[#Headers],[Dennis_R]],Spielauswertung!$B547:$E547,0),0)=0,O558,INDEX(Spielauswertung!$AB547:$AE547,MATCH(Tabelle11[[#Headers],[Dennis_R]],Spielauswertung!$B547:$E547,0))+O558)</f>
        <v>75.131680864937195</v>
      </c>
      <c r="P559" s="1">
        <f>IF(IFERROR(MATCH(Tabelle11[[#Headers],[Detlef_R]],Spielauswertung!$B547:$E547,0),0)=0,P558,INDEX(Spielauswertung!$AB547:$AE547,MATCH(Tabelle11[[#Headers],[Detlef_R]],Spielauswertung!$B547:$E547,0))+P558)</f>
        <v>87.984671797367014</v>
      </c>
      <c r="Q559" s="1">
        <f>IF(IFERROR(MATCH(Tabelle11[[#Headers],[Dmitrij_M]],Spielauswertung!$B547:$E547,0),0)=0,Q558,INDEX(Spielauswertung!$AB547:$AE547,MATCH(Tabelle11[[#Headers],[Dmitrij_M]],Spielauswertung!$B547:$E547,0))+Q558)</f>
        <v>100.69975721846207</v>
      </c>
      <c r="R559" s="1">
        <f>IF(IFERROR(MATCH(Tabelle11[[#Headers],[Fabian_M]],Spielauswertung!$B547:$E547,0),0)=0,R558,INDEX(Spielauswertung!$AB547:$AE547,MATCH(Tabelle11[[#Headers],[Fabian_M]],Spielauswertung!$B547:$E547,0))+R558)</f>
        <v>95.805387841610738</v>
      </c>
      <c r="S559" s="1">
        <f>IF(IFERROR(MATCH(Tabelle11[[#Headers],[Hannes_S]],Spielauswertung!$B547:$E547,0),0)=0,S558,INDEX(Spielauswertung!$AB547:$AE547,MATCH(Tabelle11[[#Headers],[Hannes_S]],Spielauswertung!$B547:$E547,0))+S558)</f>
        <v>104.83899184012799</v>
      </c>
      <c r="T559" s="1">
        <f>IF(IFERROR(MATCH(Tabelle11[[#Headers],[Jan_B]],Spielauswertung!$B547:$E547,0),0)=0,T558,INDEX(Spielauswertung!$AB547:$AE547,MATCH(Tabelle11[[#Headers],[Jan_B]],Spielauswertung!$B547:$E547,0))+T558)</f>
        <v>100.2794420429173</v>
      </c>
      <c r="U559" s="1">
        <f>IF(IFERROR(MATCH(Tabelle11[[#Headers],[Jan_Hendrik_B]],Spielauswertung!$B547:$E547,0),0)=0,U558,INDEX(Spielauswertung!$AB547:$AE547,MATCH(Tabelle11[[#Headers],[Jan_Hendrik_B]],Spielauswertung!$B547:$E547,0))+U558)</f>
        <v>100.75492416935522</v>
      </c>
      <c r="V559" s="1">
        <f>IF(IFERROR(MATCH(Tabelle11[[#Headers],[Jens_N]],Spielauswertung!$B547:$E547,0),0)=0,V558,INDEX(Spielauswertung!$AB547:$AE547,MATCH(Tabelle11[[#Headers],[Jens_N]],Spielauswertung!$B547:$E547,0))+V558)</f>
        <v>99.643534710196832</v>
      </c>
      <c r="W559" s="1">
        <f>IF(IFERROR(MATCH(Tabelle11[[#Headers],[Johannes_S]],Spielauswertung!$B547:$E547,0),0)=0,W558,INDEX(Spielauswertung!$AB547:$AE547,MATCH(Tabelle11[[#Headers],[Johannes_S]],Spielauswertung!$B547:$E547,0))+W558)</f>
        <v>102.20284750979505</v>
      </c>
      <c r="X559" s="1">
        <f>IF(IFERROR(MATCH(Tabelle11[[#Headers],[Jonathan_F]],Spielauswertung!$B547:$E547,0),0)=0,X558,INDEX(Spielauswertung!$AB547:$AE547,MATCH(Tabelle11[[#Headers],[Jonathan_F]],Spielauswertung!$B547:$E547,0))+X558)</f>
        <v>98.938308797866256</v>
      </c>
      <c r="Y559" s="1">
        <f>IF(IFERROR(MATCH(Tabelle11[[#Headers],[Julius_P]],Spielauswertung!$B547:$E547,0),0)=0,Y558,INDEX(Spielauswertung!$AB547:$AE547,MATCH(Tabelle11[[#Headers],[Julius_P]],Spielauswertung!$B547:$E547,0))+Y558)</f>
        <v>96.540305101873642</v>
      </c>
      <c r="Z559" s="1">
        <f>IF(IFERROR(MATCH(Tabelle11[[#Headers],[Louis_W]],Spielauswertung!$B547:$E547,0),0)=0,Z558,INDEX(Spielauswertung!$AB547:$AE547,MATCH(Tabelle11[[#Headers],[Louis_W]],Spielauswertung!$B547:$E547,0))+Z558)</f>
        <v>87.497452285475362</v>
      </c>
      <c r="AA559" s="1">
        <f>IF(IFERROR(MATCH(Tabelle11[[#Headers],[Lukas_L]],Spielauswertung!$B547:$E547,0),0)=0,AA558,INDEX(Spielauswertung!$AB547:$AE547,MATCH(Tabelle11[[#Headers],[Lukas_L]],Spielauswertung!$B547:$E547,0))+AA558)</f>
        <v>98.447931341404143</v>
      </c>
      <c r="AB559" s="1">
        <f>IF(IFERROR(MATCH(Tabelle11[[#Headers],[Marcin_S]],Spielauswertung!$B547:$E547,0),0)=0,AB558,INDEX(Spielauswertung!$AB547:$AE547,MATCH(Tabelle11[[#Headers],[Marcin_S]],Spielauswertung!$B547:$E547,0))+AB558)</f>
        <v>85.463329105556824</v>
      </c>
      <c r="AC559" s="1">
        <f>IF(IFERROR(MATCH(Tabelle11[[#Headers],[Marco_K]],Spielauswertung!$B547:$E547,0),0)=0,AC558,INDEX(Spielauswertung!$AB547:$AE547,MATCH(Tabelle11[[#Headers],[Marco_K]],Spielauswertung!$B547:$E547,0))+AC558)</f>
        <v>102.12169819441469</v>
      </c>
      <c r="AD559" s="1">
        <f>IF(IFERROR(MATCH(Tabelle11[[#Headers],[Marius_M]],Spielauswertung!$B547:$E547,0),0)=0,AD558,INDEX(Spielauswertung!$AB547:$AE547,MATCH(Tabelle11[[#Headers],[Marius_M]],Spielauswertung!$B547:$E547,0))+AD558)</f>
        <v>124.54012374585781</v>
      </c>
      <c r="AE559" s="1">
        <f>IF(IFERROR(MATCH(Tabelle11[[#Headers],[Marvin_W]],Spielauswertung!$B547:$E547,0),0)=0,AE558,INDEX(Spielauswertung!$AB547:$AE547,MATCH(Tabelle11[[#Headers],[Marvin_W]],Spielauswertung!$B547:$E547,0))+AE558)</f>
        <v>96.700266280577438</v>
      </c>
      <c r="AF559" s="1">
        <f>IF(IFERROR(MATCH(Tabelle11[[#Headers],[Matthias_H]],Spielauswertung!$B547:$E547,0),0)=0,AF558,INDEX(Spielauswertung!$AB547:$AE547,MATCH(Tabelle11[[#Headers],[Matthias_H]],Spielauswertung!$B547:$E547,0))+AF558)</f>
        <v>105.42130178599372</v>
      </c>
      <c r="AG559" s="1">
        <f>IF(IFERROR(MATCH(Tabelle11[[#Headers],[Michael_D]],Spielauswertung!$B547:$E547,0),0)=0,AG558,INDEX(Spielauswertung!$AB547:$AE547,MATCH(Tabelle11[[#Headers],[Michael_D]],Spielauswertung!$B547:$E547,0))+AG558)</f>
        <v>96.436276170375336</v>
      </c>
      <c r="AH559" s="1">
        <f>IF(IFERROR(MATCH(Tabelle11[[#Headers],[Patrick_S]],Spielauswertung!$B547:$E547,0),0)=0,AH558,INDEX(Spielauswertung!$AB547:$AE547,MATCH(Tabelle11[[#Headers],[Patrick_S]],Spielauswertung!$B547:$E547,0))+AH558)</f>
        <v>98.975330692053802</v>
      </c>
      <c r="AI559" s="1">
        <f>IF(IFERROR(MATCH(Tabelle11[[#Headers],[Rano_M]],Spielauswertung!$B547:$E547,0),0)=0,AI558,INDEX(Spielauswertung!$AB547:$AE547,MATCH(Tabelle11[[#Headers],[Rano_M]],Spielauswertung!$B547:$E547,0))+AI558)</f>
        <v>109.38890657420265</v>
      </c>
      <c r="AJ559" s="1">
        <f>IF(IFERROR(MATCH(Tabelle11[[#Headers],[Rene_N]],Spielauswertung!$B547:$E547,0),0)=0,AJ558,INDEX(Spielauswertung!$AB547:$AE547,MATCH(Tabelle11[[#Headers],[Rene_N]],Spielauswertung!$B547:$E547,0))+AJ558)</f>
        <v>101.06482124619033</v>
      </c>
      <c r="AK559" s="1">
        <f>IF(IFERROR(MATCH(Tabelle11[[#Headers],[Rene_P]],Spielauswertung!$B547:$E547,0),0)=0,AK558,INDEX(Spielauswertung!$AB547:$AE547,MATCH(Tabelle11[[#Headers],[Rene_P]],Spielauswertung!$B547:$E547,0))+AK558)</f>
        <v>88.762543186332877</v>
      </c>
      <c r="AL559" s="1">
        <f>IF(IFERROR(MATCH(Tabelle11[[#Headers],[Richard_D]],Spielauswertung!$B547:$E547,0),0)=0,AL558,INDEX(Spielauswertung!$AB547:$AE547,MATCH(Tabelle11[[#Headers],[Richard_D]],Spielauswertung!$B547:$E547,0))+AL558)</f>
        <v>107.23233592026223</v>
      </c>
      <c r="AM559" s="1">
        <f>IF(IFERROR(MATCH(Tabelle11[[#Headers],[Rodrigo_R]],Spielauswertung!$B547:$E547,0),0)=0,AM558,INDEX(Spielauswertung!$AB547:$AE547,MATCH(Tabelle11[[#Headers],[Rodrigo_R]],Spielauswertung!$B547:$E547,0))+AM558)</f>
        <v>116.7028707921346</v>
      </c>
      <c r="AN559" s="1">
        <f>IF(IFERROR(MATCH(Tabelle11[[#Headers],[Sebastian_A]],Spielauswertung!$B547:$E547,0),0)=0,AN558,INDEX(Spielauswertung!$AB547:$AE547,MATCH(Tabelle11[[#Headers],[Sebastian_A]],Spielauswertung!$B547:$E547,0))+AN558)</f>
        <v>102.89457418671324</v>
      </c>
      <c r="AO559" s="1">
        <f>IF(IFERROR(MATCH(Tabelle11[[#Headers],[Sebastian_St]],Spielauswertung!$B547:$E547,0),0)=0,AO558,INDEX(Spielauswertung!$AB547:$AE547,MATCH(Tabelle11[[#Headers],[Sebastian_St]],Spielauswertung!$B547:$E547,0))+AO558)</f>
        <v>97.749574367408982</v>
      </c>
      <c r="AP559" s="1">
        <f>IF(IFERROR(MATCH(Tabelle11[[#Headers],[Simon_U]],Spielauswertung!$B547:$E547,0),0)=0,AP558,INDEX(Spielauswertung!$AB547:$AE547,MATCH(Tabelle11[[#Headers],[Simon_U]],Spielauswertung!$B547:$E547,0))+AP558)</f>
        <v>99.623054841470903</v>
      </c>
      <c r="AQ559" s="1">
        <f>IF(IFERROR(MATCH(Tabelle11[[#Headers],[Steffen_R]],Spielauswertung!$B547:$E547,0),0)=0,AQ558,INDEX(Spielauswertung!$AB547:$AE547,MATCH(Tabelle11[[#Headers],[Steffen_R]],Spielauswertung!$B547:$E547,0))+AQ558)</f>
        <v>93.247497067190949</v>
      </c>
      <c r="AR559" s="1">
        <f>IF(IFERROR(MATCH(Tabelle11[[#Headers],[Tim_R]],Spielauswertung!$B547:$E547,0),0)=0,AR558,INDEX(Spielauswertung!$AB547:$AE547,MATCH(Tabelle11[[#Headers],[Tim_R]],Spielauswertung!$B547:$E547,0))+AR558)</f>
        <v>103.07503787023374</v>
      </c>
      <c r="AS559" s="1">
        <f>IF(IFERROR(MATCH(Tabelle11[[#Headers],[Tobias_S]],Spielauswertung!$B547:$E547,0),0)=0,AS558,INDEX(Spielauswertung!$AB547:$AE547,MATCH(Tabelle11[[#Headers],[Tobias_S]],Spielauswertung!$B547:$E547,0))+AS558)</f>
        <v>98.6003422659997</v>
      </c>
      <c r="AT559" s="1">
        <f>IF(IFERROR(MATCH(Tabelle11[[#Headers],[Tom_R]],Spielauswertung!$B547:$E547,0),0)=0,AT558,INDEX(Spielauswertung!$AB547:$AE547,MATCH(Tabelle11[[#Headers],[Tom_R]],Spielauswertung!$B547:$E547,0))+AT558)</f>
        <v>112.62344492949197</v>
      </c>
      <c r="AU559" s="1">
        <f>IF(IFERROR(MATCH(Tabelle11[[#Headers],[Ton_L]],Spielauswertung!$B547:$E547,0),0)=0,AU558,INDEX(Spielauswertung!$AB547:$AE547,MATCH(Tabelle11[[#Headers],[Ton_L]],Spielauswertung!$B547:$E547,0))+AU558)</f>
        <v>92.683083360025861</v>
      </c>
      <c r="AV559" s="1">
        <f>IF(IFERROR(MATCH(Tabelle11[[#Headers],[Yixin_G]],Spielauswertung!$B547:$E547,0),0)=0,AV558,INDEX(Spielauswertung!$AB547:$AE547,MATCH(Tabelle11[[#Headers],[Yixin_G]],Spielauswertung!$B547:$E547,0))+AV558)</f>
        <v>99.900323214082661</v>
      </c>
      <c r="AW559" s="1">
        <f>IF(IFERROR(MATCH(Tabelle11[[#Headers],[Spalte36]],Spielauswertung!$B547:$E547,0),0)=0,AW558,INDEX(Spielauswertung!$AB547:$AE547,MATCH(Tabelle11[[#Headers],[Spalte36]],Spielauswertung!$B547:$E547,0))+AW558)</f>
        <v>100</v>
      </c>
      <c r="AX559" s="1">
        <f>IF(IFERROR(MATCH(Tabelle11[[#Headers],[Spalte37]],Spielauswertung!$B547:$E547,0),0)=0,AX558,INDEX(Spielauswertung!$AB547:$AE547,MATCH(Tabelle11[[#Headers],[Spalte37]],Spielauswertung!$B547:$E547,0))+AX558)</f>
        <v>100</v>
      </c>
      <c r="AY559" s="1">
        <f>IF(IFERROR(MATCH(Tabelle11[[#Headers],[Spalte38]],Spielauswertung!$B547:$E547,0),0)=0,AY558,INDEX(Spielauswertung!$AB547:$AE547,MATCH(Tabelle11[[#Headers],[Spalte38]],Spielauswertung!$B547:$E547,0))+AY558)</f>
        <v>100</v>
      </c>
      <c r="AZ559" s="1">
        <f>IF(IFERROR(MATCH(Tabelle11[[#Headers],[Spalte39]],Spielauswertung!$B547:$E547,0),0)=0,AZ558,INDEX(Spielauswertung!$AB547:$AE547,MATCH(Tabelle11[[#Headers],[Spalte39]],Spielauswertung!$B547:$E547,0))+AZ558)</f>
        <v>100</v>
      </c>
      <c r="BA559" s="1">
        <f>IF(IFERROR(MATCH(Tabelle11[[#Headers],[Spalte40]],Spielauswertung!$B547:$E547,0),0)=0,BA558,INDEX(Spielauswertung!$AB547:$AE547,MATCH(Tabelle11[[#Headers],[Spalte40]],Spielauswertung!$B547:$E547,0))+BA558)</f>
        <v>100</v>
      </c>
      <c r="BB559" s="1">
        <f>IF(IFERROR(MATCH(Tabelle11[[#Headers],[Spalte41]],Spielauswertung!$B547:$E547,0),0)=0,BB558,INDEX(Spielauswertung!$AB547:$AE547,MATCH(Tabelle11[[#Headers],[Spalte41]],Spielauswertung!$B547:$E547,0))+BB558)</f>
        <v>100</v>
      </c>
      <c r="BC559" s="1">
        <f>IF(IFERROR(MATCH(Tabelle11[[#Headers],[Spalte42]],Spielauswertung!$B547:$E547,0),0)=0,BC558,INDEX(Spielauswertung!$AB547:$AE547,MATCH(Tabelle11[[#Headers],[Spalte42]],Spielauswertung!$B547:$E547,0))+BC558)</f>
        <v>100</v>
      </c>
      <c r="BD559" s="1">
        <f>IF(IFERROR(MATCH(Tabelle11[[#Headers],[Spalte43]],Spielauswertung!$B547:$E547,0),0)=0,BD558,INDEX(Spielauswertung!$AB547:$AE547,MATCH(Tabelle11[[#Headers],[Spalte43]],Spielauswertung!$B547:$E547,0))+BD558)</f>
        <v>100</v>
      </c>
      <c r="BE559" s="1">
        <f>IF(IFERROR(MATCH(Tabelle11[[#Headers],[Spalte44]],Spielauswertung!$B547:$E547,0),0)=0,BE558,INDEX(Spielauswertung!$AB547:$AE547,MATCH(Tabelle11[[#Headers],[Spalte44]],Spielauswertung!$B547:$E547,0))+BE558)</f>
        <v>100</v>
      </c>
      <c r="BF559" s="1">
        <f>IF(IFERROR(MATCH(Tabelle11[[#Headers],[Spalte45]],Spielauswertung!$B547:$E547,0),0)=0,BF558,INDEX(Spielauswertung!$AB547:$AE547,MATCH(Tabelle11[[#Headers],[Spalte45]],Spielauswertung!$B547:$E547,0))+BF558)</f>
        <v>100</v>
      </c>
      <c r="BG559" s="1">
        <f>IF(IFERROR(MATCH(Tabelle11[[#Headers],[Spalte46]],Spielauswertung!$B547:$E547,0),0)=0,BG558,INDEX(Spielauswertung!$AB547:$AE547,MATCH(Tabelle11[[#Headers],[Spalte46]],Spielauswertung!$B547:$E547,0))+BG558)</f>
        <v>100</v>
      </c>
      <c r="BH559" s="1">
        <f>IF(IFERROR(MATCH(Tabelle11[[#Headers],[Spalte47]],Spielauswertung!$B547:$E547,0),0)=0,BH558,INDEX(Spielauswertung!$AB547:$AE547,MATCH(Tabelle11[[#Headers],[Spalte47]],Spielauswertung!$B547:$E547,0))+BH558)</f>
        <v>100</v>
      </c>
    </row>
    <row r="560" spans="1:60" x14ac:dyDescent="0.25">
      <c r="A560">
        <f t="shared" si="9"/>
        <v>547</v>
      </c>
      <c r="B560" s="1">
        <f>IF(IFERROR(MATCH(Tabelle11[[#Headers],[Aleix_V]],Spielauswertung!$B548:$E548,0),0)=0,B559,INDEX(Spielauswertung!$AB548:$AE548,MATCH(Tabelle11[[#Headers],[Aleix_V]],Spielauswertung!$B548:$E548,0))+B559)</f>
        <v>102.47318019444646</v>
      </c>
      <c r="C560" s="1">
        <f>IF(IFERROR(MATCH(Tabelle11[[#Headers],[Andres_H]],Spielauswertung!$B548:$E548,0),0)=0,C559,INDEX(Spielauswertung!$AB548:$AE548,MATCH(Tabelle11[[#Headers],[Andres_H]],Spielauswertung!$B548:$E548,0))+C559)</f>
        <v>95.535732339111306</v>
      </c>
      <c r="D560" s="1">
        <f>IF(IFERROR(MATCH(Tabelle11[[#Headers],[Anton_K]],Spielauswertung!$B548:$E548,0),0)=0,D559,INDEX(Spielauswertung!$AB548:$AE548,MATCH(Tabelle11[[#Headers],[Anton_K]],Spielauswertung!$B548:$E548,0))+D559)</f>
        <v>99.287728777054667</v>
      </c>
      <c r="E560" s="1">
        <f>IF(IFERROR(MATCH(Tabelle11[[#Headers],[Bastian_G]],Spielauswertung!$B548:$E548,0),0)=0,E559,INDEX(Spielauswertung!$AB548:$AE548,MATCH(Tabelle11[[#Headers],[Bastian_G]],Spielauswertung!$B548:$E548,0))+E559)</f>
        <v>117.49978695184252</v>
      </c>
      <c r="F560" s="1">
        <f>IF(IFERROR(MATCH(Tabelle11[[#Headers],[Ben_S]],Spielauswertung!$B548:$E548,0),0)=0,F559,INDEX(Spielauswertung!$AB548:$AE548,MATCH(Tabelle11[[#Headers],[Ben_S]],Spielauswertung!$B548:$E548,0))+F559)</f>
        <v>95.932799101521084</v>
      </c>
      <c r="G560" s="1">
        <f>IF(IFERROR(MATCH(Tabelle11[[#Headers],[Benedikt_K]],Spielauswertung!$B548:$E548,0),0)=0,G559,INDEX(Spielauswertung!$AB548:$AE548,MATCH(Tabelle11[[#Headers],[Benedikt_K]],Spielauswertung!$B548:$E548,0))+G559)</f>
        <v>101.20264176422626</v>
      </c>
      <c r="H560" s="1">
        <f>IF(IFERROR(MATCH(Tabelle11[[#Headers],[Benedikt_R]],Spielauswertung!$B548:$E548,0),0)=0,H559,INDEX(Spielauswertung!$AB548:$AE548,MATCH(Tabelle11[[#Headers],[Benedikt_R]],Spielauswertung!$B548:$E548,0))+H559)</f>
        <v>102.6264770510757</v>
      </c>
      <c r="I560" s="1">
        <f>IF(IFERROR(MATCH(Tabelle11[[#Headers],[Carsten_H]],Spielauswertung!$B548:$E548,0),0)=0,I559,INDEX(Spielauswertung!$AB548:$AE548,MATCH(Tabelle11[[#Headers],[Carsten_H]],Spielauswertung!$B548:$E548,0))+I559)</f>
        <v>90.817185094326874</v>
      </c>
      <c r="J560" s="1">
        <f>IF(IFERROR(MATCH(Tabelle11[[#Headers],[Christoph_R]],Spielauswertung!$B548:$E548,0),0)=0,J559,INDEX(Spielauswertung!$AB548:$AE548,MATCH(Tabelle11[[#Headers],[Christoph_R]],Spielauswertung!$B548:$E548,0))+J559)</f>
        <v>109.73261611443155</v>
      </c>
      <c r="K560" s="1">
        <f>IF(IFERROR(MATCH(Tabelle11[[#Headers],[Claudius_J]],Spielauswertung!$B548:$E548,0),0)=0,K559,INDEX(Spielauswertung!$AB548:$AE548,MATCH(Tabelle11[[#Headers],[Claudius_J]],Spielauswertung!$B548:$E548,0))+K559)</f>
        <v>106.16590636000029</v>
      </c>
      <c r="L560" s="1">
        <f>IF(IFERROR(MATCH(Tabelle11[[#Headers],[Daniel_D]],Spielauswertung!$B548:$E548,0),0)=0,L559,INDEX(Spielauswertung!$AB548:$AE548,MATCH(Tabelle11[[#Headers],[Daniel_D]],Spielauswertung!$B548:$E548,0))+L559)</f>
        <v>99.990299180470089</v>
      </c>
      <c r="M560" s="1">
        <f>IF(IFERROR(MATCH(Tabelle11[[#Headers],[David_R]],Spielauswertung!$B548:$E548,0),0)=0,M559,INDEX(Spielauswertung!$AB548:$AE548,MATCH(Tabelle11[[#Headers],[David_R]],Spielauswertung!$B548:$E548,0))+M559)</f>
        <v>96.715943522481638</v>
      </c>
      <c r="N560" s="1">
        <f>IF(IFERROR(MATCH(Tabelle11[[#Headers],[Dennis_P]],Spielauswertung!$B548:$E548,0),0)=0,N559,INDEX(Spielauswertung!$AB548:$AE548,MATCH(Tabelle11[[#Headers],[Dennis_P]],Spielauswertung!$B548:$E548,0))+N559)</f>
        <v>100.04773223105254</v>
      </c>
      <c r="O560" s="1">
        <f>IF(IFERROR(MATCH(Tabelle11[[#Headers],[Dennis_R]],Spielauswertung!$B548:$E548,0),0)=0,O559,INDEX(Spielauswertung!$AB548:$AE548,MATCH(Tabelle11[[#Headers],[Dennis_R]],Spielauswertung!$B548:$E548,0))+O559)</f>
        <v>75.131680864937195</v>
      </c>
      <c r="P560" s="1">
        <f>IF(IFERROR(MATCH(Tabelle11[[#Headers],[Detlef_R]],Spielauswertung!$B548:$E548,0),0)=0,P559,INDEX(Spielauswertung!$AB548:$AE548,MATCH(Tabelle11[[#Headers],[Detlef_R]],Spielauswertung!$B548:$E548,0))+P559)</f>
        <v>87.984671797367014</v>
      </c>
      <c r="Q560" s="1">
        <f>IF(IFERROR(MATCH(Tabelle11[[#Headers],[Dmitrij_M]],Spielauswertung!$B548:$E548,0),0)=0,Q559,INDEX(Spielauswertung!$AB548:$AE548,MATCH(Tabelle11[[#Headers],[Dmitrij_M]],Spielauswertung!$B548:$E548,0))+Q559)</f>
        <v>100.69975721846207</v>
      </c>
      <c r="R560" s="1">
        <f>IF(IFERROR(MATCH(Tabelle11[[#Headers],[Fabian_M]],Spielauswertung!$B548:$E548,0),0)=0,R559,INDEX(Spielauswertung!$AB548:$AE548,MATCH(Tabelle11[[#Headers],[Fabian_M]],Spielauswertung!$B548:$E548,0))+R559)</f>
        <v>95.805387841610738</v>
      </c>
      <c r="S560" s="1">
        <f>IF(IFERROR(MATCH(Tabelle11[[#Headers],[Hannes_S]],Spielauswertung!$B548:$E548,0),0)=0,S559,INDEX(Spielauswertung!$AB548:$AE548,MATCH(Tabelle11[[#Headers],[Hannes_S]],Spielauswertung!$B548:$E548,0))+S559)</f>
        <v>104.83899184012799</v>
      </c>
      <c r="T560" s="1">
        <f>IF(IFERROR(MATCH(Tabelle11[[#Headers],[Jan_B]],Spielauswertung!$B548:$E548,0),0)=0,T559,INDEX(Spielauswertung!$AB548:$AE548,MATCH(Tabelle11[[#Headers],[Jan_B]],Spielauswertung!$B548:$E548,0))+T559)</f>
        <v>100.2794420429173</v>
      </c>
      <c r="U560" s="1">
        <f>IF(IFERROR(MATCH(Tabelle11[[#Headers],[Jan_Hendrik_B]],Spielauswertung!$B548:$E548,0),0)=0,U559,INDEX(Spielauswertung!$AB548:$AE548,MATCH(Tabelle11[[#Headers],[Jan_Hendrik_B]],Spielauswertung!$B548:$E548,0))+U559)</f>
        <v>100.75492416935522</v>
      </c>
      <c r="V560" s="1">
        <f>IF(IFERROR(MATCH(Tabelle11[[#Headers],[Jens_N]],Spielauswertung!$B548:$E548,0),0)=0,V559,INDEX(Spielauswertung!$AB548:$AE548,MATCH(Tabelle11[[#Headers],[Jens_N]],Spielauswertung!$B548:$E548,0))+V559)</f>
        <v>99.643534710196832</v>
      </c>
      <c r="W560" s="1">
        <f>IF(IFERROR(MATCH(Tabelle11[[#Headers],[Johannes_S]],Spielauswertung!$B548:$E548,0),0)=0,W559,INDEX(Spielauswertung!$AB548:$AE548,MATCH(Tabelle11[[#Headers],[Johannes_S]],Spielauswertung!$B548:$E548,0))+W559)</f>
        <v>102.20284750979505</v>
      </c>
      <c r="X560" s="1">
        <f>IF(IFERROR(MATCH(Tabelle11[[#Headers],[Jonathan_F]],Spielauswertung!$B548:$E548,0),0)=0,X559,INDEX(Spielauswertung!$AB548:$AE548,MATCH(Tabelle11[[#Headers],[Jonathan_F]],Spielauswertung!$B548:$E548,0))+X559)</f>
        <v>98.938308797866256</v>
      </c>
      <c r="Y560" s="1">
        <f>IF(IFERROR(MATCH(Tabelle11[[#Headers],[Julius_P]],Spielauswertung!$B548:$E548,0),0)=0,Y559,INDEX(Spielauswertung!$AB548:$AE548,MATCH(Tabelle11[[#Headers],[Julius_P]],Spielauswertung!$B548:$E548,0))+Y559)</f>
        <v>96.540305101873642</v>
      </c>
      <c r="Z560" s="1">
        <f>IF(IFERROR(MATCH(Tabelle11[[#Headers],[Louis_W]],Spielauswertung!$B548:$E548,0),0)=0,Z559,INDEX(Spielauswertung!$AB548:$AE548,MATCH(Tabelle11[[#Headers],[Louis_W]],Spielauswertung!$B548:$E548,0))+Z559)</f>
        <v>87.497452285475362</v>
      </c>
      <c r="AA560" s="1">
        <f>IF(IFERROR(MATCH(Tabelle11[[#Headers],[Lukas_L]],Spielauswertung!$B548:$E548,0),0)=0,AA559,INDEX(Spielauswertung!$AB548:$AE548,MATCH(Tabelle11[[#Headers],[Lukas_L]],Spielauswertung!$B548:$E548,0))+AA559)</f>
        <v>98.447931341404143</v>
      </c>
      <c r="AB560" s="1">
        <f>IF(IFERROR(MATCH(Tabelle11[[#Headers],[Marcin_S]],Spielauswertung!$B548:$E548,0),0)=0,AB559,INDEX(Spielauswertung!$AB548:$AE548,MATCH(Tabelle11[[#Headers],[Marcin_S]],Spielauswertung!$B548:$E548,0))+AB559)</f>
        <v>85.463329105556824</v>
      </c>
      <c r="AC560" s="1">
        <f>IF(IFERROR(MATCH(Tabelle11[[#Headers],[Marco_K]],Spielauswertung!$B548:$E548,0),0)=0,AC559,INDEX(Spielauswertung!$AB548:$AE548,MATCH(Tabelle11[[#Headers],[Marco_K]],Spielauswertung!$B548:$E548,0))+AC559)</f>
        <v>102.12169819441469</v>
      </c>
      <c r="AD560" s="1">
        <f>IF(IFERROR(MATCH(Tabelle11[[#Headers],[Marius_M]],Spielauswertung!$B548:$E548,0),0)=0,AD559,INDEX(Spielauswertung!$AB548:$AE548,MATCH(Tabelle11[[#Headers],[Marius_M]],Spielauswertung!$B548:$E548,0))+AD559)</f>
        <v>124.54012374585781</v>
      </c>
      <c r="AE560" s="1">
        <f>IF(IFERROR(MATCH(Tabelle11[[#Headers],[Marvin_W]],Spielauswertung!$B548:$E548,0),0)=0,AE559,INDEX(Spielauswertung!$AB548:$AE548,MATCH(Tabelle11[[#Headers],[Marvin_W]],Spielauswertung!$B548:$E548,0))+AE559)</f>
        <v>96.700266280577438</v>
      </c>
      <c r="AF560" s="1">
        <f>IF(IFERROR(MATCH(Tabelle11[[#Headers],[Matthias_H]],Spielauswertung!$B548:$E548,0),0)=0,AF559,INDEX(Spielauswertung!$AB548:$AE548,MATCH(Tabelle11[[#Headers],[Matthias_H]],Spielauswertung!$B548:$E548,0))+AF559)</f>
        <v>105.42130178599372</v>
      </c>
      <c r="AG560" s="1">
        <f>IF(IFERROR(MATCH(Tabelle11[[#Headers],[Michael_D]],Spielauswertung!$B548:$E548,0),0)=0,AG559,INDEX(Spielauswertung!$AB548:$AE548,MATCH(Tabelle11[[#Headers],[Michael_D]],Spielauswertung!$B548:$E548,0))+AG559)</f>
        <v>96.436276170375336</v>
      </c>
      <c r="AH560" s="1">
        <f>IF(IFERROR(MATCH(Tabelle11[[#Headers],[Patrick_S]],Spielauswertung!$B548:$E548,0),0)=0,AH559,INDEX(Spielauswertung!$AB548:$AE548,MATCH(Tabelle11[[#Headers],[Patrick_S]],Spielauswertung!$B548:$E548,0))+AH559)</f>
        <v>98.975330692053802</v>
      </c>
      <c r="AI560" s="1">
        <f>IF(IFERROR(MATCH(Tabelle11[[#Headers],[Rano_M]],Spielauswertung!$B548:$E548,0),0)=0,AI559,INDEX(Spielauswertung!$AB548:$AE548,MATCH(Tabelle11[[#Headers],[Rano_M]],Spielauswertung!$B548:$E548,0))+AI559)</f>
        <v>109.38890657420265</v>
      </c>
      <c r="AJ560" s="1">
        <f>IF(IFERROR(MATCH(Tabelle11[[#Headers],[Rene_N]],Spielauswertung!$B548:$E548,0),0)=0,AJ559,INDEX(Spielauswertung!$AB548:$AE548,MATCH(Tabelle11[[#Headers],[Rene_N]],Spielauswertung!$B548:$E548,0))+AJ559)</f>
        <v>101.06482124619033</v>
      </c>
      <c r="AK560" s="1">
        <f>IF(IFERROR(MATCH(Tabelle11[[#Headers],[Rene_P]],Spielauswertung!$B548:$E548,0),0)=0,AK559,INDEX(Spielauswertung!$AB548:$AE548,MATCH(Tabelle11[[#Headers],[Rene_P]],Spielauswertung!$B548:$E548,0))+AK559)</f>
        <v>88.762543186332877</v>
      </c>
      <c r="AL560" s="1">
        <f>IF(IFERROR(MATCH(Tabelle11[[#Headers],[Richard_D]],Spielauswertung!$B548:$E548,0),0)=0,AL559,INDEX(Spielauswertung!$AB548:$AE548,MATCH(Tabelle11[[#Headers],[Richard_D]],Spielauswertung!$B548:$E548,0))+AL559)</f>
        <v>107.23233592026223</v>
      </c>
      <c r="AM560" s="1">
        <f>IF(IFERROR(MATCH(Tabelle11[[#Headers],[Rodrigo_R]],Spielauswertung!$B548:$E548,0),0)=0,AM559,INDEX(Spielauswertung!$AB548:$AE548,MATCH(Tabelle11[[#Headers],[Rodrigo_R]],Spielauswertung!$B548:$E548,0))+AM559)</f>
        <v>116.7028707921346</v>
      </c>
      <c r="AN560" s="1">
        <f>IF(IFERROR(MATCH(Tabelle11[[#Headers],[Sebastian_A]],Spielauswertung!$B548:$E548,0),0)=0,AN559,INDEX(Spielauswertung!$AB548:$AE548,MATCH(Tabelle11[[#Headers],[Sebastian_A]],Spielauswertung!$B548:$E548,0))+AN559)</f>
        <v>102.89457418671324</v>
      </c>
      <c r="AO560" s="1">
        <f>IF(IFERROR(MATCH(Tabelle11[[#Headers],[Sebastian_St]],Spielauswertung!$B548:$E548,0),0)=0,AO559,INDEX(Spielauswertung!$AB548:$AE548,MATCH(Tabelle11[[#Headers],[Sebastian_St]],Spielauswertung!$B548:$E548,0))+AO559)</f>
        <v>97.749574367408982</v>
      </c>
      <c r="AP560" s="1">
        <f>IF(IFERROR(MATCH(Tabelle11[[#Headers],[Simon_U]],Spielauswertung!$B548:$E548,0),0)=0,AP559,INDEX(Spielauswertung!$AB548:$AE548,MATCH(Tabelle11[[#Headers],[Simon_U]],Spielauswertung!$B548:$E548,0))+AP559)</f>
        <v>99.623054841470903</v>
      </c>
      <c r="AQ560" s="1">
        <f>IF(IFERROR(MATCH(Tabelle11[[#Headers],[Steffen_R]],Spielauswertung!$B548:$E548,0),0)=0,AQ559,INDEX(Spielauswertung!$AB548:$AE548,MATCH(Tabelle11[[#Headers],[Steffen_R]],Spielauswertung!$B548:$E548,0))+AQ559)</f>
        <v>93.247497067190949</v>
      </c>
      <c r="AR560" s="1">
        <f>IF(IFERROR(MATCH(Tabelle11[[#Headers],[Tim_R]],Spielauswertung!$B548:$E548,0),0)=0,AR559,INDEX(Spielauswertung!$AB548:$AE548,MATCH(Tabelle11[[#Headers],[Tim_R]],Spielauswertung!$B548:$E548,0))+AR559)</f>
        <v>103.07503787023374</v>
      </c>
      <c r="AS560" s="1">
        <f>IF(IFERROR(MATCH(Tabelle11[[#Headers],[Tobias_S]],Spielauswertung!$B548:$E548,0),0)=0,AS559,INDEX(Spielauswertung!$AB548:$AE548,MATCH(Tabelle11[[#Headers],[Tobias_S]],Spielauswertung!$B548:$E548,0))+AS559)</f>
        <v>98.6003422659997</v>
      </c>
      <c r="AT560" s="1">
        <f>IF(IFERROR(MATCH(Tabelle11[[#Headers],[Tom_R]],Spielauswertung!$B548:$E548,0),0)=0,AT559,INDEX(Spielauswertung!$AB548:$AE548,MATCH(Tabelle11[[#Headers],[Tom_R]],Spielauswertung!$B548:$E548,0))+AT559)</f>
        <v>112.62344492949197</v>
      </c>
      <c r="AU560" s="1">
        <f>IF(IFERROR(MATCH(Tabelle11[[#Headers],[Ton_L]],Spielauswertung!$B548:$E548,0),0)=0,AU559,INDEX(Spielauswertung!$AB548:$AE548,MATCH(Tabelle11[[#Headers],[Ton_L]],Spielauswertung!$B548:$E548,0))+AU559)</f>
        <v>92.683083360025861</v>
      </c>
      <c r="AV560" s="1">
        <f>IF(IFERROR(MATCH(Tabelle11[[#Headers],[Yixin_G]],Spielauswertung!$B548:$E548,0),0)=0,AV559,INDEX(Spielauswertung!$AB548:$AE548,MATCH(Tabelle11[[#Headers],[Yixin_G]],Spielauswertung!$B548:$E548,0))+AV559)</f>
        <v>99.900323214082661</v>
      </c>
      <c r="AW560" s="1">
        <f>IF(IFERROR(MATCH(Tabelle11[[#Headers],[Spalte36]],Spielauswertung!$B548:$E548,0),0)=0,AW559,INDEX(Spielauswertung!$AB548:$AE548,MATCH(Tabelle11[[#Headers],[Spalte36]],Spielauswertung!$B548:$E548,0))+AW559)</f>
        <v>100</v>
      </c>
      <c r="AX560" s="1">
        <f>IF(IFERROR(MATCH(Tabelle11[[#Headers],[Spalte37]],Spielauswertung!$B548:$E548,0),0)=0,AX559,INDEX(Spielauswertung!$AB548:$AE548,MATCH(Tabelle11[[#Headers],[Spalte37]],Spielauswertung!$B548:$E548,0))+AX559)</f>
        <v>100</v>
      </c>
      <c r="AY560" s="1">
        <f>IF(IFERROR(MATCH(Tabelle11[[#Headers],[Spalte38]],Spielauswertung!$B548:$E548,0),0)=0,AY559,INDEX(Spielauswertung!$AB548:$AE548,MATCH(Tabelle11[[#Headers],[Spalte38]],Spielauswertung!$B548:$E548,0))+AY559)</f>
        <v>100</v>
      </c>
      <c r="AZ560" s="1">
        <f>IF(IFERROR(MATCH(Tabelle11[[#Headers],[Spalte39]],Spielauswertung!$B548:$E548,0),0)=0,AZ559,INDEX(Spielauswertung!$AB548:$AE548,MATCH(Tabelle11[[#Headers],[Spalte39]],Spielauswertung!$B548:$E548,0))+AZ559)</f>
        <v>100</v>
      </c>
      <c r="BA560" s="1">
        <f>IF(IFERROR(MATCH(Tabelle11[[#Headers],[Spalte40]],Spielauswertung!$B548:$E548,0),0)=0,BA559,INDEX(Spielauswertung!$AB548:$AE548,MATCH(Tabelle11[[#Headers],[Spalte40]],Spielauswertung!$B548:$E548,0))+BA559)</f>
        <v>100</v>
      </c>
      <c r="BB560" s="1">
        <f>IF(IFERROR(MATCH(Tabelle11[[#Headers],[Spalte41]],Spielauswertung!$B548:$E548,0),0)=0,BB559,INDEX(Spielauswertung!$AB548:$AE548,MATCH(Tabelle11[[#Headers],[Spalte41]],Spielauswertung!$B548:$E548,0))+BB559)</f>
        <v>100</v>
      </c>
      <c r="BC560" s="1">
        <f>IF(IFERROR(MATCH(Tabelle11[[#Headers],[Spalte42]],Spielauswertung!$B548:$E548,0),0)=0,BC559,INDEX(Spielauswertung!$AB548:$AE548,MATCH(Tabelle11[[#Headers],[Spalte42]],Spielauswertung!$B548:$E548,0))+BC559)</f>
        <v>100</v>
      </c>
      <c r="BD560" s="1">
        <f>IF(IFERROR(MATCH(Tabelle11[[#Headers],[Spalte43]],Spielauswertung!$B548:$E548,0),0)=0,BD559,INDEX(Spielauswertung!$AB548:$AE548,MATCH(Tabelle11[[#Headers],[Spalte43]],Spielauswertung!$B548:$E548,0))+BD559)</f>
        <v>100</v>
      </c>
      <c r="BE560" s="1">
        <f>IF(IFERROR(MATCH(Tabelle11[[#Headers],[Spalte44]],Spielauswertung!$B548:$E548,0),0)=0,BE559,INDEX(Spielauswertung!$AB548:$AE548,MATCH(Tabelle11[[#Headers],[Spalte44]],Spielauswertung!$B548:$E548,0))+BE559)</f>
        <v>100</v>
      </c>
      <c r="BF560" s="1">
        <f>IF(IFERROR(MATCH(Tabelle11[[#Headers],[Spalte45]],Spielauswertung!$B548:$E548,0),0)=0,BF559,INDEX(Spielauswertung!$AB548:$AE548,MATCH(Tabelle11[[#Headers],[Spalte45]],Spielauswertung!$B548:$E548,0))+BF559)</f>
        <v>100</v>
      </c>
      <c r="BG560" s="1">
        <f>IF(IFERROR(MATCH(Tabelle11[[#Headers],[Spalte46]],Spielauswertung!$B548:$E548,0),0)=0,BG559,INDEX(Spielauswertung!$AB548:$AE548,MATCH(Tabelle11[[#Headers],[Spalte46]],Spielauswertung!$B548:$E548,0))+BG559)</f>
        <v>100</v>
      </c>
      <c r="BH560" s="1">
        <f>IF(IFERROR(MATCH(Tabelle11[[#Headers],[Spalte47]],Spielauswertung!$B548:$E548,0),0)=0,BH559,INDEX(Spielauswertung!$AB548:$AE548,MATCH(Tabelle11[[#Headers],[Spalte47]],Spielauswertung!$B548:$E548,0))+BH559)</f>
        <v>100</v>
      </c>
    </row>
    <row r="561" spans="1:60" x14ac:dyDescent="0.25">
      <c r="A561">
        <f t="shared" si="9"/>
        <v>548</v>
      </c>
      <c r="B561" s="1">
        <f>IF(IFERROR(MATCH(Tabelle11[[#Headers],[Aleix_V]],Spielauswertung!$B549:$E549,0),0)=0,B560,INDEX(Spielauswertung!$AB549:$AE549,MATCH(Tabelle11[[#Headers],[Aleix_V]],Spielauswertung!$B549:$E549,0))+B560)</f>
        <v>102.47318019444646</v>
      </c>
      <c r="C561" s="1">
        <f>IF(IFERROR(MATCH(Tabelle11[[#Headers],[Andres_H]],Spielauswertung!$B549:$E549,0),0)=0,C560,INDEX(Spielauswertung!$AB549:$AE549,MATCH(Tabelle11[[#Headers],[Andres_H]],Spielauswertung!$B549:$E549,0))+C560)</f>
        <v>95.535732339111306</v>
      </c>
      <c r="D561" s="1">
        <f>IF(IFERROR(MATCH(Tabelle11[[#Headers],[Anton_K]],Spielauswertung!$B549:$E549,0),0)=0,D560,INDEX(Spielauswertung!$AB549:$AE549,MATCH(Tabelle11[[#Headers],[Anton_K]],Spielauswertung!$B549:$E549,0))+D560)</f>
        <v>99.287728777054667</v>
      </c>
      <c r="E561" s="1">
        <f>IF(IFERROR(MATCH(Tabelle11[[#Headers],[Bastian_G]],Spielauswertung!$B549:$E549,0),0)=0,E560,INDEX(Spielauswertung!$AB549:$AE549,MATCH(Tabelle11[[#Headers],[Bastian_G]],Spielauswertung!$B549:$E549,0))+E560)</f>
        <v>117.49978695184252</v>
      </c>
      <c r="F561" s="1">
        <f>IF(IFERROR(MATCH(Tabelle11[[#Headers],[Ben_S]],Spielauswertung!$B549:$E549,0),0)=0,F560,INDEX(Spielauswertung!$AB549:$AE549,MATCH(Tabelle11[[#Headers],[Ben_S]],Spielauswertung!$B549:$E549,0))+F560)</f>
        <v>95.932799101521084</v>
      </c>
      <c r="G561" s="1">
        <f>IF(IFERROR(MATCH(Tabelle11[[#Headers],[Benedikt_K]],Spielauswertung!$B549:$E549,0),0)=0,G560,INDEX(Spielauswertung!$AB549:$AE549,MATCH(Tabelle11[[#Headers],[Benedikt_K]],Spielauswertung!$B549:$E549,0))+G560)</f>
        <v>101.20264176422626</v>
      </c>
      <c r="H561" s="1">
        <f>IF(IFERROR(MATCH(Tabelle11[[#Headers],[Benedikt_R]],Spielauswertung!$B549:$E549,0),0)=0,H560,INDEX(Spielauswertung!$AB549:$AE549,MATCH(Tabelle11[[#Headers],[Benedikt_R]],Spielauswertung!$B549:$E549,0))+H560)</f>
        <v>102.6264770510757</v>
      </c>
      <c r="I561" s="1">
        <f>IF(IFERROR(MATCH(Tabelle11[[#Headers],[Carsten_H]],Spielauswertung!$B549:$E549,0),0)=0,I560,INDEX(Spielauswertung!$AB549:$AE549,MATCH(Tabelle11[[#Headers],[Carsten_H]],Spielauswertung!$B549:$E549,0))+I560)</f>
        <v>90.817185094326874</v>
      </c>
      <c r="J561" s="1">
        <f>IF(IFERROR(MATCH(Tabelle11[[#Headers],[Christoph_R]],Spielauswertung!$B549:$E549,0),0)=0,J560,INDEX(Spielauswertung!$AB549:$AE549,MATCH(Tabelle11[[#Headers],[Christoph_R]],Spielauswertung!$B549:$E549,0))+J560)</f>
        <v>109.73261611443155</v>
      </c>
      <c r="K561" s="1">
        <f>IF(IFERROR(MATCH(Tabelle11[[#Headers],[Claudius_J]],Spielauswertung!$B549:$E549,0),0)=0,K560,INDEX(Spielauswertung!$AB549:$AE549,MATCH(Tabelle11[[#Headers],[Claudius_J]],Spielauswertung!$B549:$E549,0))+K560)</f>
        <v>106.16590636000029</v>
      </c>
      <c r="L561" s="1">
        <f>IF(IFERROR(MATCH(Tabelle11[[#Headers],[Daniel_D]],Spielauswertung!$B549:$E549,0),0)=0,L560,INDEX(Spielauswertung!$AB549:$AE549,MATCH(Tabelle11[[#Headers],[Daniel_D]],Spielauswertung!$B549:$E549,0))+L560)</f>
        <v>99.990299180470089</v>
      </c>
      <c r="M561" s="1">
        <f>IF(IFERROR(MATCH(Tabelle11[[#Headers],[David_R]],Spielauswertung!$B549:$E549,0),0)=0,M560,INDEX(Spielauswertung!$AB549:$AE549,MATCH(Tabelle11[[#Headers],[David_R]],Spielauswertung!$B549:$E549,0))+M560)</f>
        <v>96.715943522481638</v>
      </c>
      <c r="N561" s="1">
        <f>IF(IFERROR(MATCH(Tabelle11[[#Headers],[Dennis_P]],Spielauswertung!$B549:$E549,0),0)=0,N560,INDEX(Spielauswertung!$AB549:$AE549,MATCH(Tabelle11[[#Headers],[Dennis_P]],Spielauswertung!$B549:$E549,0))+N560)</f>
        <v>100.04773223105254</v>
      </c>
      <c r="O561" s="1">
        <f>IF(IFERROR(MATCH(Tabelle11[[#Headers],[Dennis_R]],Spielauswertung!$B549:$E549,0),0)=0,O560,INDEX(Spielauswertung!$AB549:$AE549,MATCH(Tabelle11[[#Headers],[Dennis_R]],Spielauswertung!$B549:$E549,0))+O560)</f>
        <v>75.131680864937195</v>
      </c>
      <c r="P561" s="1">
        <f>IF(IFERROR(MATCH(Tabelle11[[#Headers],[Detlef_R]],Spielauswertung!$B549:$E549,0),0)=0,P560,INDEX(Spielauswertung!$AB549:$AE549,MATCH(Tabelle11[[#Headers],[Detlef_R]],Spielauswertung!$B549:$E549,0))+P560)</f>
        <v>87.984671797367014</v>
      </c>
      <c r="Q561" s="1">
        <f>IF(IFERROR(MATCH(Tabelle11[[#Headers],[Dmitrij_M]],Spielauswertung!$B549:$E549,0),0)=0,Q560,INDEX(Spielauswertung!$AB549:$AE549,MATCH(Tabelle11[[#Headers],[Dmitrij_M]],Spielauswertung!$B549:$E549,0))+Q560)</f>
        <v>100.69975721846207</v>
      </c>
      <c r="R561" s="1">
        <f>IF(IFERROR(MATCH(Tabelle11[[#Headers],[Fabian_M]],Spielauswertung!$B549:$E549,0),0)=0,R560,INDEX(Spielauswertung!$AB549:$AE549,MATCH(Tabelle11[[#Headers],[Fabian_M]],Spielauswertung!$B549:$E549,0))+R560)</f>
        <v>95.805387841610738</v>
      </c>
      <c r="S561" s="1">
        <f>IF(IFERROR(MATCH(Tabelle11[[#Headers],[Hannes_S]],Spielauswertung!$B549:$E549,0),0)=0,S560,INDEX(Spielauswertung!$AB549:$AE549,MATCH(Tabelle11[[#Headers],[Hannes_S]],Spielauswertung!$B549:$E549,0))+S560)</f>
        <v>104.83899184012799</v>
      </c>
      <c r="T561" s="1">
        <f>IF(IFERROR(MATCH(Tabelle11[[#Headers],[Jan_B]],Spielauswertung!$B549:$E549,0),0)=0,T560,INDEX(Spielauswertung!$AB549:$AE549,MATCH(Tabelle11[[#Headers],[Jan_B]],Spielauswertung!$B549:$E549,0))+T560)</f>
        <v>100.2794420429173</v>
      </c>
      <c r="U561" s="1">
        <f>IF(IFERROR(MATCH(Tabelle11[[#Headers],[Jan_Hendrik_B]],Spielauswertung!$B549:$E549,0),0)=0,U560,INDEX(Spielauswertung!$AB549:$AE549,MATCH(Tabelle11[[#Headers],[Jan_Hendrik_B]],Spielauswertung!$B549:$E549,0))+U560)</f>
        <v>100.75492416935522</v>
      </c>
      <c r="V561" s="1">
        <f>IF(IFERROR(MATCH(Tabelle11[[#Headers],[Jens_N]],Spielauswertung!$B549:$E549,0),0)=0,V560,INDEX(Spielauswertung!$AB549:$AE549,MATCH(Tabelle11[[#Headers],[Jens_N]],Spielauswertung!$B549:$E549,0))+V560)</f>
        <v>99.643534710196832</v>
      </c>
      <c r="W561" s="1">
        <f>IF(IFERROR(MATCH(Tabelle11[[#Headers],[Johannes_S]],Spielauswertung!$B549:$E549,0),0)=0,W560,INDEX(Spielauswertung!$AB549:$AE549,MATCH(Tabelle11[[#Headers],[Johannes_S]],Spielauswertung!$B549:$E549,0))+W560)</f>
        <v>102.20284750979505</v>
      </c>
      <c r="X561" s="1">
        <f>IF(IFERROR(MATCH(Tabelle11[[#Headers],[Jonathan_F]],Spielauswertung!$B549:$E549,0),0)=0,X560,INDEX(Spielauswertung!$AB549:$AE549,MATCH(Tabelle11[[#Headers],[Jonathan_F]],Spielauswertung!$B549:$E549,0))+X560)</f>
        <v>98.938308797866256</v>
      </c>
      <c r="Y561" s="1">
        <f>IF(IFERROR(MATCH(Tabelle11[[#Headers],[Julius_P]],Spielauswertung!$B549:$E549,0),0)=0,Y560,INDEX(Spielauswertung!$AB549:$AE549,MATCH(Tabelle11[[#Headers],[Julius_P]],Spielauswertung!$B549:$E549,0))+Y560)</f>
        <v>96.540305101873642</v>
      </c>
      <c r="Z561" s="1">
        <f>IF(IFERROR(MATCH(Tabelle11[[#Headers],[Louis_W]],Spielauswertung!$B549:$E549,0),0)=0,Z560,INDEX(Spielauswertung!$AB549:$AE549,MATCH(Tabelle11[[#Headers],[Louis_W]],Spielauswertung!$B549:$E549,0))+Z560)</f>
        <v>87.497452285475362</v>
      </c>
      <c r="AA561" s="1">
        <f>IF(IFERROR(MATCH(Tabelle11[[#Headers],[Lukas_L]],Spielauswertung!$B549:$E549,0),0)=0,AA560,INDEX(Spielauswertung!$AB549:$AE549,MATCH(Tabelle11[[#Headers],[Lukas_L]],Spielauswertung!$B549:$E549,0))+AA560)</f>
        <v>98.447931341404143</v>
      </c>
      <c r="AB561" s="1">
        <f>IF(IFERROR(MATCH(Tabelle11[[#Headers],[Marcin_S]],Spielauswertung!$B549:$E549,0),0)=0,AB560,INDEX(Spielauswertung!$AB549:$AE549,MATCH(Tabelle11[[#Headers],[Marcin_S]],Spielauswertung!$B549:$E549,0))+AB560)</f>
        <v>85.463329105556824</v>
      </c>
      <c r="AC561" s="1">
        <f>IF(IFERROR(MATCH(Tabelle11[[#Headers],[Marco_K]],Spielauswertung!$B549:$E549,0),0)=0,AC560,INDEX(Spielauswertung!$AB549:$AE549,MATCH(Tabelle11[[#Headers],[Marco_K]],Spielauswertung!$B549:$E549,0))+AC560)</f>
        <v>102.12169819441469</v>
      </c>
      <c r="AD561" s="1">
        <f>IF(IFERROR(MATCH(Tabelle11[[#Headers],[Marius_M]],Spielauswertung!$B549:$E549,0),0)=0,AD560,INDEX(Spielauswertung!$AB549:$AE549,MATCH(Tabelle11[[#Headers],[Marius_M]],Spielauswertung!$B549:$E549,0))+AD560)</f>
        <v>124.54012374585781</v>
      </c>
      <c r="AE561" s="1">
        <f>IF(IFERROR(MATCH(Tabelle11[[#Headers],[Marvin_W]],Spielauswertung!$B549:$E549,0),0)=0,AE560,INDEX(Spielauswertung!$AB549:$AE549,MATCH(Tabelle11[[#Headers],[Marvin_W]],Spielauswertung!$B549:$E549,0))+AE560)</f>
        <v>96.700266280577438</v>
      </c>
      <c r="AF561" s="1">
        <f>IF(IFERROR(MATCH(Tabelle11[[#Headers],[Matthias_H]],Spielauswertung!$B549:$E549,0),0)=0,AF560,INDEX(Spielauswertung!$AB549:$AE549,MATCH(Tabelle11[[#Headers],[Matthias_H]],Spielauswertung!$B549:$E549,0))+AF560)</f>
        <v>105.42130178599372</v>
      </c>
      <c r="AG561" s="1">
        <f>IF(IFERROR(MATCH(Tabelle11[[#Headers],[Michael_D]],Spielauswertung!$B549:$E549,0),0)=0,AG560,INDEX(Spielauswertung!$AB549:$AE549,MATCH(Tabelle11[[#Headers],[Michael_D]],Spielauswertung!$B549:$E549,0))+AG560)</f>
        <v>96.436276170375336</v>
      </c>
      <c r="AH561" s="1">
        <f>IF(IFERROR(MATCH(Tabelle11[[#Headers],[Patrick_S]],Spielauswertung!$B549:$E549,0),0)=0,AH560,INDEX(Spielauswertung!$AB549:$AE549,MATCH(Tabelle11[[#Headers],[Patrick_S]],Spielauswertung!$B549:$E549,0))+AH560)</f>
        <v>98.975330692053802</v>
      </c>
      <c r="AI561" s="1">
        <f>IF(IFERROR(MATCH(Tabelle11[[#Headers],[Rano_M]],Spielauswertung!$B549:$E549,0),0)=0,AI560,INDEX(Spielauswertung!$AB549:$AE549,MATCH(Tabelle11[[#Headers],[Rano_M]],Spielauswertung!$B549:$E549,0))+AI560)</f>
        <v>109.38890657420265</v>
      </c>
      <c r="AJ561" s="1">
        <f>IF(IFERROR(MATCH(Tabelle11[[#Headers],[Rene_N]],Spielauswertung!$B549:$E549,0),0)=0,AJ560,INDEX(Spielauswertung!$AB549:$AE549,MATCH(Tabelle11[[#Headers],[Rene_N]],Spielauswertung!$B549:$E549,0))+AJ560)</f>
        <v>101.06482124619033</v>
      </c>
      <c r="AK561" s="1">
        <f>IF(IFERROR(MATCH(Tabelle11[[#Headers],[Rene_P]],Spielauswertung!$B549:$E549,0),0)=0,AK560,INDEX(Spielauswertung!$AB549:$AE549,MATCH(Tabelle11[[#Headers],[Rene_P]],Spielauswertung!$B549:$E549,0))+AK560)</f>
        <v>88.762543186332877</v>
      </c>
      <c r="AL561" s="1">
        <f>IF(IFERROR(MATCH(Tabelle11[[#Headers],[Richard_D]],Spielauswertung!$B549:$E549,0),0)=0,AL560,INDEX(Spielauswertung!$AB549:$AE549,MATCH(Tabelle11[[#Headers],[Richard_D]],Spielauswertung!$B549:$E549,0))+AL560)</f>
        <v>107.23233592026223</v>
      </c>
      <c r="AM561" s="1">
        <f>IF(IFERROR(MATCH(Tabelle11[[#Headers],[Rodrigo_R]],Spielauswertung!$B549:$E549,0),0)=0,AM560,INDEX(Spielauswertung!$AB549:$AE549,MATCH(Tabelle11[[#Headers],[Rodrigo_R]],Spielauswertung!$B549:$E549,0))+AM560)</f>
        <v>116.7028707921346</v>
      </c>
      <c r="AN561" s="1">
        <f>IF(IFERROR(MATCH(Tabelle11[[#Headers],[Sebastian_A]],Spielauswertung!$B549:$E549,0),0)=0,AN560,INDEX(Spielauswertung!$AB549:$AE549,MATCH(Tabelle11[[#Headers],[Sebastian_A]],Spielauswertung!$B549:$E549,0))+AN560)</f>
        <v>102.89457418671324</v>
      </c>
      <c r="AO561" s="1">
        <f>IF(IFERROR(MATCH(Tabelle11[[#Headers],[Sebastian_St]],Spielauswertung!$B549:$E549,0),0)=0,AO560,INDEX(Spielauswertung!$AB549:$AE549,MATCH(Tabelle11[[#Headers],[Sebastian_St]],Spielauswertung!$B549:$E549,0))+AO560)</f>
        <v>97.749574367408982</v>
      </c>
      <c r="AP561" s="1">
        <f>IF(IFERROR(MATCH(Tabelle11[[#Headers],[Simon_U]],Spielauswertung!$B549:$E549,0),0)=0,AP560,INDEX(Spielauswertung!$AB549:$AE549,MATCH(Tabelle11[[#Headers],[Simon_U]],Spielauswertung!$B549:$E549,0))+AP560)</f>
        <v>99.623054841470903</v>
      </c>
      <c r="AQ561" s="1">
        <f>IF(IFERROR(MATCH(Tabelle11[[#Headers],[Steffen_R]],Spielauswertung!$B549:$E549,0),0)=0,AQ560,INDEX(Spielauswertung!$AB549:$AE549,MATCH(Tabelle11[[#Headers],[Steffen_R]],Spielauswertung!$B549:$E549,0))+AQ560)</f>
        <v>93.247497067190949</v>
      </c>
      <c r="AR561" s="1">
        <f>IF(IFERROR(MATCH(Tabelle11[[#Headers],[Tim_R]],Spielauswertung!$B549:$E549,0),0)=0,AR560,INDEX(Spielauswertung!$AB549:$AE549,MATCH(Tabelle11[[#Headers],[Tim_R]],Spielauswertung!$B549:$E549,0))+AR560)</f>
        <v>103.07503787023374</v>
      </c>
      <c r="AS561" s="1">
        <f>IF(IFERROR(MATCH(Tabelle11[[#Headers],[Tobias_S]],Spielauswertung!$B549:$E549,0),0)=0,AS560,INDEX(Spielauswertung!$AB549:$AE549,MATCH(Tabelle11[[#Headers],[Tobias_S]],Spielauswertung!$B549:$E549,0))+AS560)</f>
        <v>98.6003422659997</v>
      </c>
      <c r="AT561" s="1">
        <f>IF(IFERROR(MATCH(Tabelle11[[#Headers],[Tom_R]],Spielauswertung!$B549:$E549,0),0)=0,AT560,INDEX(Spielauswertung!$AB549:$AE549,MATCH(Tabelle11[[#Headers],[Tom_R]],Spielauswertung!$B549:$E549,0))+AT560)</f>
        <v>112.62344492949197</v>
      </c>
      <c r="AU561" s="1">
        <f>IF(IFERROR(MATCH(Tabelle11[[#Headers],[Ton_L]],Spielauswertung!$B549:$E549,0),0)=0,AU560,INDEX(Spielauswertung!$AB549:$AE549,MATCH(Tabelle11[[#Headers],[Ton_L]],Spielauswertung!$B549:$E549,0))+AU560)</f>
        <v>92.683083360025861</v>
      </c>
      <c r="AV561" s="1">
        <f>IF(IFERROR(MATCH(Tabelle11[[#Headers],[Yixin_G]],Spielauswertung!$B549:$E549,0),0)=0,AV560,INDEX(Spielauswertung!$AB549:$AE549,MATCH(Tabelle11[[#Headers],[Yixin_G]],Spielauswertung!$B549:$E549,0))+AV560)</f>
        <v>99.900323214082661</v>
      </c>
      <c r="AW561" s="1">
        <f>IF(IFERROR(MATCH(Tabelle11[[#Headers],[Spalte36]],Spielauswertung!$B549:$E549,0),0)=0,AW560,INDEX(Spielauswertung!$AB549:$AE549,MATCH(Tabelle11[[#Headers],[Spalte36]],Spielauswertung!$B549:$E549,0))+AW560)</f>
        <v>100</v>
      </c>
      <c r="AX561" s="1">
        <f>IF(IFERROR(MATCH(Tabelle11[[#Headers],[Spalte37]],Spielauswertung!$B549:$E549,0),0)=0,AX560,INDEX(Spielauswertung!$AB549:$AE549,MATCH(Tabelle11[[#Headers],[Spalte37]],Spielauswertung!$B549:$E549,0))+AX560)</f>
        <v>100</v>
      </c>
      <c r="AY561" s="1">
        <f>IF(IFERROR(MATCH(Tabelle11[[#Headers],[Spalte38]],Spielauswertung!$B549:$E549,0),0)=0,AY560,INDEX(Spielauswertung!$AB549:$AE549,MATCH(Tabelle11[[#Headers],[Spalte38]],Spielauswertung!$B549:$E549,0))+AY560)</f>
        <v>100</v>
      </c>
      <c r="AZ561" s="1">
        <f>IF(IFERROR(MATCH(Tabelle11[[#Headers],[Spalte39]],Spielauswertung!$B549:$E549,0),0)=0,AZ560,INDEX(Spielauswertung!$AB549:$AE549,MATCH(Tabelle11[[#Headers],[Spalte39]],Spielauswertung!$B549:$E549,0))+AZ560)</f>
        <v>100</v>
      </c>
      <c r="BA561" s="1">
        <f>IF(IFERROR(MATCH(Tabelle11[[#Headers],[Spalte40]],Spielauswertung!$B549:$E549,0),0)=0,BA560,INDEX(Spielauswertung!$AB549:$AE549,MATCH(Tabelle11[[#Headers],[Spalte40]],Spielauswertung!$B549:$E549,0))+BA560)</f>
        <v>100</v>
      </c>
      <c r="BB561" s="1">
        <f>IF(IFERROR(MATCH(Tabelle11[[#Headers],[Spalte41]],Spielauswertung!$B549:$E549,0),0)=0,BB560,INDEX(Spielauswertung!$AB549:$AE549,MATCH(Tabelle11[[#Headers],[Spalte41]],Spielauswertung!$B549:$E549,0))+BB560)</f>
        <v>100</v>
      </c>
      <c r="BC561" s="1">
        <f>IF(IFERROR(MATCH(Tabelle11[[#Headers],[Spalte42]],Spielauswertung!$B549:$E549,0),0)=0,BC560,INDEX(Spielauswertung!$AB549:$AE549,MATCH(Tabelle11[[#Headers],[Spalte42]],Spielauswertung!$B549:$E549,0))+BC560)</f>
        <v>100</v>
      </c>
      <c r="BD561" s="1">
        <f>IF(IFERROR(MATCH(Tabelle11[[#Headers],[Spalte43]],Spielauswertung!$B549:$E549,0),0)=0,BD560,INDEX(Spielauswertung!$AB549:$AE549,MATCH(Tabelle11[[#Headers],[Spalte43]],Spielauswertung!$B549:$E549,0))+BD560)</f>
        <v>100</v>
      </c>
      <c r="BE561" s="1">
        <f>IF(IFERROR(MATCH(Tabelle11[[#Headers],[Spalte44]],Spielauswertung!$B549:$E549,0),0)=0,BE560,INDEX(Spielauswertung!$AB549:$AE549,MATCH(Tabelle11[[#Headers],[Spalte44]],Spielauswertung!$B549:$E549,0))+BE560)</f>
        <v>100</v>
      </c>
      <c r="BF561" s="1">
        <f>IF(IFERROR(MATCH(Tabelle11[[#Headers],[Spalte45]],Spielauswertung!$B549:$E549,0),0)=0,BF560,INDEX(Spielauswertung!$AB549:$AE549,MATCH(Tabelle11[[#Headers],[Spalte45]],Spielauswertung!$B549:$E549,0))+BF560)</f>
        <v>100</v>
      </c>
      <c r="BG561" s="1">
        <f>IF(IFERROR(MATCH(Tabelle11[[#Headers],[Spalte46]],Spielauswertung!$B549:$E549,0),0)=0,BG560,INDEX(Spielauswertung!$AB549:$AE549,MATCH(Tabelle11[[#Headers],[Spalte46]],Spielauswertung!$B549:$E549,0))+BG560)</f>
        <v>100</v>
      </c>
      <c r="BH561" s="1">
        <f>IF(IFERROR(MATCH(Tabelle11[[#Headers],[Spalte47]],Spielauswertung!$B549:$E549,0),0)=0,BH560,INDEX(Spielauswertung!$AB549:$AE549,MATCH(Tabelle11[[#Headers],[Spalte47]],Spielauswertung!$B549:$E549,0))+BH560)</f>
        <v>100</v>
      </c>
    </row>
    <row r="562" spans="1:60" x14ac:dyDescent="0.25">
      <c r="A562">
        <f t="shared" si="9"/>
        <v>549</v>
      </c>
      <c r="B562" s="1">
        <f>IF(IFERROR(MATCH(Tabelle11[[#Headers],[Aleix_V]],Spielauswertung!$B550:$E550,0),0)=0,B561,INDEX(Spielauswertung!$AB550:$AE550,MATCH(Tabelle11[[#Headers],[Aleix_V]],Spielauswertung!$B550:$E550,0))+B561)</f>
        <v>102.47318019444646</v>
      </c>
      <c r="C562" s="1">
        <f>IF(IFERROR(MATCH(Tabelle11[[#Headers],[Andres_H]],Spielauswertung!$B550:$E550,0),0)=0,C561,INDEX(Spielauswertung!$AB550:$AE550,MATCH(Tabelle11[[#Headers],[Andres_H]],Spielauswertung!$B550:$E550,0))+C561)</f>
        <v>95.535732339111306</v>
      </c>
      <c r="D562" s="1">
        <f>IF(IFERROR(MATCH(Tabelle11[[#Headers],[Anton_K]],Spielauswertung!$B550:$E550,0),0)=0,D561,INDEX(Spielauswertung!$AB550:$AE550,MATCH(Tabelle11[[#Headers],[Anton_K]],Spielauswertung!$B550:$E550,0))+D561)</f>
        <v>99.287728777054667</v>
      </c>
      <c r="E562" s="1">
        <f>IF(IFERROR(MATCH(Tabelle11[[#Headers],[Bastian_G]],Spielauswertung!$B550:$E550,0),0)=0,E561,INDEX(Spielauswertung!$AB550:$AE550,MATCH(Tabelle11[[#Headers],[Bastian_G]],Spielauswertung!$B550:$E550,0))+E561)</f>
        <v>117.49978695184252</v>
      </c>
      <c r="F562" s="1">
        <f>IF(IFERROR(MATCH(Tabelle11[[#Headers],[Ben_S]],Spielauswertung!$B550:$E550,0),0)=0,F561,INDEX(Spielauswertung!$AB550:$AE550,MATCH(Tabelle11[[#Headers],[Ben_S]],Spielauswertung!$B550:$E550,0))+F561)</f>
        <v>95.932799101521084</v>
      </c>
      <c r="G562" s="1">
        <f>IF(IFERROR(MATCH(Tabelle11[[#Headers],[Benedikt_K]],Spielauswertung!$B550:$E550,0),0)=0,G561,INDEX(Spielauswertung!$AB550:$AE550,MATCH(Tabelle11[[#Headers],[Benedikt_K]],Spielauswertung!$B550:$E550,0))+G561)</f>
        <v>101.20264176422626</v>
      </c>
      <c r="H562" s="1">
        <f>IF(IFERROR(MATCH(Tabelle11[[#Headers],[Benedikt_R]],Spielauswertung!$B550:$E550,0),0)=0,H561,INDEX(Spielauswertung!$AB550:$AE550,MATCH(Tabelle11[[#Headers],[Benedikt_R]],Spielauswertung!$B550:$E550,0))+H561)</f>
        <v>102.6264770510757</v>
      </c>
      <c r="I562" s="1">
        <f>IF(IFERROR(MATCH(Tabelle11[[#Headers],[Carsten_H]],Spielauswertung!$B550:$E550,0),0)=0,I561,INDEX(Spielauswertung!$AB550:$AE550,MATCH(Tabelle11[[#Headers],[Carsten_H]],Spielauswertung!$B550:$E550,0))+I561)</f>
        <v>90.817185094326874</v>
      </c>
      <c r="J562" s="1">
        <f>IF(IFERROR(MATCH(Tabelle11[[#Headers],[Christoph_R]],Spielauswertung!$B550:$E550,0),0)=0,J561,INDEX(Spielauswertung!$AB550:$AE550,MATCH(Tabelle11[[#Headers],[Christoph_R]],Spielauswertung!$B550:$E550,0))+J561)</f>
        <v>109.73261611443155</v>
      </c>
      <c r="K562" s="1">
        <f>IF(IFERROR(MATCH(Tabelle11[[#Headers],[Claudius_J]],Spielauswertung!$B550:$E550,0),0)=0,K561,INDEX(Spielauswertung!$AB550:$AE550,MATCH(Tabelle11[[#Headers],[Claudius_J]],Spielauswertung!$B550:$E550,0))+K561)</f>
        <v>106.16590636000029</v>
      </c>
      <c r="L562" s="1">
        <f>IF(IFERROR(MATCH(Tabelle11[[#Headers],[Daniel_D]],Spielauswertung!$B550:$E550,0),0)=0,L561,INDEX(Spielauswertung!$AB550:$AE550,MATCH(Tabelle11[[#Headers],[Daniel_D]],Spielauswertung!$B550:$E550,0))+L561)</f>
        <v>99.990299180470089</v>
      </c>
      <c r="M562" s="1">
        <f>IF(IFERROR(MATCH(Tabelle11[[#Headers],[David_R]],Spielauswertung!$B550:$E550,0),0)=0,M561,INDEX(Spielauswertung!$AB550:$AE550,MATCH(Tabelle11[[#Headers],[David_R]],Spielauswertung!$B550:$E550,0))+M561)</f>
        <v>96.715943522481638</v>
      </c>
      <c r="N562" s="1">
        <f>IF(IFERROR(MATCH(Tabelle11[[#Headers],[Dennis_P]],Spielauswertung!$B550:$E550,0),0)=0,N561,INDEX(Spielauswertung!$AB550:$AE550,MATCH(Tabelle11[[#Headers],[Dennis_P]],Spielauswertung!$B550:$E550,0))+N561)</f>
        <v>100.04773223105254</v>
      </c>
      <c r="O562" s="1">
        <f>IF(IFERROR(MATCH(Tabelle11[[#Headers],[Dennis_R]],Spielauswertung!$B550:$E550,0),0)=0,O561,INDEX(Spielauswertung!$AB550:$AE550,MATCH(Tabelle11[[#Headers],[Dennis_R]],Spielauswertung!$B550:$E550,0))+O561)</f>
        <v>75.131680864937195</v>
      </c>
      <c r="P562" s="1">
        <f>IF(IFERROR(MATCH(Tabelle11[[#Headers],[Detlef_R]],Spielauswertung!$B550:$E550,0),0)=0,P561,INDEX(Spielauswertung!$AB550:$AE550,MATCH(Tabelle11[[#Headers],[Detlef_R]],Spielauswertung!$B550:$E550,0))+P561)</f>
        <v>87.984671797367014</v>
      </c>
      <c r="Q562" s="1">
        <f>IF(IFERROR(MATCH(Tabelle11[[#Headers],[Dmitrij_M]],Spielauswertung!$B550:$E550,0),0)=0,Q561,INDEX(Spielauswertung!$AB550:$AE550,MATCH(Tabelle11[[#Headers],[Dmitrij_M]],Spielauswertung!$B550:$E550,0))+Q561)</f>
        <v>100.69975721846207</v>
      </c>
      <c r="R562" s="1">
        <f>IF(IFERROR(MATCH(Tabelle11[[#Headers],[Fabian_M]],Spielauswertung!$B550:$E550,0),0)=0,R561,INDEX(Spielauswertung!$AB550:$AE550,MATCH(Tabelle11[[#Headers],[Fabian_M]],Spielauswertung!$B550:$E550,0))+R561)</f>
        <v>95.805387841610738</v>
      </c>
      <c r="S562" s="1">
        <f>IF(IFERROR(MATCH(Tabelle11[[#Headers],[Hannes_S]],Spielauswertung!$B550:$E550,0),0)=0,S561,INDEX(Spielauswertung!$AB550:$AE550,MATCH(Tabelle11[[#Headers],[Hannes_S]],Spielauswertung!$B550:$E550,0))+S561)</f>
        <v>104.83899184012799</v>
      </c>
      <c r="T562" s="1">
        <f>IF(IFERROR(MATCH(Tabelle11[[#Headers],[Jan_B]],Spielauswertung!$B550:$E550,0),0)=0,T561,INDEX(Spielauswertung!$AB550:$AE550,MATCH(Tabelle11[[#Headers],[Jan_B]],Spielauswertung!$B550:$E550,0))+T561)</f>
        <v>100.2794420429173</v>
      </c>
      <c r="U562" s="1">
        <f>IF(IFERROR(MATCH(Tabelle11[[#Headers],[Jan_Hendrik_B]],Spielauswertung!$B550:$E550,0),0)=0,U561,INDEX(Spielauswertung!$AB550:$AE550,MATCH(Tabelle11[[#Headers],[Jan_Hendrik_B]],Spielauswertung!$B550:$E550,0))+U561)</f>
        <v>100.75492416935522</v>
      </c>
      <c r="V562" s="1">
        <f>IF(IFERROR(MATCH(Tabelle11[[#Headers],[Jens_N]],Spielauswertung!$B550:$E550,0),0)=0,V561,INDEX(Spielauswertung!$AB550:$AE550,MATCH(Tabelle11[[#Headers],[Jens_N]],Spielauswertung!$B550:$E550,0))+V561)</f>
        <v>99.643534710196832</v>
      </c>
      <c r="W562" s="1">
        <f>IF(IFERROR(MATCH(Tabelle11[[#Headers],[Johannes_S]],Spielauswertung!$B550:$E550,0),0)=0,W561,INDEX(Spielauswertung!$AB550:$AE550,MATCH(Tabelle11[[#Headers],[Johannes_S]],Spielauswertung!$B550:$E550,0))+W561)</f>
        <v>102.20284750979505</v>
      </c>
      <c r="X562" s="1">
        <f>IF(IFERROR(MATCH(Tabelle11[[#Headers],[Jonathan_F]],Spielauswertung!$B550:$E550,0),0)=0,X561,INDEX(Spielauswertung!$AB550:$AE550,MATCH(Tabelle11[[#Headers],[Jonathan_F]],Spielauswertung!$B550:$E550,0))+X561)</f>
        <v>98.938308797866256</v>
      </c>
      <c r="Y562" s="1">
        <f>IF(IFERROR(MATCH(Tabelle11[[#Headers],[Julius_P]],Spielauswertung!$B550:$E550,0),0)=0,Y561,INDEX(Spielauswertung!$AB550:$AE550,MATCH(Tabelle11[[#Headers],[Julius_P]],Spielauswertung!$B550:$E550,0))+Y561)</f>
        <v>96.540305101873642</v>
      </c>
      <c r="Z562" s="1">
        <f>IF(IFERROR(MATCH(Tabelle11[[#Headers],[Louis_W]],Spielauswertung!$B550:$E550,0),0)=0,Z561,INDEX(Spielauswertung!$AB550:$AE550,MATCH(Tabelle11[[#Headers],[Louis_W]],Spielauswertung!$B550:$E550,0))+Z561)</f>
        <v>87.497452285475362</v>
      </c>
      <c r="AA562" s="1">
        <f>IF(IFERROR(MATCH(Tabelle11[[#Headers],[Lukas_L]],Spielauswertung!$B550:$E550,0),0)=0,AA561,INDEX(Spielauswertung!$AB550:$AE550,MATCH(Tabelle11[[#Headers],[Lukas_L]],Spielauswertung!$B550:$E550,0))+AA561)</f>
        <v>98.447931341404143</v>
      </c>
      <c r="AB562" s="1">
        <f>IF(IFERROR(MATCH(Tabelle11[[#Headers],[Marcin_S]],Spielauswertung!$B550:$E550,0),0)=0,AB561,INDEX(Spielauswertung!$AB550:$AE550,MATCH(Tabelle11[[#Headers],[Marcin_S]],Spielauswertung!$B550:$E550,0))+AB561)</f>
        <v>85.463329105556824</v>
      </c>
      <c r="AC562" s="1">
        <f>IF(IFERROR(MATCH(Tabelle11[[#Headers],[Marco_K]],Spielauswertung!$B550:$E550,0),0)=0,AC561,INDEX(Spielauswertung!$AB550:$AE550,MATCH(Tabelle11[[#Headers],[Marco_K]],Spielauswertung!$B550:$E550,0))+AC561)</f>
        <v>102.12169819441469</v>
      </c>
      <c r="AD562" s="1">
        <f>IF(IFERROR(MATCH(Tabelle11[[#Headers],[Marius_M]],Spielauswertung!$B550:$E550,0),0)=0,AD561,INDEX(Spielauswertung!$AB550:$AE550,MATCH(Tabelle11[[#Headers],[Marius_M]],Spielauswertung!$B550:$E550,0))+AD561)</f>
        <v>124.54012374585781</v>
      </c>
      <c r="AE562" s="1">
        <f>IF(IFERROR(MATCH(Tabelle11[[#Headers],[Marvin_W]],Spielauswertung!$B550:$E550,0),0)=0,AE561,INDEX(Spielauswertung!$AB550:$AE550,MATCH(Tabelle11[[#Headers],[Marvin_W]],Spielauswertung!$B550:$E550,0))+AE561)</f>
        <v>96.700266280577438</v>
      </c>
      <c r="AF562" s="1">
        <f>IF(IFERROR(MATCH(Tabelle11[[#Headers],[Matthias_H]],Spielauswertung!$B550:$E550,0),0)=0,AF561,INDEX(Spielauswertung!$AB550:$AE550,MATCH(Tabelle11[[#Headers],[Matthias_H]],Spielauswertung!$B550:$E550,0))+AF561)</f>
        <v>105.42130178599372</v>
      </c>
      <c r="AG562" s="1">
        <f>IF(IFERROR(MATCH(Tabelle11[[#Headers],[Michael_D]],Spielauswertung!$B550:$E550,0),0)=0,AG561,INDEX(Spielauswertung!$AB550:$AE550,MATCH(Tabelle11[[#Headers],[Michael_D]],Spielauswertung!$B550:$E550,0))+AG561)</f>
        <v>96.436276170375336</v>
      </c>
      <c r="AH562" s="1">
        <f>IF(IFERROR(MATCH(Tabelle11[[#Headers],[Patrick_S]],Spielauswertung!$B550:$E550,0),0)=0,AH561,INDEX(Spielauswertung!$AB550:$AE550,MATCH(Tabelle11[[#Headers],[Patrick_S]],Spielauswertung!$B550:$E550,0))+AH561)</f>
        <v>98.975330692053802</v>
      </c>
      <c r="AI562" s="1">
        <f>IF(IFERROR(MATCH(Tabelle11[[#Headers],[Rano_M]],Spielauswertung!$B550:$E550,0),0)=0,AI561,INDEX(Spielauswertung!$AB550:$AE550,MATCH(Tabelle11[[#Headers],[Rano_M]],Spielauswertung!$B550:$E550,0))+AI561)</f>
        <v>109.38890657420265</v>
      </c>
      <c r="AJ562" s="1">
        <f>IF(IFERROR(MATCH(Tabelle11[[#Headers],[Rene_N]],Spielauswertung!$B550:$E550,0),0)=0,AJ561,INDEX(Spielauswertung!$AB550:$AE550,MATCH(Tabelle11[[#Headers],[Rene_N]],Spielauswertung!$B550:$E550,0))+AJ561)</f>
        <v>101.06482124619033</v>
      </c>
      <c r="AK562" s="1">
        <f>IF(IFERROR(MATCH(Tabelle11[[#Headers],[Rene_P]],Spielauswertung!$B550:$E550,0),0)=0,AK561,INDEX(Spielauswertung!$AB550:$AE550,MATCH(Tabelle11[[#Headers],[Rene_P]],Spielauswertung!$B550:$E550,0))+AK561)</f>
        <v>88.762543186332877</v>
      </c>
      <c r="AL562" s="1">
        <f>IF(IFERROR(MATCH(Tabelle11[[#Headers],[Richard_D]],Spielauswertung!$B550:$E550,0),0)=0,AL561,INDEX(Spielauswertung!$AB550:$AE550,MATCH(Tabelle11[[#Headers],[Richard_D]],Spielauswertung!$B550:$E550,0))+AL561)</f>
        <v>107.23233592026223</v>
      </c>
      <c r="AM562" s="1">
        <f>IF(IFERROR(MATCH(Tabelle11[[#Headers],[Rodrigo_R]],Spielauswertung!$B550:$E550,0),0)=0,AM561,INDEX(Spielauswertung!$AB550:$AE550,MATCH(Tabelle11[[#Headers],[Rodrigo_R]],Spielauswertung!$B550:$E550,0))+AM561)</f>
        <v>116.7028707921346</v>
      </c>
      <c r="AN562" s="1">
        <f>IF(IFERROR(MATCH(Tabelle11[[#Headers],[Sebastian_A]],Spielauswertung!$B550:$E550,0),0)=0,AN561,INDEX(Spielauswertung!$AB550:$AE550,MATCH(Tabelle11[[#Headers],[Sebastian_A]],Spielauswertung!$B550:$E550,0))+AN561)</f>
        <v>102.89457418671324</v>
      </c>
      <c r="AO562" s="1">
        <f>IF(IFERROR(MATCH(Tabelle11[[#Headers],[Sebastian_St]],Spielauswertung!$B550:$E550,0),0)=0,AO561,INDEX(Spielauswertung!$AB550:$AE550,MATCH(Tabelle11[[#Headers],[Sebastian_St]],Spielauswertung!$B550:$E550,0))+AO561)</f>
        <v>97.749574367408982</v>
      </c>
      <c r="AP562" s="1">
        <f>IF(IFERROR(MATCH(Tabelle11[[#Headers],[Simon_U]],Spielauswertung!$B550:$E550,0),0)=0,AP561,INDEX(Spielauswertung!$AB550:$AE550,MATCH(Tabelle11[[#Headers],[Simon_U]],Spielauswertung!$B550:$E550,0))+AP561)</f>
        <v>99.623054841470903</v>
      </c>
      <c r="AQ562" s="1">
        <f>IF(IFERROR(MATCH(Tabelle11[[#Headers],[Steffen_R]],Spielauswertung!$B550:$E550,0),0)=0,AQ561,INDEX(Spielauswertung!$AB550:$AE550,MATCH(Tabelle11[[#Headers],[Steffen_R]],Spielauswertung!$B550:$E550,0))+AQ561)</f>
        <v>93.247497067190949</v>
      </c>
      <c r="AR562" s="1">
        <f>IF(IFERROR(MATCH(Tabelle11[[#Headers],[Tim_R]],Spielauswertung!$B550:$E550,0),0)=0,AR561,INDEX(Spielauswertung!$AB550:$AE550,MATCH(Tabelle11[[#Headers],[Tim_R]],Spielauswertung!$B550:$E550,0))+AR561)</f>
        <v>103.07503787023374</v>
      </c>
      <c r="AS562" s="1">
        <f>IF(IFERROR(MATCH(Tabelle11[[#Headers],[Tobias_S]],Spielauswertung!$B550:$E550,0),0)=0,AS561,INDEX(Spielauswertung!$AB550:$AE550,MATCH(Tabelle11[[#Headers],[Tobias_S]],Spielauswertung!$B550:$E550,0))+AS561)</f>
        <v>98.6003422659997</v>
      </c>
      <c r="AT562" s="1">
        <f>IF(IFERROR(MATCH(Tabelle11[[#Headers],[Tom_R]],Spielauswertung!$B550:$E550,0),0)=0,AT561,INDEX(Spielauswertung!$AB550:$AE550,MATCH(Tabelle11[[#Headers],[Tom_R]],Spielauswertung!$B550:$E550,0))+AT561)</f>
        <v>112.62344492949197</v>
      </c>
      <c r="AU562" s="1">
        <f>IF(IFERROR(MATCH(Tabelle11[[#Headers],[Ton_L]],Spielauswertung!$B550:$E550,0),0)=0,AU561,INDEX(Spielauswertung!$AB550:$AE550,MATCH(Tabelle11[[#Headers],[Ton_L]],Spielauswertung!$B550:$E550,0))+AU561)</f>
        <v>92.683083360025861</v>
      </c>
      <c r="AV562" s="1">
        <f>IF(IFERROR(MATCH(Tabelle11[[#Headers],[Yixin_G]],Spielauswertung!$B550:$E550,0),0)=0,AV561,INDEX(Spielauswertung!$AB550:$AE550,MATCH(Tabelle11[[#Headers],[Yixin_G]],Spielauswertung!$B550:$E550,0))+AV561)</f>
        <v>99.900323214082661</v>
      </c>
      <c r="AW562" s="1">
        <f>IF(IFERROR(MATCH(Tabelle11[[#Headers],[Spalte36]],Spielauswertung!$B550:$E550,0),0)=0,AW561,INDEX(Spielauswertung!$AB550:$AE550,MATCH(Tabelle11[[#Headers],[Spalte36]],Spielauswertung!$B550:$E550,0))+AW561)</f>
        <v>100</v>
      </c>
      <c r="AX562" s="1">
        <f>IF(IFERROR(MATCH(Tabelle11[[#Headers],[Spalte37]],Spielauswertung!$B550:$E550,0),0)=0,AX561,INDEX(Spielauswertung!$AB550:$AE550,MATCH(Tabelle11[[#Headers],[Spalte37]],Spielauswertung!$B550:$E550,0))+AX561)</f>
        <v>100</v>
      </c>
      <c r="AY562" s="1">
        <f>IF(IFERROR(MATCH(Tabelle11[[#Headers],[Spalte38]],Spielauswertung!$B550:$E550,0),0)=0,AY561,INDEX(Spielauswertung!$AB550:$AE550,MATCH(Tabelle11[[#Headers],[Spalte38]],Spielauswertung!$B550:$E550,0))+AY561)</f>
        <v>100</v>
      </c>
      <c r="AZ562" s="1">
        <f>IF(IFERROR(MATCH(Tabelle11[[#Headers],[Spalte39]],Spielauswertung!$B550:$E550,0),0)=0,AZ561,INDEX(Spielauswertung!$AB550:$AE550,MATCH(Tabelle11[[#Headers],[Spalte39]],Spielauswertung!$B550:$E550,0))+AZ561)</f>
        <v>100</v>
      </c>
      <c r="BA562" s="1">
        <f>IF(IFERROR(MATCH(Tabelle11[[#Headers],[Spalte40]],Spielauswertung!$B550:$E550,0),0)=0,BA561,INDEX(Spielauswertung!$AB550:$AE550,MATCH(Tabelle11[[#Headers],[Spalte40]],Spielauswertung!$B550:$E550,0))+BA561)</f>
        <v>100</v>
      </c>
      <c r="BB562" s="1">
        <f>IF(IFERROR(MATCH(Tabelle11[[#Headers],[Spalte41]],Spielauswertung!$B550:$E550,0),0)=0,BB561,INDEX(Spielauswertung!$AB550:$AE550,MATCH(Tabelle11[[#Headers],[Spalte41]],Spielauswertung!$B550:$E550,0))+BB561)</f>
        <v>100</v>
      </c>
      <c r="BC562" s="1">
        <f>IF(IFERROR(MATCH(Tabelle11[[#Headers],[Spalte42]],Spielauswertung!$B550:$E550,0),0)=0,BC561,INDEX(Spielauswertung!$AB550:$AE550,MATCH(Tabelle11[[#Headers],[Spalte42]],Spielauswertung!$B550:$E550,0))+BC561)</f>
        <v>100</v>
      </c>
      <c r="BD562" s="1">
        <f>IF(IFERROR(MATCH(Tabelle11[[#Headers],[Spalte43]],Spielauswertung!$B550:$E550,0),0)=0,BD561,INDEX(Spielauswertung!$AB550:$AE550,MATCH(Tabelle11[[#Headers],[Spalte43]],Spielauswertung!$B550:$E550,0))+BD561)</f>
        <v>100</v>
      </c>
      <c r="BE562" s="1">
        <f>IF(IFERROR(MATCH(Tabelle11[[#Headers],[Spalte44]],Spielauswertung!$B550:$E550,0),0)=0,BE561,INDEX(Spielauswertung!$AB550:$AE550,MATCH(Tabelle11[[#Headers],[Spalte44]],Spielauswertung!$B550:$E550,0))+BE561)</f>
        <v>100</v>
      </c>
      <c r="BF562" s="1">
        <f>IF(IFERROR(MATCH(Tabelle11[[#Headers],[Spalte45]],Spielauswertung!$B550:$E550,0),0)=0,BF561,INDEX(Spielauswertung!$AB550:$AE550,MATCH(Tabelle11[[#Headers],[Spalte45]],Spielauswertung!$B550:$E550,0))+BF561)</f>
        <v>100</v>
      </c>
      <c r="BG562" s="1">
        <f>IF(IFERROR(MATCH(Tabelle11[[#Headers],[Spalte46]],Spielauswertung!$B550:$E550,0),0)=0,BG561,INDEX(Spielauswertung!$AB550:$AE550,MATCH(Tabelle11[[#Headers],[Spalte46]],Spielauswertung!$B550:$E550,0))+BG561)</f>
        <v>100</v>
      </c>
      <c r="BH562" s="1">
        <f>IF(IFERROR(MATCH(Tabelle11[[#Headers],[Spalte47]],Spielauswertung!$B550:$E550,0),0)=0,BH561,INDEX(Spielauswertung!$AB550:$AE550,MATCH(Tabelle11[[#Headers],[Spalte47]],Spielauswertung!$B550:$E550,0))+BH561)</f>
        <v>100</v>
      </c>
    </row>
    <row r="563" spans="1:60" x14ac:dyDescent="0.25">
      <c r="A563">
        <f t="shared" si="9"/>
        <v>550</v>
      </c>
      <c r="B563" s="1">
        <f>IF(IFERROR(MATCH(Tabelle11[[#Headers],[Aleix_V]],Spielauswertung!$B551:$E551,0),0)=0,B562,INDEX(Spielauswertung!$AB551:$AE551,MATCH(Tabelle11[[#Headers],[Aleix_V]],Spielauswertung!$B551:$E551,0))+B562)</f>
        <v>102.47318019444646</v>
      </c>
      <c r="C563" s="1">
        <f>IF(IFERROR(MATCH(Tabelle11[[#Headers],[Andres_H]],Spielauswertung!$B551:$E551,0),0)=0,C562,INDEX(Spielauswertung!$AB551:$AE551,MATCH(Tabelle11[[#Headers],[Andres_H]],Spielauswertung!$B551:$E551,0))+C562)</f>
        <v>95.535732339111306</v>
      </c>
      <c r="D563" s="1">
        <f>IF(IFERROR(MATCH(Tabelle11[[#Headers],[Anton_K]],Spielauswertung!$B551:$E551,0),0)=0,D562,INDEX(Spielauswertung!$AB551:$AE551,MATCH(Tabelle11[[#Headers],[Anton_K]],Spielauswertung!$B551:$E551,0))+D562)</f>
        <v>99.287728777054667</v>
      </c>
      <c r="E563" s="1">
        <f>IF(IFERROR(MATCH(Tabelle11[[#Headers],[Bastian_G]],Spielauswertung!$B551:$E551,0),0)=0,E562,INDEX(Spielauswertung!$AB551:$AE551,MATCH(Tabelle11[[#Headers],[Bastian_G]],Spielauswertung!$B551:$E551,0))+E562)</f>
        <v>117.49978695184252</v>
      </c>
      <c r="F563" s="1">
        <f>IF(IFERROR(MATCH(Tabelle11[[#Headers],[Ben_S]],Spielauswertung!$B551:$E551,0),0)=0,F562,INDEX(Spielauswertung!$AB551:$AE551,MATCH(Tabelle11[[#Headers],[Ben_S]],Spielauswertung!$B551:$E551,0))+F562)</f>
        <v>95.932799101521084</v>
      </c>
      <c r="G563" s="1">
        <f>IF(IFERROR(MATCH(Tabelle11[[#Headers],[Benedikt_K]],Spielauswertung!$B551:$E551,0),0)=0,G562,INDEX(Spielauswertung!$AB551:$AE551,MATCH(Tabelle11[[#Headers],[Benedikt_K]],Spielauswertung!$B551:$E551,0))+G562)</f>
        <v>101.20264176422626</v>
      </c>
      <c r="H563" s="1">
        <f>IF(IFERROR(MATCH(Tabelle11[[#Headers],[Benedikt_R]],Spielauswertung!$B551:$E551,0),0)=0,H562,INDEX(Spielauswertung!$AB551:$AE551,MATCH(Tabelle11[[#Headers],[Benedikt_R]],Spielauswertung!$B551:$E551,0))+H562)</f>
        <v>102.6264770510757</v>
      </c>
      <c r="I563" s="1">
        <f>IF(IFERROR(MATCH(Tabelle11[[#Headers],[Carsten_H]],Spielauswertung!$B551:$E551,0),0)=0,I562,INDEX(Spielauswertung!$AB551:$AE551,MATCH(Tabelle11[[#Headers],[Carsten_H]],Spielauswertung!$B551:$E551,0))+I562)</f>
        <v>90.817185094326874</v>
      </c>
      <c r="J563" s="1">
        <f>IF(IFERROR(MATCH(Tabelle11[[#Headers],[Christoph_R]],Spielauswertung!$B551:$E551,0),0)=0,J562,INDEX(Spielauswertung!$AB551:$AE551,MATCH(Tabelle11[[#Headers],[Christoph_R]],Spielauswertung!$B551:$E551,0))+J562)</f>
        <v>109.73261611443155</v>
      </c>
      <c r="K563" s="1">
        <f>IF(IFERROR(MATCH(Tabelle11[[#Headers],[Claudius_J]],Spielauswertung!$B551:$E551,0),0)=0,K562,INDEX(Spielauswertung!$AB551:$AE551,MATCH(Tabelle11[[#Headers],[Claudius_J]],Spielauswertung!$B551:$E551,0))+K562)</f>
        <v>106.16590636000029</v>
      </c>
      <c r="L563" s="1">
        <f>IF(IFERROR(MATCH(Tabelle11[[#Headers],[Daniel_D]],Spielauswertung!$B551:$E551,0),0)=0,L562,INDEX(Spielauswertung!$AB551:$AE551,MATCH(Tabelle11[[#Headers],[Daniel_D]],Spielauswertung!$B551:$E551,0))+L562)</f>
        <v>99.990299180470089</v>
      </c>
      <c r="M563" s="1">
        <f>IF(IFERROR(MATCH(Tabelle11[[#Headers],[David_R]],Spielauswertung!$B551:$E551,0),0)=0,M562,INDEX(Spielauswertung!$AB551:$AE551,MATCH(Tabelle11[[#Headers],[David_R]],Spielauswertung!$B551:$E551,0))+M562)</f>
        <v>96.715943522481638</v>
      </c>
      <c r="N563" s="1">
        <f>IF(IFERROR(MATCH(Tabelle11[[#Headers],[Dennis_P]],Spielauswertung!$B551:$E551,0),0)=0,N562,INDEX(Spielauswertung!$AB551:$AE551,MATCH(Tabelle11[[#Headers],[Dennis_P]],Spielauswertung!$B551:$E551,0))+N562)</f>
        <v>100.04773223105254</v>
      </c>
      <c r="O563" s="1">
        <f>IF(IFERROR(MATCH(Tabelle11[[#Headers],[Dennis_R]],Spielauswertung!$B551:$E551,0),0)=0,O562,INDEX(Spielauswertung!$AB551:$AE551,MATCH(Tabelle11[[#Headers],[Dennis_R]],Spielauswertung!$B551:$E551,0))+O562)</f>
        <v>75.131680864937195</v>
      </c>
      <c r="P563" s="1">
        <f>IF(IFERROR(MATCH(Tabelle11[[#Headers],[Detlef_R]],Spielauswertung!$B551:$E551,0),0)=0,P562,INDEX(Spielauswertung!$AB551:$AE551,MATCH(Tabelle11[[#Headers],[Detlef_R]],Spielauswertung!$B551:$E551,0))+P562)</f>
        <v>87.984671797367014</v>
      </c>
      <c r="Q563" s="1">
        <f>IF(IFERROR(MATCH(Tabelle11[[#Headers],[Dmitrij_M]],Spielauswertung!$B551:$E551,0),0)=0,Q562,INDEX(Spielauswertung!$AB551:$AE551,MATCH(Tabelle11[[#Headers],[Dmitrij_M]],Spielauswertung!$B551:$E551,0))+Q562)</f>
        <v>100.69975721846207</v>
      </c>
      <c r="R563" s="1">
        <f>IF(IFERROR(MATCH(Tabelle11[[#Headers],[Fabian_M]],Spielauswertung!$B551:$E551,0),0)=0,R562,INDEX(Spielauswertung!$AB551:$AE551,MATCH(Tabelle11[[#Headers],[Fabian_M]],Spielauswertung!$B551:$E551,0))+R562)</f>
        <v>95.805387841610738</v>
      </c>
      <c r="S563" s="1">
        <f>IF(IFERROR(MATCH(Tabelle11[[#Headers],[Hannes_S]],Spielauswertung!$B551:$E551,0),0)=0,S562,INDEX(Spielauswertung!$AB551:$AE551,MATCH(Tabelle11[[#Headers],[Hannes_S]],Spielauswertung!$B551:$E551,0))+S562)</f>
        <v>104.83899184012799</v>
      </c>
      <c r="T563" s="1">
        <f>IF(IFERROR(MATCH(Tabelle11[[#Headers],[Jan_B]],Spielauswertung!$B551:$E551,0),0)=0,T562,INDEX(Spielauswertung!$AB551:$AE551,MATCH(Tabelle11[[#Headers],[Jan_B]],Spielauswertung!$B551:$E551,0))+T562)</f>
        <v>100.2794420429173</v>
      </c>
      <c r="U563" s="1">
        <f>IF(IFERROR(MATCH(Tabelle11[[#Headers],[Jan_Hendrik_B]],Spielauswertung!$B551:$E551,0),0)=0,U562,INDEX(Spielauswertung!$AB551:$AE551,MATCH(Tabelle11[[#Headers],[Jan_Hendrik_B]],Spielauswertung!$B551:$E551,0))+U562)</f>
        <v>100.75492416935522</v>
      </c>
      <c r="V563" s="1">
        <f>IF(IFERROR(MATCH(Tabelle11[[#Headers],[Jens_N]],Spielauswertung!$B551:$E551,0),0)=0,V562,INDEX(Spielauswertung!$AB551:$AE551,MATCH(Tabelle11[[#Headers],[Jens_N]],Spielauswertung!$B551:$E551,0))+V562)</f>
        <v>99.643534710196832</v>
      </c>
      <c r="W563" s="1">
        <f>IF(IFERROR(MATCH(Tabelle11[[#Headers],[Johannes_S]],Spielauswertung!$B551:$E551,0),0)=0,W562,INDEX(Spielauswertung!$AB551:$AE551,MATCH(Tabelle11[[#Headers],[Johannes_S]],Spielauswertung!$B551:$E551,0))+W562)</f>
        <v>102.20284750979505</v>
      </c>
      <c r="X563" s="1">
        <f>IF(IFERROR(MATCH(Tabelle11[[#Headers],[Jonathan_F]],Spielauswertung!$B551:$E551,0),0)=0,X562,INDEX(Spielauswertung!$AB551:$AE551,MATCH(Tabelle11[[#Headers],[Jonathan_F]],Spielauswertung!$B551:$E551,0))+X562)</f>
        <v>98.938308797866256</v>
      </c>
      <c r="Y563" s="1">
        <f>IF(IFERROR(MATCH(Tabelle11[[#Headers],[Julius_P]],Spielauswertung!$B551:$E551,0),0)=0,Y562,INDEX(Spielauswertung!$AB551:$AE551,MATCH(Tabelle11[[#Headers],[Julius_P]],Spielauswertung!$B551:$E551,0))+Y562)</f>
        <v>96.540305101873642</v>
      </c>
      <c r="Z563" s="1">
        <f>IF(IFERROR(MATCH(Tabelle11[[#Headers],[Louis_W]],Spielauswertung!$B551:$E551,0),0)=0,Z562,INDEX(Spielauswertung!$AB551:$AE551,MATCH(Tabelle11[[#Headers],[Louis_W]],Spielauswertung!$B551:$E551,0))+Z562)</f>
        <v>87.497452285475362</v>
      </c>
      <c r="AA563" s="1">
        <f>IF(IFERROR(MATCH(Tabelle11[[#Headers],[Lukas_L]],Spielauswertung!$B551:$E551,0),0)=0,AA562,INDEX(Spielauswertung!$AB551:$AE551,MATCH(Tabelle11[[#Headers],[Lukas_L]],Spielauswertung!$B551:$E551,0))+AA562)</f>
        <v>98.447931341404143</v>
      </c>
      <c r="AB563" s="1">
        <f>IF(IFERROR(MATCH(Tabelle11[[#Headers],[Marcin_S]],Spielauswertung!$B551:$E551,0),0)=0,AB562,INDEX(Spielauswertung!$AB551:$AE551,MATCH(Tabelle11[[#Headers],[Marcin_S]],Spielauswertung!$B551:$E551,0))+AB562)</f>
        <v>85.463329105556824</v>
      </c>
      <c r="AC563" s="1">
        <f>IF(IFERROR(MATCH(Tabelle11[[#Headers],[Marco_K]],Spielauswertung!$B551:$E551,0),0)=0,AC562,INDEX(Spielauswertung!$AB551:$AE551,MATCH(Tabelle11[[#Headers],[Marco_K]],Spielauswertung!$B551:$E551,0))+AC562)</f>
        <v>102.12169819441469</v>
      </c>
      <c r="AD563" s="1">
        <f>IF(IFERROR(MATCH(Tabelle11[[#Headers],[Marius_M]],Spielauswertung!$B551:$E551,0),0)=0,AD562,INDEX(Spielauswertung!$AB551:$AE551,MATCH(Tabelle11[[#Headers],[Marius_M]],Spielauswertung!$B551:$E551,0))+AD562)</f>
        <v>124.54012374585781</v>
      </c>
      <c r="AE563" s="1">
        <f>IF(IFERROR(MATCH(Tabelle11[[#Headers],[Marvin_W]],Spielauswertung!$B551:$E551,0),0)=0,AE562,INDEX(Spielauswertung!$AB551:$AE551,MATCH(Tabelle11[[#Headers],[Marvin_W]],Spielauswertung!$B551:$E551,0))+AE562)</f>
        <v>96.700266280577438</v>
      </c>
      <c r="AF563" s="1">
        <f>IF(IFERROR(MATCH(Tabelle11[[#Headers],[Matthias_H]],Spielauswertung!$B551:$E551,0),0)=0,AF562,INDEX(Spielauswertung!$AB551:$AE551,MATCH(Tabelle11[[#Headers],[Matthias_H]],Spielauswertung!$B551:$E551,0))+AF562)</f>
        <v>105.42130178599372</v>
      </c>
      <c r="AG563" s="1">
        <f>IF(IFERROR(MATCH(Tabelle11[[#Headers],[Michael_D]],Spielauswertung!$B551:$E551,0),0)=0,AG562,INDEX(Spielauswertung!$AB551:$AE551,MATCH(Tabelle11[[#Headers],[Michael_D]],Spielauswertung!$B551:$E551,0))+AG562)</f>
        <v>96.436276170375336</v>
      </c>
      <c r="AH563" s="1">
        <f>IF(IFERROR(MATCH(Tabelle11[[#Headers],[Patrick_S]],Spielauswertung!$B551:$E551,0),0)=0,AH562,INDEX(Spielauswertung!$AB551:$AE551,MATCH(Tabelle11[[#Headers],[Patrick_S]],Spielauswertung!$B551:$E551,0))+AH562)</f>
        <v>98.975330692053802</v>
      </c>
      <c r="AI563" s="1">
        <f>IF(IFERROR(MATCH(Tabelle11[[#Headers],[Rano_M]],Spielauswertung!$B551:$E551,0),0)=0,AI562,INDEX(Spielauswertung!$AB551:$AE551,MATCH(Tabelle11[[#Headers],[Rano_M]],Spielauswertung!$B551:$E551,0))+AI562)</f>
        <v>109.38890657420265</v>
      </c>
      <c r="AJ563" s="1">
        <f>IF(IFERROR(MATCH(Tabelle11[[#Headers],[Rene_N]],Spielauswertung!$B551:$E551,0),0)=0,AJ562,INDEX(Spielauswertung!$AB551:$AE551,MATCH(Tabelle11[[#Headers],[Rene_N]],Spielauswertung!$B551:$E551,0))+AJ562)</f>
        <v>101.06482124619033</v>
      </c>
      <c r="AK563" s="1">
        <f>IF(IFERROR(MATCH(Tabelle11[[#Headers],[Rene_P]],Spielauswertung!$B551:$E551,0),0)=0,AK562,INDEX(Spielauswertung!$AB551:$AE551,MATCH(Tabelle11[[#Headers],[Rene_P]],Spielauswertung!$B551:$E551,0))+AK562)</f>
        <v>88.762543186332877</v>
      </c>
      <c r="AL563" s="1">
        <f>IF(IFERROR(MATCH(Tabelle11[[#Headers],[Richard_D]],Spielauswertung!$B551:$E551,0),0)=0,AL562,INDEX(Spielauswertung!$AB551:$AE551,MATCH(Tabelle11[[#Headers],[Richard_D]],Spielauswertung!$B551:$E551,0))+AL562)</f>
        <v>107.23233592026223</v>
      </c>
      <c r="AM563" s="1">
        <f>IF(IFERROR(MATCH(Tabelle11[[#Headers],[Rodrigo_R]],Spielauswertung!$B551:$E551,0),0)=0,AM562,INDEX(Spielauswertung!$AB551:$AE551,MATCH(Tabelle11[[#Headers],[Rodrigo_R]],Spielauswertung!$B551:$E551,0))+AM562)</f>
        <v>116.7028707921346</v>
      </c>
      <c r="AN563" s="1">
        <f>IF(IFERROR(MATCH(Tabelle11[[#Headers],[Sebastian_A]],Spielauswertung!$B551:$E551,0),0)=0,AN562,INDEX(Spielauswertung!$AB551:$AE551,MATCH(Tabelle11[[#Headers],[Sebastian_A]],Spielauswertung!$B551:$E551,0))+AN562)</f>
        <v>102.89457418671324</v>
      </c>
      <c r="AO563" s="1">
        <f>IF(IFERROR(MATCH(Tabelle11[[#Headers],[Sebastian_St]],Spielauswertung!$B551:$E551,0),0)=0,AO562,INDEX(Spielauswertung!$AB551:$AE551,MATCH(Tabelle11[[#Headers],[Sebastian_St]],Spielauswertung!$B551:$E551,0))+AO562)</f>
        <v>97.749574367408982</v>
      </c>
      <c r="AP563" s="1">
        <f>IF(IFERROR(MATCH(Tabelle11[[#Headers],[Simon_U]],Spielauswertung!$B551:$E551,0),0)=0,AP562,INDEX(Spielauswertung!$AB551:$AE551,MATCH(Tabelle11[[#Headers],[Simon_U]],Spielauswertung!$B551:$E551,0))+AP562)</f>
        <v>99.623054841470903</v>
      </c>
      <c r="AQ563" s="1">
        <f>IF(IFERROR(MATCH(Tabelle11[[#Headers],[Steffen_R]],Spielauswertung!$B551:$E551,0),0)=0,AQ562,INDEX(Spielauswertung!$AB551:$AE551,MATCH(Tabelle11[[#Headers],[Steffen_R]],Spielauswertung!$B551:$E551,0))+AQ562)</f>
        <v>93.247497067190949</v>
      </c>
      <c r="AR563" s="1">
        <f>IF(IFERROR(MATCH(Tabelle11[[#Headers],[Tim_R]],Spielauswertung!$B551:$E551,0),0)=0,AR562,INDEX(Spielauswertung!$AB551:$AE551,MATCH(Tabelle11[[#Headers],[Tim_R]],Spielauswertung!$B551:$E551,0))+AR562)</f>
        <v>103.07503787023374</v>
      </c>
      <c r="AS563" s="1">
        <f>IF(IFERROR(MATCH(Tabelle11[[#Headers],[Tobias_S]],Spielauswertung!$B551:$E551,0),0)=0,AS562,INDEX(Spielauswertung!$AB551:$AE551,MATCH(Tabelle11[[#Headers],[Tobias_S]],Spielauswertung!$B551:$E551,0))+AS562)</f>
        <v>98.6003422659997</v>
      </c>
      <c r="AT563" s="1">
        <f>IF(IFERROR(MATCH(Tabelle11[[#Headers],[Tom_R]],Spielauswertung!$B551:$E551,0),0)=0,AT562,INDEX(Spielauswertung!$AB551:$AE551,MATCH(Tabelle11[[#Headers],[Tom_R]],Spielauswertung!$B551:$E551,0))+AT562)</f>
        <v>112.62344492949197</v>
      </c>
      <c r="AU563" s="1">
        <f>IF(IFERROR(MATCH(Tabelle11[[#Headers],[Ton_L]],Spielauswertung!$B551:$E551,0),0)=0,AU562,INDEX(Spielauswertung!$AB551:$AE551,MATCH(Tabelle11[[#Headers],[Ton_L]],Spielauswertung!$B551:$E551,0))+AU562)</f>
        <v>92.683083360025861</v>
      </c>
      <c r="AV563" s="1">
        <f>IF(IFERROR(MATCH(Tabelle11[[#Headers],[Yixin_G]],Spielauswertung!$B551:$E551,0),0)=0,AV562,INDEX(Spielauswertung!$AB551:$AE551,MATCH(Tabelle11[[#Headers],[Yixin_G]],Spielauswertung!$B551:$E551,0))+AV562)</f>
        <v>99.900323214082661</v>
      </c>
      <c r="AW563" s="1">
        <f>IF(IFERROR(MATCH(Tabelle11[[#Headers],[Spalte36]],Spielauswertung!$B551:$E551,0),0)=0,AW562,INDEX(Spielauswertung!$AB551:$AE551,MATCH(Tabelle11[[#Headers],[Spalte36]],Spielauswertung!$B551:$E551,0))+AW562)</f>
        <v>100</v>
      </c>
      <c r="AX563" s="1">
        <f>IF(IFERROR(MATCH(Tabelle11[[#Headers],[Spalte37]],Spielauswertung!$B551:$E551,0),0)=0,AX562,INDEX(Spielauswertung!$AB551:$AE551,MATCH(Tabelle11[[#Headers],[Spalte37]],Spielauswertung!$B551:$E551,0))+AX562)</f>
        <v>100</v>
      </c>
      <c r="AY563" s="1">
        <f>IF(IFERROR(MATCH(Tabelle11[[#Headers],[Spalte38]],Spielauswertung!$B551:$E551,0),0)=0,AY562,INDEX(Spielauswertung!$AB551:$AE551,MATCH(Tabelle11[[#Headers],[Spalte38]],Spielauswertung!$B551:$E551,0))+AY562)</f>
        <v>100</v>
      </c>
      <c r="AZ563" s="1">
        <f>IF(IFERROR(MATCH(Tabelle11[[#Headers],[Spalte39]],Spielauswertung!$B551:$E551,0),0)=0,AZ562,INDEX(Spielauswertung!$AB551:$AE551,MATCH(Tabelle11[[#Headers],[Spalte39]],Spielauswertung!$B551:$E551,0))+AZ562)</f>
        <v>100</v>
      </c>
      <c r="BA563" s="1">
        <f>IF(IFERROR(MATCH(Tabelle11[[#Headers],[Spalte40]],Spielauswertung!$B551:$E551,0),0)=0,BA562,INDEX(Spielauswertung!$AB551:$AE551,MATCH(Tabelle11[[#Headers],[Spalte40]],Spielauswertung!$B551:$E551,0))+BA562)</f>
        <v>100</v>
      </c>
      <c r="BB563" s="1">
        <f>IF(IFERROR(MATCH(Tabelle11[[#Headers],[Spalte41]],Spielauswertung!$B551:$E551,0),0)=0,BB562,INDEX(Spielauswertung!$AB551:$AE551,MATCH(Tabelle11[[#Headers],[Spalte41]],Spielauswertung!$B551:$E551,0))+BB562)</f>
        <v>100</v>
      </c>
      <c r="BC563" s="1">
        <f>IF(IFERROR(MATCH(Tabelle11[[#Headers],[Spalte42]],Spielauswertung!$B551:$E551,0),0)=0,BC562,INDEX(Spielauswertung!$AB551:$AE551,MATCH(Tabelle11[[#Headers],[Spalte42]],Spielauswertung!$B551:$E551,0))+BC562)</f>
        <v>100</v>
      </c>
      <c r="BD563" s="1">
        <f>IF(IFERROR(MATCH(Tabelle11[[#Headers],[Spalte43]],Spielauswertung!$B551:$E551,0),0)=0,BD562,INDEX(Spielauswertung!$AB551:$AE551,MATCH(Tabelle11[[#Headers],[Spalte43]],Spielauswertung!$B551:$E551,0))+BD562)</f>
        <v>100</v>
      </c>
      <c r="BE563" s="1">
        <f>IF(IFERROR(MATCH(Tabelle11[[#Headers],[Spalte44]],Spielauswertung!$B551:$E551,0),0)=0,BE562,INDEX(Spielauswertung!$AB551:$AE551,MATCH(Tabelle11[[#Headers],[Spalte44]],Spielauswertung!$B551:$E551,0))+BE562)</f>
        <v>100</v>
      </c>
      <c r="BF563" s="1">
        <f>IF(IFERROR(MATCH(Tabelle11[[#Headers],[Spalte45]],Spielauswertung!$B551:$E551,0),0)=0,BF562,INDEX(Spielauswertung!$AB551:$AE551,MATCH(Tabelle11[[#Headers],[Spalte45]],Spielauswertung!$B551:$E551,0))+BF562)</f>
        <v>100</v>
      </c>
      <c r="BG563" s="1">
        <f>IF(IFERROR(MATCH(Tabelle11[[#Headers],[Spalte46]],Spielauswertung!$B551:$E551,0),0)=0,BG562,INDEX(Spielauswertung!$AB551:$AE551,MATCH(Tabelle11[[#Headers],[Spalte46]],Spielauswertung!$B551:$E551,0))+BG562)</f>
        <v>100</v>
      </c>
      <c r="BH563" s="1">
        <f>IF(IFERROR(MATCH(Tabelle11[[#Headers],[Spalte47]],Spielauswertung!$B551:$E551,0),0)=0,BH562,INDEX(Spielauswertung!$AB551:$AE551,MATCH(Tabelle11[[#Headers],[Spalte47]],Spielauswertung!$B551:$E551,0))+BH562)</f>
        <v>100</v>
      </c>
    </row>
    <row r="564" spans="1:60" x14ac:dyDescent="0.25">
      <c r="A564">
        <f t="shared" si="9"/>
        <v>551</v>
      </c>
      <c r="B564" s="1">
        <f>IF(IFERROR(MATCH(Tabelle11[[#Headers],[Aleix_V]],Spielauswertung!$B552:$E552,0),0)=0,B563,INDEX(Spielauswertung!$AB552:$AE552,MATCH(Tabelle11[[#Headers],[Aleix_V]],Spielauswertung!$B552:$E552,0))+B563)</f>
        <v>102.47318019444646</v>
      </c>
      <c r="C564" s="1">
        <f>IF(IFERROR(MATCH(Tabelle11[[#Headers],[Andres_H]],Spielauswertung!$B552:$E552,0),0)=0,C563,INDEX(Spielauswertung!$AB552:$AE552,MATCH(Tabelle11[[#Headers],[Andres_H]],Spielauswertung!$B552:$E552,0))+C563)</f>
        <v>95.535732339111306</v>
      </c>
      <c r="D564" s="1">
        <f>IF(IFERROR(MATCH(Tabelle11[[#Headers],[Anton_K]],Spielauswertung!$B552:$E552,0),0)=0,D563,INDEX(Spielauswertung!$AB552:$AE552,MATCH(Tabelle11[[#Headers],[Anton_K]],Spielauswertung!$B552:$E552,0))+D563)</f>
        <v>99.287728777054667</v>
      </c>
      <c r="E564" s="1">
        <f>IF(IFERROR(MATCH(Tabelle11[[#Headers],[Bastian_G]],Spielauswertung!$B552:$E552,0),0)=0,E563,INDEX(Spielauswertung!$AB552:$AE552,MATCH(Tabelle11[[#Headers],[Bastian_G]],Spielauswertung!$B552:$E552,0))+E563)</f>
        <v>117.49978695184252</v>
      </c>
      <c r="F564" s="1">
        <f>IF(IFERROR(MATCH(Tabelle11[[#Headers],[Ben_S]],Spielauswertung!$B552:$E552,0),0)=0,F563,INDEX(Spielauswertung!$AB552:$AE552,MATCH(Tabelle11[[#Headers],[Ben_S]],Spielauswertung!$B552:$E552,0))+F563)</f>
        <v>95.932799101521084</v>
      </c>
      <c r="G564" s="1">
        <f>IF(IFERROR(MATCH(Tabelle11[[#Headers],[Benedikt_K]],Spielauswertung!$B552:$E552,0),0)=0,G563,INDEX(Spielauswertung!$AB552:$AE552,MATCH(Tabelle11[[#Headers],[Benedikt_K]],Spielauswertung!$B552:$E552,0))+G563)</f>
        <v>101.20264176422626</v>
      </c>
      <c r="H564" s="1">
        <f>IF(IFERROR(MATCH(Tabelle11[[#Headers],[Benedikt_R]],Spielauswertung!$B552:$E552,0),0)=0,H563,INDEX(Spielauswertung!$AB552:$AE552,MATCH(Tabelle11[[#Headers],[Benedikt_R]],Spielauswertung!$B552:$E552,0))+H563)</f>
        <v>102.6264770510757</v>
      </c>
      <c r="I564" s="1">
        <f>IF(IFERROR(MATCH(Tabelle11[[#Headers],[Carsten_H]],Spielauswertung!$B552:$E552,0),0)=0,I563,INDEX(Spielauswertung!$AB552:$AE552,MATCH(Tabelle11[[#Headers],[Carsten_H]],Spielauswertung!$B552:$E552,0))+I563)</f>
        <v>90.817185094326874</v>
      </c>
      <c r="J564" s="1">
        <f>IF(IFERROR(MATCH(Tabelle11[[#Headers],[Christoph_R]],Spielauswertung!$B552:$E552,0),0)=0,J563,INDEX(Spielauswertung!$AB552:$AE552,MATCH(Tabelle11[[#Headers],[Christoph_R]],Spielauswertung!$B552:$E552,0))+J563)</f>
        <v>109.73261611443155</v>
      </c>
      <c r="K564" s="1">
        <f>IF(IFERROR(MATCH(Tabelle11[[#Headers],[Claudius_J]],Spielauswertung!$B552:$E552,0),0)=0,K563,INDEX(Spielauswertung!$AB552:$AE552,MATCH(Tabelle11[[#Headers],[Claudius_J]],Spielauswertung!$B552:$E552,0))+K563)</f>
        <v>106.16590636000029</v>
      </c>
      <c r="L564" s="1">
        <f>IF(IFERROR(MATCH(Tabelle11[[#Headers],[Daniel_D]],Spielauswertung!$B552:$E552,0),0)=0,L563,INDEX(Spielauswertung!$AB552:$AE552,MATCH(Tabelle11[[#Headers],[Daniel_D]],Spielauswertung!$B552:$E552,0))+L563)</f>
        <v>99.990299180470089</v>
      </c>
      <c r="M564" s="1">
        <f>IF(IFERROR(MATCH(Tabelle11[[#Headers],[David_R]],Spielauswertung!$B552:$E552,0),0)=0,M563,INDEX(Spielauswertung!$AB552:$AE552,MATCH(Tabelle11[[#Headers],[David_R]],Spielauswertung!$B552:$E552,0))+M563)</f>
        <v>96.715943522481638</v>
      </c>
      <c r="N564" s="1">
        <f>IF(IFERROR(MATCH(Tabelle11[[#Headers],[Dennis_P]],Spielauswertung!$B552:$E552,0),0)=0,N563,INDEX(Spielauswertung!$AB552:$AE552,MATCH(Tabelle11[[#Headers],[Dennis_P]],Spielauswertung!$B552:$E552,0))+N563)</f>
        <v>100.04773223105254</v>
      </c>
      <c r="O564" s="1">
        <f>IF(IFERROR(MATCH(Tabelle11[[#Headers],[Dennis_R]],Spielauswertung!$B552:$E552,0),0)=0,O563,INDEX(Spielauswertung!$AB552:$AE552,MATCH(Tabelle11[[#Headers],[Dennis_R]],Spielauswertung!$B552:$E552,0))+O563)</f>
        <v>75.131680864937195</v>
      </c>
      <c r="P564" s="1">
        <f>IF(IFERROR(MATCH(Tabelle11[[#Headers],[Detlef_R]],Spielauswertung!$B552:$E552,0),0)=0,P563,INDEX(Spielauswertung!$AB552:$AE552,MATCH(Tabelle11[[#Headers],[Detlef_R]],Spielauswertung!$B552:$E552,0))+P563)</f>
        <v>87.984671797367014</v>
      </c>
      <c r="Q564" s="1">
        <f>IF(IFERROR(MATCH(Tabelle11[[#Headers],[Dmitrij_M]],Spielauswertung!$B552:$E552,0),0)=0,Q563,INDEX(Spielauswertung!$AB552:$AE552,MATCH(Tabelle11[[#Headers],[Dmitrij_M]],Spielauswertung!$B552:$E552,0))+Q563)</f>
        <v>100.69975721846207</v>
      </c>
      <c r="R564" s="1">
        <f>IF(IFERROR(MATCH(Tabelle11[[#Headers],[Fabian_M]],Spielauswertung!$B552:$E552,0),0)=0,R563,INDEX(Spielauswertung!$AB552:$AE552,MATCH(Tabelle11[[#Headers],[Fabian_M]],Spielauswertung!$B552:$E552,0))+R563)</f>
        <v>95.805387841610738</v>
      </c>
      <c r="S564" s="1">
        <f>IF(IFERROR(MATCH(Tabelle11[[#Headers],[Hannes_S]],Spielauswertung!$B552:$E552,0),0)=0,S563,INDEX(Spielauswertung!$AB552:$AE552,MATCH(Tabelle11[[#Headers],[Hannes_S]],Spielauswertung!$B552:$E552,0))+S563)</f>
        <v>104.83899184012799</v>
      </c>
      <c r="T564" s="1">
        <f>IF(IFERROR(MATCH(Tabelle11[[#Headers],[Jan_B]],Spielauswertung!$B552:$E552,0),0)=0,T563,INDEX(Spielauswertung!$AB552:$AE552,MATCH(Tabelle11[[#Headers],[Jan_B]],Spielauswertung!$B552:$E552,0))+T563)</f>
        <v>100.2794420429173</v>
      </c>
      <c r="U564" s="1">
        <f>IF(IFERROR(MATCH(Tabelle11[[#Headers],[Jan_Hendrik_B]],Spielauswertung!$B552:$E552,0),0)=0,U563,INDEX(Spielauswertung!$AB552:$AE552,MATCH(Tabelle11[[#Headers],[Jan_Hendrik_B]],Spielauswertung!$B552:$E552,0))+U563)</f>
        <v>100.75492416935522</v>
      </c>
      <c r="V564" s="1">
        <f>IF(IFERROR(MATCH(Tabelle11[[#Headers],[Jens_N]],Spielauswertung!$B552:$E552,0),0)=0,V563,INDEX(Spielauswertung!$AB552:$AE552,MATCH(Tabelle11[[#Headers],[Jens_N]],Spielauswertung!$B552:$E552,0))+V563)</f>
        <v>99.643534710196832</v>
      </c>
      <c r="W564" s="1">
        <f>IF(IFERROR(MATCH(Tabelle11[[#Headers],[Johannes_S]],Spielauswertung!$B552:$E552,0),0)=0,W563,INDEX(Spielauswertung!$AB552:$AE552,MATCH(Tabelle11[[#Headers],[Johannes_S]],Spielauswertung!$B552:$E552,0))+W563)</f>
        <v>102.20284750979505</v>
      </c>
      <c r="X564" s="1">
        <f>IF(IFERROR(MATCH(Tabelle11[[#Headers],[Jonathan_F]],Spielauswertung!$B552:$E552,0),0)=0,X563,INDEX(Spielauswertung!$AB552:$AE552,MATCH(Tabelle11[[#Headers],[Jonathan_F]],Spielauswertung!$B552:$E552,0))+X563)</f>
        <v>98.938308797866256</v>
      </c>
      <c r="Y564" s="1">
        <f>IF(IFERROR(MATCH(Tabelle11[[#Headers],[Julius_P]],Spielauswertung!$B552:$E552,0),0)=0,Y563,INDEX(Spielauswertung!$AB552:$AE552,MATCH(Tabelle11[[#Headers],[Julius_P]],Spielauswertung!$B552:$E552,0))+Y563)</f>
        <v>96.540305101873642</v>
      </c>
      <c r="Z564" s="1">
        <f>IF(IFERROR(MATCH(Tabelle11[[#Headers],[Louis_W]],Spielauswertung!$B552:$E552,0),0)=0,Z563,INDEX(Spielauswertung!$AB552:$AE552,MATCH(Tabelle11[[#Headers],[Louis_W]],Spielauswertung!$B552:$E552,0))+Z563)</f>
        <v>87.497452285475362</v>
      </c>
      <c r="AA564" s="1">
        <f>IF(IFERROR(MATCH(Tabelle11[[#Headers],[Lukas_L]],Spielauswertung!$B552:$E552,0),0)=0,AA563,INDEX(Spielauswertung!$AB552:$AE552,MATCH(Tabelle11[[#Headers],[Lukas_L]],Spielauswertung!$B552:$E552,0))+AA563)</f>
        <v>98.447931341404143</v>
      </c>
      <c r="AB564" s="1">
        <f>IF(IFERROR(MATCH(Tabelle11[[#Headers],[Marcin_S]],Spielauswertung!$B552:$E552,0),0)=0,AB563,INDEX(Spielauswertung!$AB552:$AE552,MATCH(Tabelle11[[#Headers],[Marcin_S]],Spielauswertung!$B552:$E552,0))+AB563)</f>
        <v>85.463329105556824</v>
      </c>
      <c r="AC564" s="1">
        <f>IF(IFERROR(MATCH(Tabelle11[[#Headers],[Marco_K]],Spielauswertung!$B552:$E552,0),0)=0,AC563,INDEX(Spielauswertung!$AB552:$AE552,MATCH(Tabelle11[[#Headers],[Marco_K]],Spielauswertung!$B552:$E552,0))+AC563)</f>
        <v>102.12169819441469</v>
      </c>
      <c r="AD564" s="1">
        <f>IF(IFERROR(MATCH(Tabelle11[[#Headers],[Marius_M]],Spielauswertung!$B552:$E552,0),0)=0,AD563,INDEX(Spielauswertung!$AB552:$AE552,MATCH(Tabelle11[[#Headers],[Marius_M]],Spielauswertung!$B552:$E552,0))+AD563)</f>
        <v>124.54012374585781</v>
      </c>
      <c r="AE564" s="1">
        <f>IF(IFERROR(MATCH(Tabelle11[[#Headers],[Marvin_W]],Spielauswertung!$B552:$E552,0),0)=0,AE563,INDEX(Spielauswertung!$AB552:$AE552,MATCH(Tabelle11[[#Headers],[Marvin_W]],Spielauswertung!$B552:$E552,0))+AE563)</f>
        <v>96.700266280577438</v>
      </c>
      <c r="AF564" s="1">
        <f>IF(IFERROR(MATCH(Tabelle11[[#Headers],[Matthias_H]],Spielauswertung!$B552:$E552,0),0)=0,AF563,INDEX(Spielauswertung!$AB552:$AE552,MATCH(Tabelle11[[#Headers],[Matthias_H]],Spielauswertung!$B552:$E552,0))+AF563)</f>
        <v>105.42130178599372</v>
      </c>
      <c r="AG564" s="1">
        <f>IF(IFERROR(MATCH(Tabelle11[[#Headers],[Michael_D]],Spielauswertung!$B552:$E552,0),0)=0,AG563,INDEX(Spielauswertung!$AB552:$AE552,MATCH(Tabelle11[[#Headers],[Michael_D]],Spielauswertung!$B552:$E552,0))+AG563)</f>
        <v>96.436276170375336</v>
      </c>
      <c r="AH564" s="1">
        <f>IF(IFERROR(MATCH(Tabelle11[[#Headers],[Patrick_S]],Spielauswertung!$B552:$E552,0),0)=0,AH563,INDEX(Spielauswertung!$AB552:$AE552,MATCH(Tabelle11[[#Headers],[Patrick_S]],Spielauswertung!$B552:$E552,0))+AH563)</f>
        <v>98.975330692053802</v>
      </c>
      <c r="AI564" s="1">
        <f>IF(IFERROR(MATCH(Tabelle11[[#Headers],[Rano_M]],Spielauswertung!$B552:$E552,0),0)=0,AI563,INDEX(Spielauswertung!$AB552:$AE552,MATCH(Tabelle11[[#Headers],[Rano_M]],Spielauswertung!$B552:$E552,0))+AI563)</f>
        <v>109.38890657420265</v>
      </c>
      <c r="AJ564" s="1">
        <f>IF(IFERROR(MATCH(Tabelle11[[#Headers],[Rene_N]],Spielauswertung!$B552:$E552,0),0)=0,AJ563,INDEX(Spielauswertung!$AB552:$AE552,MATCH(Tabelle11[[#Headers],[Rene_N]],Spielauswertung!$B552:$E552,0))+AJ563)</f>
        <v>101.06482124619033</v>
      </c>
      <c r="AK564" s="1">
        <f>IF(IFERROR(MATCH(Tabelle11[[#Headers],[Rene_P]],Spielauswertung!$B552:$E552,0),0)=0,AK563,INDEX(Spielauswertung!$AB552:$AE552,MATCH(Tabelle11[[#Headers],[Rene_P]],Spielauswertung!$B552:$E552,0))+AK563)</f>
        <v>88.762543186332877</v>
      </c>
      <c r="AL564" s="1">
        <f>IF(IFERROR(MATCH(Tabelle11[[#Headers],[Richard_D]],Spielauswertung!$B552:$E552,0),0)=0,AL563,INDEX(Spielauswertung!$AB552:$AE552,MATCH(Tabelle11[[#Headers],[Richard_D]],Spielauswertung!$B552:$E552,0))+AL563)</f>
        <v>107.23233592026223</v>
      </c>
      <c r="AM564" s="1">
        <f>IF(IFERROR(MATCH(Tabelle11[[#Headers],[Rodrigo_R]],Spielauswertung!$B552:$E552,0),0)=0,AM563,INDEX(Spielauswertung!$AB552:$AE552,MATCH(Tabelle11[[#Headers],[Rodrigo_R]],Spielauswertung!$B552:$E552,0))+AM563)</f>
        <v>116.7028707921346</v>
      </c>
      <c r="AN564" s="1">
        <f>IF(IFERROR(MATCH(Tabelle11[[#Headers],[Sebastian_A]],Spielauswertung!$B552:$E552,0),0)=0,AN563,INDEX(Spielauswertung!$AB552:$AE552,MATCH(Tabelle11[[#Headers],[Sebastian_A]],Spielauswertung!$B552:$E552,0))+AN563)</f>
        <v>102.89457418671324</v>
      </c>
      <c r="AO564" s="1">
        <f>IF(IFERROR(MATCH(Tabelle11[[#Headers],[Sebastian_St]],Spielauswertung!$B552:$E552,0),0)=0,AO563,INDEX(Spielauswertung!$AB552:$AE552,MATCH(Tabelle11[[#Headers],[Sebastian_St]],Spielauswertung!$B552:$E552,0))+AO563)</f>
        <v>97.749574367408982</v>
      </c>
      <c r="AP564" s="1">
        <f>IF(IFERROR(MATCH(Tabelle11[[#Headers],[Simon_U]],Spielauswertung!$B552:$E552,0),0)=0,AP563,INDEX(Spielauswertung!$AB552:$AE552,MATCH(Tabelle11[[#Headers],[Simon_U]],Spielauswertung!$B552:$E552,0))+AP563)</f>
        <v>99.623054841470903</v>
      </c>
      <c r="AQ564" s="1">
        <f>IF(IFERROR(MATCH(Tabelle11[[#Headers],[Steffen_R]],Spielauswertung!$B552:$E552,0),0)=0,AQ563,INDEX(Spielauswertung!$AB552:$AE552,MATCH(Tabelle11[[#Headers],[Steffen_R]],Spielauswertung!$B552:$E552,0))+AQ563)</f>
        <v>93.247497067190949</v>
      </c>
      <c r="AR564" s="1">
        <f>IF(IFERROR(MATCH(Tabelle11[[#Headers],[Tim_R]],Spielauswertung!$B552:$E552,0),0)=0,AR563,INDEX(Spielauswertung!$AB552:$AE552,MATCH(Tabelle11[[#Headers],[Tim_R]],Spielauswertung!$B552:$E552,0))+AR563)</f>
        <v>103.07503787023374</v>
      </c>
      <c r="AS564" s="1">
        <f>IF(IFERROR(MATCH(Tabelle11[[#Headers],[Tobias_S]],Spielauswertung!$B552:$E552,0),0)=0,AS563,INDEX(Spielauswertung!$AB552:$AE552,MATCH(Tabelle11[[#Headers],[Tobias_S]],Spielauswertung!$B552:$E552,0))+AS563)</f>
        <v>98.6003422659997</v>
      </c>
      <c r="AT564" s="1">
        <f>IF(IFERROR(MATCH(Tabelle11[[#Headers],[Tom_R]],Spielauswertung!$B552:$E552,0),0)=0,AT563,INDEX(Spielauswertung!$AB552:$AE552,MATCH(Tabelle11[[#Headers],[Tom_R]],Spielauswertung!$B552:$E552,0))+AT563)</f>
        <v>112.62344492949197</v>
      </c>
      <c r="AU564" s="1">
        <f>IF(IFERROR(MATCH(Tabelle11[[#Headers],[Ton_L]],Spielauswertung!$B552:$E552,0),0)=0,AU563,INDEX(Spielauswertung!$AB552:$AE552,MATCH(Tabelle11[[#Headers],[Ton_L]],Spielauswertung!$B552:$E552,0))+AU563)</f>
        <v>92.683083360025861</v>
      </c>
      <c r="AV564" s="1">
        <f>IF(IFERROR(MATCH(Tabelle11[[#Headers],[Yixin_G]],Spielauswertung!$B552:$E552,0),0)=0,AV563,INDEX(Spielauswertung!$AB552:$AE552,MATCH(Tabelle11[[#Headers],[Yixin_G]],Spielauswertung!$B552:$E552,0))+AV563)</f>
        <v>99.900323214082661</v>
      </c>
      <c r="AW564" s="1">
        <f>IF(IFERROR(MATCH(Tabelle11[[#Headers],[Spalte36]],Spielauswertung!$B552:$E552,0),0)=0,AW563,INDEX(Spielauswertung!$AB552:$AE552,MATCH(Tabelle11[[#Headers],[Spalte36]],Spielauswertung!$B552:$E552,0))+AW563)</f>
        <v>100</v>
      </c>
      <c r="AX564" s="1">
        <f>IF(IFERROR(MATCH(Tabelle11[[#Headers],[Spalte37]],Spielauswertung!$B552:$E552,0),0)=0,AX563,INDEX(Spielauswertung!$AB552:$AE552,MATCH(Tabelle11[[#Headers],[Spalte37]],Spielauswertung!$B552:$E552,0))+AX563)</f>
        <v>100</v>
      </c>
      <c r="AY564" s="1">
        <f>IF(IFERROR(MATCH(Tabelle11[[#Headers],[Spalte38]],Spielauswertung!$B552:$E552,0),0)=0,AY563,INDEX(Spielauswertung!$AB552:$AE552,MATCH(Tabelle11[[#Headers],[Spalte38]],Spielauswertung!$B552:$E552,0))+AY563)</f>
        <v>100</v>
      </c>
      <c r="AZ564" s="1">
        <f>IF(IFERROR(MATCH(Tabelle11[[#Headers],[Spalte39]],Spielauswertung!$B552:$E552,0),0)=0,AZ563,INDEX(Spielauswertung!$AB552:$AE552,MATCH(Tabelle11[[#Headers],[Spalte39]],Spielauswertung!$B552:$E552,0))+AZ563)</f>
        <v>100</v>
      </c>
      <c r="BA564" s="1">
        <f>IF(IFERROR(MATCH(Tabelle11[[#Headers],[Spalte40]],Spielauswertung!$B552:$E552,0),0)=0,BA563,INDEX(Spielauswertung!$AB552:$AE552,MATCH(Tabelle11[[#Headers],[Spalte40]],Spielauswertung!$B552:$E552,0))+BA563)</f>
        <v>100</v>
      </c>
      <c r="BB564" s="1">
        <f>IF(IFERROR(MATCH(Tabelle11[[#Headers],[Spalte41]],Spielauswertung!$B552:$E552,0),0)=0,BB563,INDEX(Spielauswertung!$AB552:$AE552,MATCH(Tabelle11[[#Headers],[Spalte41]],Spielauswertung!$B552:$E552,0))+BB563)</f>
        <v>100</v>
      </c>
      <c r="BC564" s="1">
        <f>IF(IFERROR(MATCH(Tabelle11[[#Headers],[Spalte42]],Spielauswertung!$B552:$E552,0),0)=0,BC563,INDEX(Spielauswertung!$AB552:$AE552,MATCH(Tabelle11[[#Headers],[Spalte42]],Spielauswertung!$B552:$E552,0))+BC563)</f>
        <v>100</v>
      </c>
      <c r="BD564" s="1">
        <f>IF(IFERROR(MATCH(Tabelle11[[#Headers],[Spalte43]],Spielauswertung!$B552:$E552,0),0)=0,BD563,INDEX(Spielauswertung!$AB552:$AE552,MATCH(Tabelle11[[#Headers],[Spalte43]],Spielauswertung!$B552:$E552,0))+BD563)</f>
        <v>100</v>
      </c>
      <c r="BE564" s="1">
        <f>IF(IFERROR(MATCH(Tabelle11[[#Headers],[Spalte44]],Spielauswertung!$B552:$E552,0),0)=0,BE563,INDEX(Spielauswertung!$AB552:$AE552,MATCH(Tabelle11[[#Headers],[Spalte44]],Spielauswertung!$B552:$E552,0))+BE563)</f>
        <v>100</v>
      </c>
      <c r="BF564" s="1">
        <f>IF(IFERROR(MATCH(Tabelle11[[#Headers],[Spalte45]],Spielauswertung!$B552:$E552,0),0)=0,BF563,INDEX(Spielauswertung!$AB552:$AE552,MATCH(Tabelle11[[#Headers],[Spalte45]],Spielauswertung!$B552:$E552,0))+BF563)</f>
        <v>100</v>
      </c>
      <c r="BG564" s="1">
        <f>IF(IFERROR(MATCH(Tabelle11[[#Headers],[Spalte46]],Spielauswertung!$B552:$E552,0),0)=0,BG563,INDEX(Spielauswertung!$AB552:$AE552,MATCH(Tabelle11[[#Headers],[Spalte46]],Spielauswertung!$B552:$E552,0))+BG563)</f>
        <v>100</v>
      </c>
      <c r="BH564" s="1">
        <f>IF(IFERROR(MATCH(Tabelle11[[#Headers],[Spalte47]],Spielauswertung!$B552:$E552,0),0)=0,BH563,INDEX(Spielauswertung!$AB552:$AE552,MATCH(Tabelle11[[#Headers],[Spalte47]],Spielauswertung!$B552:$E552,0))+BH563)</f>
        <v>100</v>
      </c>
    </row>
    <row r="565" spans="1:60" x14ac:dyDescent="0.25">
      <c r="A565">
        <f t="shared" si="9"/>
        <v>552</v>
      </c>
      <c r="B565" s="1">
        <f>IF(IFERROR(MATCH(Tabelle11[[#Headers],[Aleix_V]],Spielauswertung!$B553:$E553,0),0)=0,B564,INDEX(Spielauswertung!$AB553:$AE553,MATCH(Tabelle11[[#Headers],[Aleix_V]],Spielauswertung!$B553:$E553,0))+B564)</f>
        <v>102.47318019444646</v>
      </c>
      <c r="C565" s="1">
        <f>IF(IFERROR(MATCH(Tabelle11[[#Headers],[Andres_H]],Spielauswertung!$B553:$E553,0),0)=0,C564,INDEX(Spielauswertung!$AB553:$AE553,MATCH(Tabelle11[[#Headers],[Andres_H]],Spielauswertung!$B553:$E553,0))+C564)</f>
        <v>95.535732339111306</v>
      </c>
      <c r="D565" s="1">
        <f>IF(IFERROR(MATCH(Tabelle11[[#Headers],[Anton_K]],Spielauswertung!$B553:$E553,0),0)=0,D564,INDEX(Spielauswertung!$AB553:$AE553,MATCH(Tabelle11[[#Headers],[Anton_K]],Spielauswertung!$B553:$E553,0))+D564)</f>
        <v>99.287728777054667</v>
      </c>
      <c r="E565" s="1">
        <f>IF(IFERROR(MATCH(Tabelle11[[#Headers],[Bastian_G]],Spielauswertung!$B553:$E553,0),0)=0,E564,INDEX(Spielauswertung!$AB553:$AE553,MATCH(Tabelle11[[#Headers],[Bastian_G]],Spielauswertung!$B553:$E553,0))+E564)</f>
        <v>117.49978695184252</v>
      </c>
      <c r="F565" s="1">
        <f>IF(IFERROR(MATCH(Tabelle11[[#Headers],[Ben_S]],Spielauswertung!$B553:$E553,0),0)=0,F564,INDEX(Spielauswertung!$AB553:$AE553,MATCH(Tabelle11[[#Headers],[Ben_S]],Spielauswertung!$B553:$E553,0))+F564)</f>
        <v>95.932799101521084</v>
      </c>
      <c r="G565" s="1">
        <f>IF(IFERROR(MATCH(Tabelle11[[#Headers],[Benedikt_K]],Spielauswertung!$B553:$E553,0),0)=0,G564,INDEX(Spielauswertung!$AB553:$AE553,MATCH(Tabelle11[[#Headers],[Benedikt_K]],Spielauswertung!$B553:$E553,0))+G564)</f>
        <v>101.20264176422626</v>
      </c>
      <c r="H565" s="1">
        <f>IF(IFERROR(MATCH(Tabelle11[[#Headers],[Benedikt_R]],Spielauswertung!$B553:$E553,0),0)=0,H564,INDEX(Spielauswertung!$AB553:$AE553,MATCH(Tabelle11[[#Headers],[Benedikt_R]],Spielauswertung!$B553:$E553,0))+H564)</f>
        <v>102.6264770510757</v>
      </c>
      <c r="I565" s="1">
        <f>IF(IFERROR(MATCH(Tabelle11[[#Headers],[Carsten_H]],Spielauswertung!$B553:$E553,0),0)=0,I564,INDEX(Spielauswertung!$AB553:$AE553,MATCH(Tabelle11[[#Headers],[Carsten_H]],Spielauswertung!$B553:$E553,0))+I564)</f>
        <v>90.817185094326874</v>
      </c>
      <c r="J565" s="1">
        <f>IF(IFERROR(MATCH(Tabelle11[[#Headers],[Christoph_R]],Spielauswertung!$B553:$E553,0),0)=0,J564,INDEX(Spielauswertung!$AB553:$AE553,MATCH(Tabelle11[[#Headers],[Christoph_R]],Spielauswertung!$B553:$E553,0))+J564)</f>
        <v>109.73261611443155</v>
      </c>
      <c r="K565" s="1">
        <f>IF(IFERROR(MATCH(Tabelle11[[#Headers],[Claudius_J]],Spielauswertung!$B553:$E553,0),0)=0,K564,INDEX(Spielauswertung!$AB553:$AE553,MATCH(Tabelle11[[#Headers],[Claudius_J]],Spielauswertung!$B553:$E553,0))+K564)</f>
        <v>106.16590636000029</v>
      </c>
      <c r="L565" s="1">
        <f>IF(IFERROR(MATCH(Tabelle11[[#Headers],[Daniel_D]],Spielauswertung!$B553:$E553,0),0)=0,L564,INDEX(Spielauswertung!$AB553:$AE553,MATCH(Tabelle11[[#Headers],[Daniel_D]],Spielauswertung!$B553:$E553,0))+L564)</f>
        <v>99.990299180470089</v>
      </c>
      <c r="M565" s="1">
        <f>IF(IFERROR(MATCH(Tabelle11[[#Headers],[David_R]],Spielauswertung!$B553:$E553,0),0)=0,M564,INDEX(Spielauswertung!$AB553:$AE553,MATCH(Tabelle11[[#Headers],[David_R]],Spielauswertung!$B553:$E553,0))+M564)</f>
        <v>96.715943522481638</v>
      </c>
      <c r="N565" s="1">
        <f>IF(IFERROR(MATCH(Tabelle11[[#Headers],[Dennis_P]],Spielauswertung!$B553:$E553,0),0)=0,N564,INDEX(Spielauswertung!$AB553:$AE553,MATCH(Tabelle11[[#Headers],[Dennis_P]],Spielauswertung!$B553:$E553,0))+N564)</f>
        <v>100.04773223105254</v>
      </c>
      <c r="O565" s="1">
        <f>IF(IFERROR(MATCH(Tabelle11[[#Headers],[Dennis_R]],Spielauswertung!$B553:$E553,0),0)=0,O564,INDEX(Spielauswertung!$AB553:$AE553,MATCH(Tabelle11[[#Headers],[Dennis_R]],Spielauswertung!$B553:$E553,0))+O564)</f>
        <v>75.131680864937195</v>
      </c>
      <c r="P565" s="1">
        <f>IF(IFERROR(MATCH(Tabelle11[[#Headers],[Detlef_R]],Spielauswertung!$B553:$E553,0),0)=0,P564,INDEX(Spielauswertung!$AB553:$AE553,MATCH(Tabelle11[[#Headers],[Detlef_R]],Spielauswertung!$B553:$E553,0))+P564)</f>
        <v>87.984671797367014</v>
      </c>
      <c r="Q565" s="1">
        <f>IF(IFERROR(MATCH(Tabelle11[[#Headers],[Dmitrij_M]],Spielauswertung!$B553:$E553,0),0)=0,Q564,INDEX(Spielauswertung!$AB553:$AE553,MATCH(Tabelle11[[#Headers],[Dmitrij_M]],Spielauswertung!$B553:$E553,0))+Q564)</f>
        <v>100.69975721846207</v>
      </c>
      <c r="R565" s="1">
        <f>IF(IFERROR(MATCH(Tabelle11[[#Headers],[Fabian_M]],Spielauswertung!$B553:$E553,0),0)=0,R564,INDEX(Spielauswertung!$AB553:$AE553,MATCH(Tabelle11[[#Headers],[Fabian_M]],Spielauswertung!$B553:$E553,0))+R564)</f>
        <v>95.805387841610738</v>
      </c>
      <c r="S565" s="1">
        <f>IF(IFERROR(MATCH(Tabelle11[[#Headers],[Hannes_S]],Spielauswertung!$B553:$E553,0),0)=0,S564,INDEX(Spielauswertung!$AB553:$AE553,MATCH(Tabelle11[[#Headers],[Hannes_S]],Spielauswertung!$B553:$E553,0))+S564)</f>
        <v>104.83899184012799</v>
      </c>
      <c r="T565" s="1">
        <f>IF(IFERROR(MATCH(Tabelle11[[#Headers],[Jan_B]],Spielauswertung!$B553:$E553,0),0)=0,T564,INDEX(Spielauswertung!$AB553:$AE553,MATCH(Tabelle11[[#Headers],[Jan_B]],Spielauswertung!$B553:$E553,0))+T564)</f>
        <v>100.2794420429173</v>
      </c>
      <c r="U565" s="1">
        <f>IF(IFERROR(MATCH(Tabelle11[[#Headers],[Jan_Hendrik_B]],Spielauswertung!$B553:$E553,0),0)=0,U564,INDEX(Spielauswertung!$AB553:$AE553,MATCH(Tabelle11[[#Headers],[Jan_Hendrik_B]],Spielauswertung!$B553:$E553,0))+U564)</f>
        <v>100.75492416935522</v>
      </c>
      <c r="V565" s="1">
        <f>IF(IFERROR(MATCH(Tabelle11[[#Headers],[Jens_N]],Spielauswertung!$B553:$E553,0),0)=0,V564,INDEX(Spielauswertung!$AB553:$AE553,MATCH(Tabelle11[[#Headers],[Jens_N]],Spielauswertung!$B553:$E553,0))+V564)</f>
        <v>99.643534710196832</v>
      </c>
      <c r="W565" s="1">
        <f>IF(IFERROR(MATCH(Tabelle11[[#Headers],[Johannes_S]],Spielauswertung!$B553:$E553,0),0)=0,W564,INDEX(Spielauswertung!$AB553:$AE553,MATCH(Tabelle11[[#Headers],[Johannes_S]],Spielauswertung!$B553:$E553,0))+W564)</f>
        <v>102.20284750979505</v>
      </c>
      <c r="X565" s="1">
        <f>IF(IFERROR(MATCH(Tabelle11[[#Headers],[Jonathan_F]],Spielauswertung!$B553:$E553,0),0)=0,X564,INDEX(Spielauswertung!$AB553:$AE553,MATCH(Tabelle11[[#Headers],[Jonathan_F]],Spielauswertung!$B553:$E553,0))+X564)</f>
        <v>98.938308797866256</v>
      </c>
      <c r="Y565" s="1">
        <f>IF(IFERROR(MATCH(Tabelle11[[#Headers],[Julius_P]],Spielauswertung!$B553:$E553,0),0)=0,Y564,INDEX(Spielauswertung!$AB553:$AE553,MATCH(Tabelle11[[#Headers],[Julius_P]],Spielauswertung!$B553:$E553,0))+Y564)</f>
        <v>96.540305101873642</v>
      </c>
      <c r="Z565" s="1">
        <f>IF(IFERROR(MATCH(Tabelle11[[#Headers],[Louis_W]],Spielauswertung!$B553:$E553,0),0)=0,Z564,INDEX(Spielauswertung!$AB553:$AE553,MATCH(Tabelle11[[#Headers],[Louis_W]],Spielauswertung!$B553:$E553,0))+Z564)</f>
        <v>87.497452285475362</v>
      </c>
      <c r="AA565" s="1">
        <f>IF(IFERROR(MATCH(Tabelle11[[#Headers],[Lukas_L]],Spielauswertung!$B553:$E553,0),0)=0,AA564,INDEX(Spielauswertung!$AB553:$AE553,MATCH(Tabelle11[[#Headers],[Lukas_L]],Spielauswertung!$B553:$E553,0))+AA564)</f>
        <v>98.447931341404143</v>
      </c>
      <c r="AB565" s="1">
        <f>IF(IFERROR(MATCH(Tabelle11[[#Headers],[Marcin_S]],Spielauswertung!$B553:$E553,0),0)=0,AB564,INDEX(Spielauswertung!$AB553:$AE553,MATCH(Tabelle11[[#Headers],[Marcin_S]],Spielauswertung!$B553:$E553,0))+AB564)</f>
        <v>85.463329105556824</v>
      </c>
      <c r="AC565" s="1">
        <f>IF(IFERROR(MATCH(Tabelle11[[#Headers],[Marco_K]],Spielauswertung!$B553:$E553,0),0)=0,AC564,INDEX(Spielauswertung!$AB553:$AE553,MATCH(Tabelle11[[#Headers],[Marco_K]],Spielauswertung!$B553:$E553,0))+AC564)</f>
        <v>102.12169819441469</v>
      </c>
      <c r="AD565" s="1">
        <f>IF(IFERROR(MATCH(Tabelle11[[#Headers],[Marius_M]],Spielauswertung!$B553:$E553,0),0)=0,AD564,INDEX(Spielauswertung!$AB553:$AE553,MATCH(Tabelle11[[#Headers],[Marius_M]],Spielauswertung!$B553:$E553,0))+AD564)</f>
        <v>124.54012374585781</v>
      </c>
      <c r="AE565" s="1">
        <f>IF(IFERROR(MATCH(Tabelle11[[#Headers],[Marvin_W]],Spielauswertung!$B553:$E553,0),0)=0,AE564,INDEX(Spielauswertung!$AB553:$AE553,MATCH(Tabelle11[[#Headers],[Marvin_W]],Spielauswertung!$B553:$E553,0))+AE564)</f>
        <v>96.700266280577438</v>
      </c>
      <c r="AF565" s="1">
        <f>IF(IFERROR(MATCH(Tabelle11[[#Headers],[Matthias_H]],Spielauswertung!$B553:$E553,0),0)=0,AF564,INDEX(Spielauswertung!$AB553:$AE553,MATCH(Tabelle11[[#Headers],[Matthias_H]],Spielauswertung!$B553:$E553,0))+AF564)</f>
        <v>105.42130178599372</v>
      </c>
      <c r="AG565" s="1">
        <f>IF(IFERROR(MATCH(Tabelle11[[#Headers],[Michael_D]],Spielauswertung!$B553:$E553,0),0)=0,AG564,INDEX(Spielauswertung!$AB553:$AE553,MATCH(Tabelle11[[#Headers],[Michael_D]],Spielauswertung!$B553:$E553,0))+AG564)</f>
        <v>96.436276170375336</v>
      </c>
      <c r="AH565" s="1">
        <f>IF(IFERROR(MATCH(Tabelle11[[#Headers],[Patrick_S]],Spielauswertung!$B553:$E553,0),0)=0,AH564,INDEX(Spielauswertung!$AB553:$AE553,MATCH(Tabelle11[[#Headers],[Patrick_S]],Spielauswertung!$B553:$E553,0))+AH564)</f>
        <v>98.975330692053802</v>
      </c>
      <c r="AI565" s="1">
        <f>IF(IFERROR(MATCH(Tabelle11[[#Headers],[Rano_M]],Spielauswertung!$B553:$E553,0),0)=0,AI564,INDEX(Spielauswertung!$AB553:$AE553,MATCH(Tabelle11[[#Headers],[Rano_M]],Spielauswertung!$B553:$E553,0))+AI564)</f>
        <v>109.38890657420265</v>
      </c>
      <c r="AJ565" s="1">
        <f>IF(IFERROR(MATCH(Tabelle11[[#Headers],[Rene_N]],Spielauswertung!$B553:$E553,0),0)=0,AJ564,INDEX(Spielauswertung!$AB553:$AE553,MATCH(Tabelle11[[#Headers],[Rene_N]],Spielauswertung!$B553:$E553,0))+AJ564)</f>
        <v>101.06482124619033</v>
      </c>
      <c r="AK565" s="1">
        <f>IF(IFERROR(MATCH(Tabelle11[[#Headers],[Rene_P]],Spielauswertung!$B553:$E553,0),0)=0,AK564,INDEX(Spielauswertung!$AB553:$AE553,MATCH(Tabelle11[[#Headers],[Rene_P]],Spielauswertung!$B553:$E553,0))+AK564)</f>
        <v>88.762543186332877</v>
      </c>
      <c r="AL565" s="1">
        <f>IF(IFERROR(MATCH(Tabelle11[[#Headers],[Richard_D]],Spielauswertung!$B553:$E553,0),0)=0,AL564,INDEX(Spielauswertung!$AB553:$AE553,MATCH(Tabelle11[[#Headers],[Richard_D]],Spielauswertung!$B553:$E553,0))+AL564)</f>
        <v>107.23233592026223</v>
      </c>
      <c r="AM565" s="1">
        <f>IF(IFERROR(MATCH(Tabelle11[[#Headers],[Rodrigo_R]],Spielauswertung!$B553:$E553,0),0)=0,AM564,INDEX(Spielauswertung!$AB553:$AE553,MATCH(Tabelle11[[#Headers],[Rodrigo_R]],Spielauswertung!$B553:$E553,0))+AM564)</f>
        <v>116.7028707921346</v>
      </c>
      <c r="AN565" s="1">
        <f>IF(IFERROR(MATCH(Tabelle11[[#Headers],[Sebastian_A]],Spielauswertung!$B553:$E553,0),0)=0,AN564,INDEX(Spielauswertung!$AB553:$AE553,MATCH(Tabelle11[[#Headers],[Sebastian_A]],Spielauswertung!$B553:$E553,0))+AN564)</f>
        <v>102.89457418671324</v>
      </c>
      <c r="AO565" s="1">
        <f>IF(IFERROR(MATCH(Tabelle11[[#Headers],[Sebastian_St]],Spielauswertung!$B553:$E553,0),0)=0,AO564,INDEX(Spielauswertung!$AB553:$AE553,MATCH(Tabelle11[[#Headers],[Sebastian_St]],Spielauswertung!$B553:$E553,0))+AO564)</f>
        <v>97.749574367408982</v>
      </c>
      <c r="AP565" s="1">
        <f>IF(IFERROR(MATCH(Tabelle11[[#Headers],[Simon_U]],Spielauswertung!$B553:$E553,0),0)=0,AP564,INDEX(Spielauswertung!$AB553:$AE553,MATCH(Tabelle11[[#Headers],[Simon_U]],Spielauswertung!$B553:$E553,0))+AP564)</f>
        <v>99.623054841470903</v>
      </c>
      <c r="AQ565" s="1">
        <f>IF(IFERROR(MATCH(Tabelle11[[#Headers],[Steffen_R]],Spielauswertung!$B553:$E553,0),0)=0,AQ564,INDEX(Spielauswertung!$AB553:$AE553,MATCH(Tabelle11[[#Headers],[Steffen_R]],Spielauswertung!$B553:$E553,0))+AQ564)</f>
        <v>93.247497067190949</v>
      </c>
      <c r="AR565" s="1">
        <f>IF(IFERROR(MATCH(Tabelle11[[#Headers],[Tim_R]],Spielauswertung!$B553:$E553,0),0)=0,AR564,INDEX(Spielauswertung!$AB553:$AE553,MATCH(Tabelle11[[#Headers],[Tim_R]],Spielauswertung!$B553:$E553,0))+AR564)</f>
        <v>103.07503787023374</v>
      </c>
      <c r="AS565" s="1">
        <f>IF(IFERROR(MATCH(Tabelle11[[#Headers],[Tobias_S]],Spielauswertung!$B553:$E553,0),0)=0,AS564,INDEX(Spielauswertung!$AB553:$AE553,MATCH(Tabelle11[[#Headers],[Tobias_S]],Spielauswertung!$B553:$E553,0))+AS564)</f>
        <v>98.6003422659997</v>
      </c>
      <c r="AT565" s="1">
        <f>IF(IFERROR(MATCH(Tabelle11[[#Headers],[Tom_R]],Spielauswertung!$B553:$E553,0),0)=0,AT564,INDEX(Spielauswertung!$AB553:$AE553,MATCH(Tabelle11[[#Headers],[Tom_R]],Spielauswertung!$B553:$E553,0))+AT564)</f>
        <v>112.62344492949197</v>
      </c>
      <c r="AU565" s="1">
        <f>IF(IFERROR(MATCH(Tabelle11[[#Headers],[Ton_L]],Spielauswertung!$B553:$E553,0),0)=0,AU564,INDEX(Spielauswertung!$AB553:$AE553,MATCH(Tabelle11[[#Headers],[Ton_L]],Spielauswertung!$B553:$E553,0))+AU564)</f>
        <v>92.683083360025861</v>
      </c>
      <c r="AV565" s="1">
        <f>IF(IFERROR(MATCH(Tabelle11[[#Headers],[Yixin_G]],Spielauswertung!$B553:$E553,0),0)=0,AV564,INDEX(Spielauswertung!$AB553:$AE553,MATCH(Tabelle11[[#Headers],[Yixin_G]],Spielauswertung!$B553:$E553,0))+AV564)</f>
        <v>99.900323214082661</v>
      </c>
      <c r="AW565" s="1">
        <f>IF(IFERROR(MATCH(Tabelle11[[#Headers],[Spalte36]],Spielauswertung!$B553:$E553,0),0)=0,AW564,INDEX(Spielauswertung!$AB553:$AE553,MATCH(Tabelle11[[#Headers],[Spalte36]],Spielauswertung!$B553:$E553,0))+AW564)</f>
        <v>100</v>
      </c>
      <c r="AX565" s="1">
        <f>IF(IFERROR(MATCH(Tabelle11[[#Headers],[Spalte37]],Spielauswertung!$B553:$E553,0),0)=0,AX564,INDEX(Spielauswertung!$AB553:$AE553,MATCH(Tabelle11[[#Headers],[Spalte37]],Spielauswertung!$B553:$E553,0))+AX564)</f>
        <v>100</v>
      </c>
      <c r="AY565" s="1">
        <f>IF(IFERROR(MATCH(Tabelle11[[#Headers],[Spalte38]],Spielauswertung!$B553:$E553,0),0)=0,AY564,INDEX(Spielauswertung!$AB553:$AE553,MATCH(Tabelle11[[#Headers],[Spalte38]],Spielauswertung!$B553:$E553,0))+AY564)</f>
        <v>100</v>
      </c>
      <c r="AZ565" s="1">
        <f>IF(IFERROR(MATCH(Tabelle11[[#Headers],[Spalte39]],Spielauswertung!$B553:$E553,0),0)=0,AZ564,INDEX(Spielauswertung!$AB553:$AE553,MATCH(Tabelle11[[#Headers],[Spalte39]],Spielauswertung!$B553:$E553,0))+AZ564)</f>
        <v>100</v>
      </c>
      <c r="BA565" s="1">
        <f>IF(IFERROR(MATCH(Tabelle11[[#Headers],[Spalte40]],Spielauswertung!$B553:$E553,0),0)=0,BA564,INDEX(Spielauswertung!$AB553:$AE553,MATCH(Tabelle11[[#Headers],[Spalte40]],Spielauswertung!$B553:$E553,0))+BA564)</f>
        <v>100</v>
      </c>
      <c r="BB565" s="1">
        <f>IF(IFERROR(MATCH(Tabelle11[[#Headers],[Spalte41]],Spielauswertung!$B553:$E553,0),0)=0,BB564,INDEX(Spielauswertung!$AB553:$AE553,MATCH(Tabelle11[[#Headers],[Spalte41]],Spielauswertung!$B553:$E553,0))+BB564)</f>
        <v>100</v>
      </c>
      <c r="BC565" s="1">
        <f>IF(IFERROR(MATCH(Tabelle11[[#Headers],[Spalte42]],Spielauswertung!$B553:$E553,0),0)=0,BC564,INDEX(Spielauswertung!$AB553:$AE553,MATCH(Tabelle11[[#Headers],[Spalte42]],Spielauswertung!$B553:$E553,0))+BC564)</f>
        <v>100</v>
      </c>
      <c r="BD565" s="1">
        <f>IF(IFERROR(MATCH(Tabelle11[[#Headers],[Spalte43]],Spielauswertung!$B553:$E553,0),0)=0,BD564,INDEX(Spielauswertung!$AB553:$AE553,MATCH(Tabelle11[[#Headers],[Spalte43]],Spielauswertung!$B553:$E553,0))+BD564)</f>
        <v>100</v>
      </c>
      <c r="BE565" s="1">
        <f>IF(IFERROR(MATCH(Tabelle11[[#Headers],[Spalte44]],Spielauswertung!$B553:$E553,0),0)=0,BE564,INDEX(Spielauswertung!$AB553:$AE553,MATCH(Tabelle11[[#Headers],[Spalte44]],Spielauswertung!$B553:$E553,0))+BE564)</f>
        <v>100</v>
      </c>
      <c r="BF565" s="1">
        <f>IF(IFERROR(MATCH(Tabelle11[[#Headers],[Spalte45]],Spielauswertung!$B553:$E553,0),0)=0,BF564,INDEX(Spielauswertung!$AB553:$AE553,MATCH(Tabelle11[[#Headers],[Spalte45]],Spielauswertung!$B553:$E553,0))+BF564)</f>
        <v>100</v>
      </c>
      <c r="BG565" s="1">
        <f>IF(IFERROR(MATCH(Tabelle11[[#Headers],[Spalte46]],Spielauswertung!$B553:$E553,0),0)=0,BG564,INDEX(Spielauswertung!$AB553:$AE553,MATCH(Tabelle11[[#Headers],[Spalte46]],Spielauswertung!$B553:$E553,0))+BG564)</f>
        <v>100</v>
      </c>
      <c r="BH565" s="1">
        <f>IF(IFERROR(MATCH(Tabelle11[[#Headers],[Spalte47]],Spielauswertung!$B553:$E553,0),0)=0,BH564,INDEX(Spielauswertung!$AB553:$AE553,MATCH(Tabelle11[[#Headers],[Spalte47]],Spielauswertung!$B553:$E553,0))+BH564)</f>
        <v>100</v>
      </c>
    </row>
    <row r="566" spans="1:60" x14ac:dyDescent="0.25">
      <c r="A566">
        <f t="shared" si="9"/>
        <v>553</v>
      </c>
      <c r="B566" s="1">
        <f>IF(IFERROR(MATCH(Tabelle11[[#Headers],[Aleix_V]],Spielauswertung!$B554:$E554,0),0)=0,B565,INDEX(Spielauswertung!$AB554:$AE554,MATCH(Tabelle11[[#Headers],[Aleix_V]],Spielauswertung!$B554:$E554,0))+B565)</f>
        <v>102.47318019444646</v>
      </c>
      <c r="C566" s="1">
        <f>IF(IFERROR(MATCH(Tabelle11[[#Headers],[Andres_H]],Spielauswertung!$B554:$E554,0),0)=0,C565,INDEX(Spielauswertung!$AB554:$AE554,MATCH(Tabelle11[[#Headers],[Andres_H]],Spielauswertung!$B554:$E554,0))+C565)</f>
        <v>95.535732339111306</v>
      </c>
      <c r="D566" s="1">
        <f>IF(IFERROR(MATCH(Tabelle11[[#Headers],[Anton_K]],Spielauswertung!$B554:$E554,0),0)=0,D565,INDEX(Spielauswertung!$AB554:$AE554,MATCH(Tabelle11[[#Headers],[Anton_K]],Spielauswertung!$B554:$E554,0))+D565)</f>
        <v>99.287728777054667</v>
      </c>
      <c r="E566" s="1">
        <f>IF(IFERROR(MATCH(Tabelle11[[#Headers],[Bastian_G]],Spielauswertung!$B554:$E554,0),0)=0,E565,INDEX(Spielauswertung!$AB554:$AE554,MATCH(Tabelle11[[#Headers],[Bastian_G]],Spielauswertung!$B554:$E554,0))+E565)</f>
        <v>117.49978695184252</v>
      </c>
      <c r="F566" s="1">
        <f>IF(IFERROR(MATCH(Tabelle11[[#Headers],[Ben_S]],Spielauswertung!$B554:$E554,0),0)=0,F565,INDEX(Spielauswertung!$AB554:$AE554,MATCH(Tabelle11[[#Headers],[Ben_S]],Spielauswertung!$B554:$E554,0))+F565)</f>
        <v>95.932799101521084</v>
      </c>
      <c r="G566" s="1">
        <f>IF(IFERROR(MATCH(Tabelle11[[#Headers],[Benedikt_K]],Spielauswertung!$B554:$E554,0),0)=0,G565,INDEX(Spielauswertung!$AB554:$AE554,MATCH(Tabelle11[[#Headers],[Benedikt_K]],Spielauswertung!$B554:$E554,0))+G565)</f>
        <v>101.20264176422626</v>
      </c>
      <c r="H566" s="1">
        <f>IF(IFERROR(MATCH(Tabelle11[[#Headers],[Benedikt_R]],Spielauswertung!$B554:$E554,0),0)=0,H565,INDEX(Spielauswertung!$AB554:$AE554,MATCH(Tabelle11[[#Headers],[Benedikt_R]],Spielauswertung!$B554:$E554,0))+H565)</f>
        <v>102.6264770510757</v>
      </c>
      <c r="I566" s="1">
        <f>IF(IFERROR(MATCH(Tabelle11[[#Headers],[Carsten_H]],Spielauswertung!$B554:$E554,0),0)=0,I565,INDEX(Spielauswertung!$AB554:$AE554,MATCH(Tabelle11[[#Headers],[Carsten_H]],Spielauswertung!$B554:$E554,0))+I565)</f>
        <v>90.817185094326874</v>
      </c>
      <c r="J566" s="1">
        <f>IF(IFERROR(MATCH(Tabelle11[[#Headers],[Christoph_R]],Spielauswertung!$B554:$E554,0),0)=0,J565,INDEX(Spielauswertung!$AB554:$AE554,MATCH(Tabelle11[[#Headers],[Christoph_R]],Spielauswertung!$B554:$E554,0))+J565)</f>
        <v>109.73261611443155</v>
      </c>
      <c r="K566" s="1">
        <f>IF(IFERROR(MATCH(Tabelle11[[#Headers],[Claudius_J]],Spielauswertung!$B554:$E554,0),0)=0,K565,INDEX(Spielauswertung!$AB554:$AE554,MATCH(Tabelle11[[#Headers],[Claudius_J]],Spielauswertung!$B554:$E554,0))+K565)</f>
        <v>106.16590636000029</v>
      </c>
      <c r="L566" s="1">
        <f>IF(IFERROR(MATCH(Tabelle11[[#Headers],[Daniel_D]],Spielauswertung!$B554:$E554,0),0)=0,L565,INDEX(Spielauswertung!$AB554:$AE554,MATCH(Tabelle11[[#Headers],[Daniel_D]],Spielauswertung!$B554:$E554,0))+L565)</f>
        <v>99.990299180470089</v>
      </c>
      <c r="M566" s="1">
        <f>IF(IFERROR(MATCH(Tabelle11[[#Headers],[David_R]],Spielauswertung!$B554:$E554,0),0)=0,M565,INDEX(Spielauswertung!$AB554:$AE554,MATCH(Tabelle11[[#Headers],[David_R]],Spielauswertung!$B554:$E554,0))+M565)</f>
        <v>96.715943522481638</v>
      </c>
      <c r="N566" s="1">
        <f>IF(IFERROR(MATCH(Tabelle11[[#Headers],[Dennis_P]],Spielauswertung!$B554:$E554,0),0)=0,N565,INDEX(Spielauswertung!$AB554:$AE554,MATCH(Tabelle11[[#Headers],[Dennis_P]],Spielauswertung!$B554:$E554,0))+N565)</f>
        <v>100.04773223105254</v>
      </c>
      <c r="O566" s="1">
        <f>IF(IFERROR(MATCH(Tabelle11[[#Headers],[Dennis_R]],Spielauswertung!$B554:$E554,0),0)=0,O565,INDEX(Spielauswertung!$AB554:$AE554,MATCH(Tabelle11[[#Headers],[Dennis_R]],Spielauswertung!$B554:$E554,0))+O565)</f>
        <v>75.131680864937195</v>
      </c>
      <c r="P566" s="1">
        <f>IF(IFERROR(MATCH(Tabelle11[[#Headers],[Detlef_R]],Spielauswertung!$B554:$E554,0),0)=0,P565,INDEX(Spielauswertung!$AB554:$AE554,MATCH(Tabelle11[[#Headers],[Detlef_R]],Spielauswertung!$B554:$E554,0))+P565)</f>
        <v>87.984671797367014</v>
      </c>
      <c r="Q566" s="1">
        <f>IF(IFERROR(MATCH(Tabelle11[[#Headers],[Dmitrij_M]],Spielauswertung!$B554:$E554,0),0)=0,Q565,INDEX(Spielauswertung!$AB554:$AE554,MATCH(Tabelle11[[#Headers],[Dmitrij_M]],Spielauswertung!$B554:$E554,0))+Q565)</f>
        <v>100.69975721846207</v>
      </c>
      <c r="R566" s="1">
        <f>IF(IFERROR(MATCH(Tabelle11[[#Headers],[Fabian_M]],Spielauswertung!$B554:$E554,0),0)=0,R565,INDEX(Spielauswertung!$AB554:$AE554,MATCH(Tabelle11[[#Headers],[Fabian_M]],Spielauswertung!$B554:$E554,0))+R565)</f>
        <v>95.805387841610738</v>
      </c>
      <c r="S566" s="1">
        <f>IF(IFERROR(MATCH(Tabelle11[[#Headers],[Hannes_S]],Spielauswertung!$B554:$E554,0),0)=0,S565,INDEX(Spielauswertung!$AB554:$AE554,MATCH(Tabelle11[[#Headers],[Hannes_S]],Spielauswertung!$B554:$E554,0))+S565)</f>
        <v>104.83899184012799</v>
      </c>
      <c r="T566" s="1">
        <f>IF(IFERROR(MATCH(Tabelle11[[#Headers],[Jan_B]],Spielauswertung!$B554:$E554,0),0)=0,T565,INDEX(Spielauswertung!$AB554:$AE554,MATCH(Tabelle11[[#Headers],[Jan_B]],Spielauswertung!$B554:$E554,0))+T565)</f>
        <v>100.2794420429173</v>
      </c>
      <c r="U566" s="1">
        <f>IF(IFERROR(MATCH(Tabelle11[[#Headers],[Jan_Hendrik_B]],Spielauswertung!$B554:$E554,0),0)=0,U565,INDEX(Spielauswertung!$AB554:$AE554,MATCH(Tabelle11[[#Headers],[Jan_Hendrik_B]],Spielauswertung!$B554:$E554,0))+U565)</f>
        <v>100.75492416935522</v>
      </c>
      <c r="V566" s="1">
        <f>IF(IFERROR(MATCH(Tabelle11[[#Headers],[Jens_N]],Spielauswertung!$B554:$E554,0),0)=0,V565,INDEX(Spielauswertung!$AB554:$AE554,MATCH(Tabelle11[[#Headers],[Jens_N]],Spielauswertung!$B554:$E554,0))+V565)</f>
        <v>99.643534710196832</v>
      </c>
      <c r="W566" s="1">
        <f>IF(IFERROR(MATCH(Tabelle11[[#Headers],[Johannes_S]],Spielauswertung!$B554:$E554,0),0)=0,W565,INDEX(Spielauswertung!$AB554:$AE554,MATCH(Tabelle11[[#Headers],[Johannes_S]],Spielauswertung!$B554:$E554,0))+W565)</f>
        <v>102.20284750979505</v>
      </c>
      <c r="X566" s="1">
        <f>IF(IFERROR(MATCH(Tabelle11[[#Headers],[Jonathan_F]],Spielauswertung!$B554:$E554,0),0)=0,X565,INDEX(Spielauswertung!$AB554:$AE554,MATCH(Tabelle11[[#Headers],[Jonathan_F]],Spielauswertung!$B554:$E554,0))+X565)</f>
        <v>98.938308797866256</v>
      </c>
      <c r="Y566" s="1">
        <f>IF(IFERROR(MATCH(Tabelle11[[#Headers],[Julius_P]],Spielauswertung!$B554:$E554,0),0)=0,Y565,INDEX(Spielauswertung!$AB554:$AE554,MATCH(Tabelle11[[#Headers],[Julius_P]],Spielauswertung!$B554:$E554,0))+Y565)</f>
        <v>96.540305101873642</v>
      </c>
      <c r="Z566" s="1">
        <f>IF(IFERROR(MATCH(Tabelle11[[#Headers],[Louis_W]],Spielauswertung!$B554:$E554,0),0)=0,Z565,INDEX(Spielauswertung!$AB554:$AE554,MATCH(Tabelle11[[#Headers],[Louis_W]],Spielauswertung!$B554:$E554,0))+Z565)</f>
        <v>87.497452285475362</v>
      </c>
      <c r="AA566" s="1">
        <f>IF(IFERROR(MATCH(Tabelle11[[#Headers],[Lukas_L]],Spielauswertung!$B554:$E554,0),0)=0,AA565,INDEX(Spielauswertung!$AB554:$AE554,MATCH(Tabelle11[[#Headers],[Lukas_L]],Spielauswertung!$B554:$E554,0))+AA565)</f>
        <v>98.447931341404143</v>
      </c>
      <c r="AB566" s="1">
        <f>IF(IFERROR(MATCH(Tabelle11[[#Headers],[Marcin_S]],Spielauswertung!$B554:$E554,0),0)=0,AB565,INDEX(Spielauswertung!$AB554:$AE554,MATCH(Tabelle11[[#Headers],[Marcin_S]],Spielauswertung!$B554:$E554,0))+AB565)</f>
        <v>85.463329105556824</v>
      </c>
      <c r="AC566" s="1">
        <f>IF(IFERROR(MATCH(Tabelle11[[#Headers],[Marco_K]],Spielauswertung!$B554:$E554,0),0)=0,AC565,INDEX(Spielauswertung!$AB554:$AE554,MATCH(Tabelle11[[#Headers],[Marco_K]],Spielauswertung!$B554:$E554,0))+AC565)</f>
        <v>102.12169819441469</v>
      </c>
      <c r="AD566" s="1">
        <f>IF(IFERROR(MATCH(Tabelle11[[#Headers],[Marius_M]],Spielauswertung!$B554:$E554,0),0)=0,AD565,INDEX(Spielauswertung!$AB554:$AE554,MATCH(Tabelle11[[#Headers],[Marius_M]],Spielauswertung!$B554:$E554,0))+AD565)</f>
        <v>124.54012374585781</v>
      </c>
      <c r="AE566" s="1">
        <f>IF(IFERROR(MATCH(Tabelle11[[#Headers],[Marvin_W]],Spielauswertung!$B554:$E554,0),0)=0,AE565,INDEX(Spielauswertung!$AB554:$AE554,MATCH(Tabelle11[[#Headers],[Marvin_W]],Spielauswertung!$B554:$E554,0))+AE565)</f>
        <v>96.700266280577438</v>
      </c>
      <c r="AF566" s="1">
        <f>IF(IFERROR(MATCH(Tabelle11[[#Headers],[Matthias_H]],Spielauswertung!$B554:$E554,0),0)=0,AF565,INDEX(Spielauswertung!$AB554:$AE554,MATCH(Tabelle11[[#Headers],[Matthias_H]],Spielauswertung!$B554:$E554,0))+AF565)</f>
        <v>105.42130178599372</v>
      </c>
      <c r="AG566" s="1">
        <f>IF(IFERROR(MATCH(Tabelle11[[#Headers],[Michael_D]],Spielauswertung!$B554:$E554,0),0)=0,AG565,INDEX(Spielauswertung!$AB554:$AE554,MATCH(Tabelle11[[#Headers],[Michael_D]],Spielauswertung!$B554:$E554,0))+AG565)</f>
        <v>96.436276170375336</v>
      </c>
      <c r="AH566" s="1">
        <f>IF(IFERROR(MATCH(Tabelle11[[#Headers],[Patrick_S]],Spielauswertung!$B554:$E554,0),0)=0,AH565,INDEX(Spielauswertung!$AB554:$AE554,MATCH(Tabelle11[[#Headers],[Patrick_S]],Spielauswertung!$B554:$E554,0))+AH565)</f>
        <v>98.975330692053802</v>
      </c>
      <c r="AI566" s="1">
        <f>IF(IFERROR(MATCH(Tabelle11[[#Headers],[Rano_M]],Spielauswertung!$B554:$E554,0),0)=0,AI565,INDEX(Spielauswertung!$AB554:$AE554,MATCH(Tabelle11[[#Headers],[Rano_M]],Spielauswertung!$B554:$E554,0))+AI565)</f>
        <v>109.38890657420265</v>
      </c>
      <c r="AJ566" s="1">
        <f>IF(IFERROR(MATCH(Tabelle11[[#Headers],[Rene_N]],Spielauswertung!$B554:$E554,0),0)=0,AJ565,INDEX(Spielauswertung!$AB554:$AE554,MATCH(Tabelle11[[#Headers],[Rene_N]],Spielauswertung!$B554:$E554,0))+AJ565)</f>
        <v>101.06482124619033</v>
      </c>
      <c r="AK566" s="1">
        <f>IF(IFERROR(MATCH(Tabelle11[[#Headers],[Rene_P]],Spielauswertung!$B554:$E554,0),0)=0,AK565,INDEX(Spielauswertung!$AB554:$AE554,MATCH(Tabelle11[[#Headers],[Rene_P]],Spielauswertung!$B554:$E554,0))+AK565)</f>
        <v>88.762543186332877</v>
      </c>
      <c r="AL566" s="1">
        <f>IF(IFERROR(MATCH(Tabelle11[[#Headers],[Richard_D]],Spielauswertung!$B554:$E554,0),0)=0,AL565,INDEX(Spielauswertung!$AB554:$AE554,MATCH(Tabelle11[[#Headers],[Richard_D]],Spielauswertung!$B554:$E554,0))+AL565)</f>
        <v>107.23233592026223</v>
      </c>
      <c r="AM566" s="1">
        <f>IF(IFERROR(MATCH(Tabelle11[[#Headers],[Rodrigo_R]],Spielauswertung!$B554:$E554,0),0)=0,AM565,INDEX(Spielauswertung!$AB554:$AE554,MATCH(Tabelle11[[#Headers],[Rodrigo_R]],Spielauswertung!$B554:$E554,0))+AM565)</f>
        <v>116.7028707921346</v>
      </c>
      <c r="AN566" s="1">
        <f>IF(IFERROR(MATCH(Tabelle11[[#Headers],[Sebastian_A]],Spielauswertung!$B554:$E554,0),0)=0,AN565,INDEX(Spielauswertung!$AB554:$AE554,MATCH(Tabelle11[[#Headers],[Sebastian_A]],Spielauswertung!$B554:$E554,0))+AN565)</f>
        <v>102.89457418671324</v>
      </c>
      <c r="AO566" s="1">
        <f>IF(IFERROR(MATCH(Tabelle11[[#Headers],[Sebastian_St]],Spielauswertung!$B554:$E554,0),0)=0,AO565,INDEX(Spielauswertung!$AB554:$AE554,MATCH(Tabelle11[[#Headers],[Sebastian_St]],Spielauswertung!$B554:$E554,0))+AO565)</f>
        <v>97.749574367408982</v>
      </c>
      <c r="AP566" s="1">
        <f>IF(IFERROR(MATCH(Tabelle11[[#Headers],[Simon_U]],Spielauswertung!$B554:$E554,0),0)=0,AP565,INDEX(Spielauswertung!$AB554:$AE554,MATCH(Tabelle11[[#Headers],[Simon_U]],Spielauswertung!$B554:$E554,0))+AP565)</f>
        <v>99.623054841470903</v>
      </c>
      <c r="AQ566" s="1">
        <f>IF(IFERROR(MATCH(Tabelle11[[#Headers],[Steffen_R]],Spielauswertung!$B554:$E554,0),0)=0,AQ565,INDEX(Spielauswertung!$AB554:$AE554,MATCH(Tabelle11[[#Headers],[Steffen_R]],Spielauswertung!$B554:$E554,0))+AQ565)</f>
        <v>93.247497067190949</v>
      </c>
      <c r="AR566" s="1">
        <f>IF(IFERROR(MATCH(Tabelle11[[#Headers],[Tim_R]],Spielauswertung!$B554:$E554,0),0)=0,AR565,INDEX(Spielauswertung!$AB554:$AE554,MATCH(Tabelle11[[#Headers],[Tim_R]],Spielauswertung!$B554:$E554,0))+AR565)</f>
        <v>103.07503787023374</v>
      </c>
      <c r="AS566" s="1">
        <f>IF(IFERROR(MATCH(Tabelle11[[#Headers],[Tobias_S]],Spielauswertung!$B554:$E554,0),0)=0,AS565,INDEX(Spielauswertung!$AB554:$AE554,MATCH(Tabelle11[[#Headers],[Tobias_S]],Spielauswertung!$B554:$E554,0))+AS565)</f>
        <v>98.6003422659997</v>
      </c>
      <c r="AT566" s="1">
        <f>IF(IFERROR(MATCH(Tabelle11[[#Headers],[Tom_R]],Spielauswertung!$B554:$E554,0),0)=0,AT565,INDEX(Spielauswertung!$AB554:$AE554,MATCH(Tabelle11[[#Headers],[Tom_R]],Spielauswertung!$B554:$E554,0))+AT565)</f>
        <v>112.62344492949197</v>
      </c>
      <c r="AU566" s="1">
        <f>IF(IFERROR(MATCH(Tabelle11[[#Headers],[Ton_L]],Spielauswertung!$B554:$E554,0),0)=0,AU565,INDEX(Spielauswertung!$AB554:$AE554,MATCH(Tabelle11[[#Headers],[Ton_L]],Spielauswertung!$B554:$E554,0))+AU565)</f>
        <v>92.683083360025861</v>
      </c>
      <c r="AV566" s="1">
        <f>IF(IFERROR(MATCH(Tabelle11[[#Headers],[Yixin_G]],Spielauswertung!$B554:$E554,0),0)=0,AV565,INDEX(Spielauswertung!$AB554:$AE554,MATCH(Tabelle11[[#Headers],[Yixin_G]],Spielauswertung!$B554:$E554,0))+AV565)</f>
        <v>99.900323214082661</v>
      </c>
      <c r="AW566" s="1">
        <f>IF(IFERROR(MATCH(Tabelle11[[#Headers],[Spalte36]],Spielauswertung!$B554:$E554,0),0)=0,AW565,INDEX(Spielauswertung!$AB554:$AE554,MATCH(Tabelle11[[#Headers],[Spalte36]],Spielauswertung!$B554:$E554,0))+AW565)</f>
        <v>100</v>
      </c>
      <c r="AX566" s="1">
        <f>IF(IFERROR(MATCH(Tabelle11[[#Headers],[Spalte37]],Spielauswertung!$B554:$E554,0),0)=0,AX565,INDEX(Spielauswertung!$AB554:$AE554,MATCH(Tabelle11[[#Headers],[Spalte37]],Spielauswertung!$B554:$E554,0))+AX565)</f>
        <v>100</v>
      </c>
      <c r="AY566" s="1">
        <f>IF(IFERROR(MATCH(Tabelle11[[#Headers],[Spalte38]],Spielauswertung!$B554:$E554,0),0)=0,AY565,INDEX(Spielauswertung!$AB554:$AE554,MATCH(Tabelle11[[#Headers],[Spalte38]],Spielauswertung!$B554:$E554,0))+AY565)</f>
        <v>100</v>
      </c>
      <c r="AZ566" s="1">
        <f>IF(IFERROR(MATCH(Tabelle11[[#Headers],[Spalte39]],Spielauswertung!$B554:$E554,0),0)=0,AZ565,INDEX(Spielauswertung!$AB554:$AE554,MATCH(Tabelle11[[#Headers],[Spalte39]],Spielauswertung!$B554:$E554,0))+AZ565)</f>
        <v>100</v>
      </c>
      <c r="BA566" s="1">
        <f>IF(IFERROR(MATCH(Tabelle11[[#Headers],[Spalte40]],Spielauswertung!$B554:$E554,0),0)=0,BA565,INDEX(Spielauswertung!$AB554:$AE554,MATCH(Tabelle11[[#Headers],[Spalte40]],Spielauswertung!$B554:$E554,0))+BA565)</f>
        <v>100</v>
      </c>
      <c r="BB566" s="1">
        <f>IF(IFERROR(MATCH(Tabelle11[[#Headers],[Spalte41]],Spielauswertung!$B554:$E554,0),0)=0,BB565,INDEX(Spielauswertung!$AB554:$AE554,MATCH(Tabelle11[[#Headers],[Spalte41]],Spielauswertung!$B554:$E554,0))+BB565)</f>
        <v>100</v>
      </c>
      <c r="BC566" s="1">
        <f>IF(IFERROR(MATCH(Tabelle11[[#Headers],[Spalte42]],Spielauswertung!$B554:$E554,0),0)=0,BC565,INDEX(Spielauswertung!$AB554:$AE554,MATCH(Tabelle11[[#Headers],[Spalte42]],Spielauswertung!$B554:$E554,0))+BC565)</f>
        <v>100</v>
      </c>
      <c r="BD566" s="1">
        <f>IF(IFERROR(MATCH(Tabelle11[[#Headers],[Spalte43]],Spielauswertung!$B554:$E554,0),0)=0,BD565,INDEX(Spielauswertung!$AB554:$AE554,MATCH(Tabelle11[[#Headers],[Spalte43]],Spielauswertung!$B554:$E554,0))+BD565)</f>
        <v>100</v>
      </c>
      <c r="BE566" s="1">
        <f>IF(IFERROR(MATCH(Tabelle11[[#Headers],[Spalte44]],Spielauswertung!$B554:$E554,0),0)=0,BE565,INDEX(Spielauswertung!$AB554:$AE554,MATCH(Tabelle11[[#Headers],[Spalte44]],Spielauswertung!$B554:$E554,0))+BE565)</f>
        <v>100</v>
      </c>
      <c r="BF566" s="1">
        <f>IF(IFERROR(MATCH(Tabelle11[[#Headers],[Spalte45]],Spielauswertung!$B554:$E554,0),0)=0,BF565,INDEX(Spielauswertung!$AB554:$AE554,MATCH(Tabelle11[[#Headers],[Spalte45]],Spielauswertung!$B554:$E554,0))+BF565)</f>
        <v>100</v>
      </c>
      <c r="BG566" s="1">
        <f>IF(IFERROR(MATCH(Tabelle11[[#Headers],[Spalte46]],Spielauswertung!$B554:$E554,0),0)=0,BG565,INDEX(Spielauswertung!$AB554:$AE554,MATCH(Tabelle11[[#Headers],[Spalte46]],Spielauswertung!$B554:$E554,0))+BG565)</f>
        <v>100</v>
      </c>
      <c r="BH566" s="1">
        <f>IF(IFERROR(MATCH(Tabelle11[[#Headers],[Spalte47]],Spielauswertung!$B554:$E554,0),0)=0,BH565,INDEX(Spielauswertung!$AB554:$AE554,MATCH(Tabelle11[[#Headers],[Spalte47]],Spielauswertung!$B554:$E554,0))+BH565)</f>
        <v>100</v>
      </c>
    </row>
    <row r="567" spans="1:60" x14ac:dyDescent="0.25">
      <c r="A567">
        <f t="shared" si="9"/>
        <v>554</v>
      </c>
      <c r="B567" s="1">
        <f>IF(IFERROR(MATCH(Tabelle11[[#Headers],[Aleix_V]],Spielauswertung!$B555:$E555,0),0)=0,B566,INDEX(Spielauswertung!$AB555:$AE555,MATCH(Tabelle11[[#Headers],[Aleix_V]],Spielauswertung!$B555:$E555,0))+B566)</f>
        <v>102.47318019444646</v>
      </c>
      <c r="C567" s="1">
        <f>IF(IFERROR(MATCH(Tabelle11[[#Headers],[Andres_H]],Spielauswertung!$B555:$E555,0),0)=0,C566,INDEX(Spielauswertung!$AB555:$AE555,MATCH(Tabelle11[[#Headers],[Andres_H]],Spielauswertung!$B555:$E555,0))+C566)</f>
        <v>95.535732339111306</v>
      </c>
      <c r="D567" s="1">
        <f>IF(IFERROR(MATCH(Tabelle11[[#Headers],[Anton_K]],Spielauswertung!$B555:$E555,0),0)=0,D566,INDEX(Spielauswertung!$AB555:$AE555,MATCH(Tabelle11[[#Headers],[Anton_K]],Spielauswertung!$B555:$E555,0))+D566)</f>
        <v>99.287728777054667</v>
      </c>
      <c r="E567" s="1">
        <f>IF(IFERROR(MATCH(Tabelle11[[#Headers],[Bastian_G]],Spielauswertung!$B555:$E555,0),0)=0,E566,INDEX(Spielauswertung!$AB555:$AE555,MATCH(Tabelle11[[#Headers],[Bastian_G]],Spielauswertung!$B555:$E555,0))+E566)</f>
        <v>117.49978695184252</v>
      </c>
      <c r="F567" s="1">
        <f>IF(IFERROR(MATCH(Tabelle11[[#Headers],[Ben_S]],Spielauswertung!$B555:$E555,0),0)=0,F566,INDEX(Spielauswertung!$AB555:$AE555,MATCH(Tabelle11[[#Headers],[Ben_S]],Spielauswertung!$B555:$E555,0))+F566)</f>
        <v>95.932799101521084</v>
      </c>
      <c r="G567" s="1">
        <f>IF(IFERROR(MATCH(Tabelle11[[#Headers],[Benedikt_K]],Spielauswertung!$B555:$E555,0),0)=0,G566,INDEX(Spielauswertung!$AB555:$AE555,MATCH(Tabelle11[[#Headers],[Benedikt_K]],Spielauswertung!$B555:$E555,0))+G566)</f>
        <v>101.20264176422626</v>
      </c>
      <c r="H567" s="1">
        <f>IF(IFERROR(MATCH(Tabelle11[[#Headers],[Benedikt_R]],Spielauswertung!$B555:$E555,0),0)=0,H566,INDEX(Spielauswertung!$AB555:$AE555,MATCH(Tabelle11[[#Headers],[Benedikt_R]],Spielauswertung!$B555:$E555,0))+H566)</f>
        <v>102.6264770510757</v>
      </c>
      <c r="I567" s="1">
        <f>IF(IFERROR(MATCH(Tabelle11[[#Headers],[Carsten_H]],Spielauswertung!$B555:$E555,0),0)=0,I566,INDEX(Spielauswertung!$AB555:$AE555,MATCH(Tabelle11[[#Headers],[Carsten_H]],Spielauswertung!$B555:$E555,0))+I566)</f>
        <v>90.817185094326874</v>
      </c>
      <c r="J567" s="1">
        <f>IF(IFERROR(MATCH(Tabelle11[[#Headers],[Christoph_R]],Spielauswertung!$B555:$E555,0),0)=0,J566,INDEX(Spielauswertung!$AB555:$AE555,MATCH(Tabelle11[[#Headers],[Christoph_R]],Spielauswertung!$B555:$E555,0))+J566)</f>
        <v>109.73261611443155</v>
      </c>
      <c r="K567" s="1">
        <f>IF(IFERROR(MATCH(Tabelle11[[#Headers],[Claudius_J]],Spielauswertung!$B555:$E555,0),0)=0,K566,INDEX(Spielauswertung!$AB555:$AE555,MATCH(Tabelle11[[#Headers],[Claudius_J]],Spielauswertung!$B555:$E555,0))+K566)</f>
        <v>106.16590636000029</v>
      </c>
      <c r="L567" s="1">
        <f>IF(IFERROR(MATCH(Tabelle11[[#Headers],[Daniel_D]],Spielauswertung!$B555:$E555,0),0)=0,L566,INDEX(Spielauswertung!$AB555:$AE555,MATCH(Tabelle11[[#Headers],[Daniel_D]],Spielauswertung!$B555:$E555,0))+L566)</f>
        <v>99.990299180470089</v>
      </c>
      <c r="M567" s="1">
        <f>IF(IFERROR(MATCH(Tabelle11[[#Headers],[David_R]],Spielauswertung!$B555:$E555,0),0)=0,M566,INDEX(Spielauswertung!$AB555:$AE555,MATCH(Tabelle11[[#Headers],[David_R]],Spielauswertung!$B555:$E555,0))+M566)</f>
        <v>96.715943522481638</v>
      </c>
      <c r="N567" s="1">
        <f>IF(IFERROR(MATCH(Tabelle11[[#Headers],[Dennis_P]],Spielauswertung!$B555:$E555,0),0)=0,N566,INDEX(Spielauswertung!$AB555:$AE555,MATCH(Tabelle11[[#Headers],[Dennis_P]],Spielauswertung!$B555:$E555,0))+N566)</f>
        <v>100.04773223105254</v>
      </c>
      <c r="O567" s="1">
        <f>IF(IFERROR(MATCH(Tabelle11[[#Headers],[Dennis_R]],Spielauswertung!$B555:$E555,0),0)=0,O566,INDEX(Spielauswertung!$AB555:$AE555,MATCH(Tabelle11[[#Headers],[Dennis_R]],Spielauswertung!$B555:$E555,0))+O566)</f>
        <v>75.131680864937195</v>
      </c>
      <c r="P567" s="1">
        <f>IF(IFERROR(MATCH(Tabelle11[[#Headers],[Detlef_R]],Spielauswertung!$B555:$E555,0),0)=0,P566,INDEX(Spielauswertung!$AB555:$AE555,MATCH(Tabelle11[[#Headers],[Detlef_R]],Spielauswertung!$B555:$E555,0))+P566)</f>
        <v>87.984671797367014</v>
      </c>
      <c r="Q567" s="1">
        <f>IF(IFERROR(MATCH(Tabelle11[[#Headers],[Dmitrij_M]],Spielauswertung!$B555:$E555,0),0)=0,Q566,INDEX(Spielauswertung!$AB555:$AE555,MATCH(Tabelle11[[#Headers],[Dmitrij_M]],Spielauswertung!$B555:$E555,0))+Q566)</f>
        <v>100.69975721846207</v>
      </c>
      <c r="R567" s="1">
        <f>IF(IFERROR(MATCH(Tabelle11[[#Headers],[Fabian_M]],Spielauswertung!$B555:$E555,0),0)=0,R566,INDEX(Spielauswertung!$AB555:$AE555,MATCH(Tabelle11[[#Headers],[Fabian_M]],Spielauswertung!$B555:$E555,0))+R566)</f>
        <v>95.805387841610738</v>
      </c>
      <c r="S567" s="1">
        <f>IF(IFERROR(MATCH(Tabelle11[[#Headers],[Hannes_S]],Spielauswertung!$B555:$E555,0),0)=0,S566,INDEX(Spielauswertung!$AB555:$AE555,MATCH(Tabelle11[[#Headers],[Hannes_S]],Spielauswertung!$B555:$E555,0))+S566)</f>
        <v>104.83899184012799</v>
      </c>
      <c r="T567" s="1">
        <f>IF(IFERROR(MATCH(Tabelle11[[#Headers],[Jan_B]],Spielauswertung!$B555:$E555,0),0)=0,T566,INDEX(Spielauswertung!$AB555:$AE555,MATCH(Tabelle11[[#Headers],[Jan_B]],Spielauswertung!$B555:$E555,0))+T566)</f>
        <v>100.2794420429173</v>
      </c>
      <c r="U567" s="1">
        <f>IF(IFERROR(MATCH(Tabelle11[[#Headers],[Jan_Hendrik_B]],Spielauswertung!$B555:$E555,0),0)=0,U566,INDEX(Spielauswertung!$AB555:$AE555,MATCH(Tabelle11[[#Headers],[Jan_Hendrik_B]],Spielauswertung!$B555:$E555,0))+U566)</f>
        <v>100.75492416935522</v>
      </c>
      <c r="V567" s="1">
        <f>IF(IFERROR(MATCH(Tabelle11[[#Headers],[Jens_N]],Spielauswertung!$B555:$E555,0),0)=0,V566,INDEX(Spielauswertung!$AB555:$AE555,MATCH(Tabelle11[[#Headers],[Jens_N]],Spielauswertung!$B555:$E555,0))+V566)</f>
        <v>99.643534710196832</v>
      </c>
      <c r="W567" s="1">
        <f>IF(IFERROR(MATCH(Tabelle11[[#Headers],[Johannes_S]],Spielauswertung!$B555:$E555,0),0)=0,W566,INDEX(Spielauswertung!$AB555:$AE555,MATCH(Tabelle11[[#Headers],[Johannes_S]],Spielauswertung!$B555:$E555,0))+W566)</f>
        <v>102.20284750979505</v>
      </c>
      <c r="X567" s="1">
        <f>IF(IFERROR(MATCH(Tabelle11[[#Headers],[Jonathan_F]],Spielauswertung!$B555:$E555,0),0)=0,X566,INDEX(Spielauswertung!$AB555:$AE555,MATCH(Tabelle11[[#Headers],[Jonathan_F]],Spielauswertung!$B555:$E555,0))+X566)</f>
        <v>98.938308797866256</v>
      </c>
      <c r="Y567" s="1">
        <f>IF(IFERROR(MATCH(Tabelle11[[#Headers],[Julius_P]],Spielauswertung!$B555:$E555,0),0)=0,Y566,INDEX(Spielauswertung!$AB555:$AE555,MATCH(Tabelle11[[#Headers],[Julius_P]],Spielauswertung!$B555:$E555,0))+Y566)</f>
        <v>96.540305101873642</v>
      </c>
      <c r="Z567" s="1">
        <f>IF(IFERROR(MATCH(Tabelle11[[#Headers],[Louis_W]],Spielauswertung!$B555:$E555,0),0)=0,Z566,INDEX(Spielauswertung!$AB555:$AE555,MATCH(Tabelle11[[#Headers],[Louis_W]],Spielauswertung!$B555:$E555,0))+Z566)</f>
        <v>87.497452285475362</v>
      </c>
      <c r="AA567" s="1">
        <f>IF(IFERROR(MATCH(Tabelle11[[#Headers],[Lukas_L]],Spielauswertung!$B555:$E555,0),0)=0,AA566,INDEX(Spielauswertung!$AB555:$AE555,MATCH(Tabelle11[[#Headers],[Lukas_L]],Spielauswertung!$B555:$E555,0))+AA566)</f>
        <v>98.447931341404143</v>
      </c>
      <c r="AB567" s="1">
        <f>IF(IFERROR(MATCH(Tabelle11[[#Headers],[Marcin_S]],Spielauswertung!$B555:$E555,0),0)=0,AB566,INDEX(Spielauswertung!$AB555:$AE555,MATCH(Tabelle11[[#Headers],[Marcin_S]],Spielauswertung!$B555:$E555,0))+AB566)</f>
        <v>85.463329105556824</v>
      </c>
      <c r="AC567" s="1">
        <f>IF(IFERROR(MATCH(Tabelle11[[#Headers],[Marco_K]],Spielauswertung!$B555:$E555,0),0)=0,AC566,INDEX(Spielauswertung!$AB555:$AE555,MATCH(Tabelle11[[#Headers],[Marco_K]],Spielauswertung!$B555:$E555,0))+AC566)</f>
        <v>102.12169819441469</v>
      </c>
      <c r="AD567" s="1">
        <f>IF(IFERROR(MATCH(Tabelle11[[#Headers],[Marius_M]],Spielauswertung!$B555:$E555,0),0)=0,AD566,INDEX(Spielauswertung!$AB555:$AE555,MATCH(Tabelle11[[#Headers],[Marius_M]],Spielauswertung!$B555:$E555,0))+AD566)</f>
        <v>124.54012374585781</v>
      </c>
      <c r="AE567" s="1">
        <f>IF(IFERROR(MATCH(Tabelle11[[#Headers],[Marvin_W]],Spielauswertung!$B555:$E555,0),0)=0,AE566,INDEX(Spielauswertung!$AB555:$AE555,MATCH(Tabelle11[[#Headers],[Marvin_W]],Spielauswertung!$B555:$E555,0))+AE566)</f>
        <v>96.700266280577438</v>
      </c>
      <c r="AF567" s="1">
        <f>IF(IFERROR(MATCH(Tabelle11[[#Headers],[Matthias_H]],Spielauswertung!$B555:$E555,0),0)=0,AF566,INDEX(Spielauswertung!$AB555:$AE555,MATCH(Tabelle11[[#Headers],[Matthias_H]],Spielauswertung!$B555:$E555,0))+AF566)</f>
        <v>105.42130178599372</v>
      </c>
      <c r="AG567" s="1">
        <f>IF(IFERROR(MATCH(Tabelle11[[#Headers],[Michael_D]],Spielauswertung!$B555:$E555,0),0)=0,AG566,INDEX(Spielauswertung!$AB555:$AE555,MATCH(Tabelle11[[#Headers],[Michael_D]],Spielauswertung!$B555:$E555,0))+AG566)</f>
        <v>96.436276170375336</v>
      </c>
      <c r="AH567" s="1">
        <f>IF(IFERROR(MATCH(Tabelle11[[#Headers],[Patrick_S]],Spielauswertung!$B555:$E555,0),0)=0,AH566,INDEX(Spielauswertung!$AB555:$AE555,MATCH(Tabelle11[[#Headers],[Patrick_S]],Spielauswertung!$B555:$E555,0))+AH566)</f>
        <v>98.975330692053802</v>
      </c>
      <c r="AI567" s="1">
        <f>IF(IFERROR(MATCH(Tabelle11[[#Headers],[Rano_M]],Spielauswertung!$B555:$E555,0),0)=0,AI566,INDEX(Spielauswertung!$AB555:$AE555,MATCH(Tabelle11[[#Headers],[Rano_M]],Spielauswertung!$B555:$E555,0))+AI566)</f>
        <v>109.38890657420265</v>
      </c>
      <c r="AJ567" s="1">
        <f>IF(IFERROR(MATCH(Tabelle11[[#Headers],[Rene_N]],Spielauswertung!$B555:$E555,0),0)=0,AJ566,INDEX(Spielauswertung!$AB555:$AE555,MATCH(Tabelle11[[#Headers],[Rene_N]],Spielauswertung!$B555:$E555,0))+AJ566)</f>
        <v>101.06482124619033</v>
      </c>
      <c r="AK567" s="1">
        <f>IF(IFERROR(MATCH(Tabelle11[[#Headers],[Rene_P]],Spielauswertung!$B555:$E555,0),0)=0,AK566,INDEX(Spielauswertung!$AB555:$AE555,MATCH(Tabelle11[[#Headers],[Rene_P]],Spielauswertung!$B555:$E555,0))+AK566)</f>
        <v>88.762543186332877</v>
      </c>
      <c r="AL567" s="1">
        <f>IF(IFERROR(MATCH(Tabelle11[[#Headers],[Richard_D]],Spielauswertung!$B555:$E555,0),0)=0,AL566,INDEX(Spielauswertung!$AB555:$AE555,MATCH(Tabelle11[[#Headers],[Richard_D]],Spielauswertung!$B555:$E555,0))+AL566)</f>
        <v>107.23233592026223</v>
      </c>
      <c r="AM567" s="1">
        <f>IF(IFERROR(MATCH(Tabelle11[[#Headers],[Rodrigo_R]],Spielauswertung!$B555:$E555,0),0)=0,AM566,INDEX(Spielauswertung!$AB555:$AE555,MATCH(Tabelle11[[#Headers],[Rodrigo_R]],Spielauswertung!$B555:$E555,0))+AM566)</f>
        <v>116.7028707921346</v>
      </c>
      <c r="AN567" s="1">
        <f>IF(IFERROR(MATCH(Tabelle11[[#Headers],[Sebastian_A]],Spielauswertung!$B555:$E555,0),0)=0,AN566,INDEX(Spielauswertung!$AB555:$AE555,MATCH(Tabelle11[[#Headers],[Sebastian_A]],Spielauswertung!$B555:$E555,0))+AN566)</f>
        <v>102.89457418671324</v>
      </c>
      <c r="AO567" s="1">
        <f>IF(IFERROR(MATCH(Tabelle11[[#Headers],[Sebastian_St]],Spielauswertung!$B555:$E555,0),0)=0,AO566,INDEX(Spielauswertung!$AB555:$AE555,MATCH(Tabelle11[[#Headers],[Sebastian_St]],Spielauswertung!$B555:$E555,0))+AO566)</f>
        <v>97.749574367408982</v>
      </c>
      <c r="AP567" s="1">
        <f>IF(IFERROR(MATCH(Tabelle11[[#Headers],[Simon_U]],Spielauswertung!$B555:$E555,0),0)=0,AP566,INDEX(Spielauswertung!$AB555:$AE555,MATCH(Tabelle11[[#Headers],[Simon_U]],Spielauswertung!$B555:$E555,0))+AP566)</f>
        <v>99.623054841470903</v>
      </c>
      <c r="AQ567" s="1">
        <f>IF(IFERROR(MATCH(Tabelle11[[#Headers],[Steffen_R]],Spielauswertung!$B555:$E555,0),0)=0,AQ566,INDEX(Spielauswertung!$AB555:$AE555,MATCH(Tabelle11[[#Headers],[Steffen_R]],Spielauswertung!$B555:$E555,0))+AQ566)</f>
        <v>93.247497067190949</v>
      </c>
      <c r="AR567" s="1">
        <f>IF(IFERROR(MATCH(Tabelle11[[#Headers],[Tim_R]],Spielauswertung!$B555:$E555,0),0)=0,AR566,INDEX(Spielauswertung!$AB555:$AE555,MATCH(Tabelle11[[#Headers],[Tim_R]],Spielauswertung!$B555:$E555,0))+AR566)</f>
        <v>103.07503787023374</v>
      </c>
      <c r="AS567" s="1">
        <f>IF(IFERROR(MATCH(Tabelle11[[#Headers],[Tobias_S]],Spielauswertung!$B555:$E555,0),0)=0,AS566,INDEX(Spielauswertung!$AB555:$AE555,MATCH(Tabelle11[[#Headers],[Tobias_S]],Spielauswertung!$B555:$E555,0))+AS566)</f>
        <v>98.6003422659997</v>
      </c>
      <c r="AT567" s="1">
        <f>IF(IFERROR(MATCH(Tabelle11[[#Headers],[Tom_R]],Spielauswertung!$B555:$E555,0),0)=0,AT566,INDEX(Spielauswertung!$AB555:$AE555,MATCH(Tabelle11[[#Headers],[Tom_R]],Spielauswertung!$B555:$E555,0))+AT566)</f>
        <v>112.62344492949197</v>
      </c>
      <c r="AU567" s="1">
        <f>IF(IFERROR(MATCH(Tabelle11[[#Headers],[Ton_L]],Spielauswertung!$B555:$E555,0),0)=0,AU566,INDEX(Spielauswertung!$AB555:$AE555,MATCH(Tabelle11[[#Headers],[Ton_L]],Spielauswertung!$B555:$E555,0))+AU566)</f>
        <v>92.683083360025861</v>
      </c>
      <c r="AV567" s="1">
        <f>IF(IFERROR(MATCH(Tabelle11[[#Headers],[Yixin_G]],Spielauswertung!$B555:$E555,0),0)=0,AV566,INDEX(Spielauswertung!$AB555:$AE555,MATCH(Tabelle11[[#Headers],[Yixin_G]],Spielauswertung!$B555:$E555,0))+AV566)</f>
        <v>99.900323214082661</v>
      </c>
      <c r="AW567" s="1">
        <f>IF(IFERROR(MATCH(Tabelle11[[#Headers],[Spalte36]],Spielauswertung!$B555:$E555,0),0)=0,AW566,INDEX(Spielauswertung!$AB555:$AE555,MATCH(Tabelle11[[#Headers],[Spalte36]],Spielauswertung!$B555:$E555,0))+AW566)</f>
        <v>100</v>
      </c>
      <c r="AX567" s="1">
        <f>IF(IFERROR(MATCH(Tabelle11[[#Headers],[Spalte37]],Spielauswertung!$B555:$E555,0),0)=0,AX566,INDEX(Spielauswertung!$AB555:$AE555,MATCH(Tabelle11[[#Headers],[Spalte37]],Spielauswertung!$B555:$E555,0))+AX566)</f>
        <v>100</v>
      </c>
      <c r="AY567" s="1">
        <f>IF(IFERROR(MATCH(Tabelle11[[#Headers],[Spalte38]],Spielauswertung!$B555:$E555,0),0)=0,AY566,INDEX(Spielauswertung!$AB555:$AE555,MATCH(Tabelle11[[#Headers],[Spalte38]],Spielauswertung!$B555:$E555,0))+AY566)</f>
        <v>100</v>
      </c>
      <c r="AZ567" s="1">
        <f>IF(IFERROR(MATCH(Tabelle11[[#Headers],[Spalte39]],Spielauswertung!$B555:$E555,0),0)=0,AZ566,INDEX(Spielauswertung!$AB555:$AE555,MATCH(Tabelle11[[#Headers],[Spalte39]],Spielauswertung!$B555:$E555,0))+AZ566)</f>
        <v>100</v>
      </c>
      <c r="BA567" s="1">
        <f>IF(IFERROR(MATCH(Tabelle11[[#Headers],[Spalte40]],Spielauswertung!$B555:$E555,0),0)=0,BA566,INDEX(Spielauswertung!$AB555:$AE555,MATCH(Tabelle11[[#Headers],[Spalte40]],Spielauswertung!$B555:$E555,0))+BA566)</f>
        <v>100</v>
      </c>
      <c r="BB567" s="1">
        <f>IF(IFERROR(MATCH(Tabelle11[[#Headers],[Spalte41]],Spielauswertung!$B555:$E555,0),0)=0,BB566,INDEX(Spielauswertung!$AB555:$AE555,MATCH(Tabelle11[[#Headers],[Spalte41]],Spielauswertung!$B555:$E555,0))+BB566)</f>
        <v>100</v>
      </c>
      <c r="BC567" s="1">
        <f>IF(IFERROR(MATCH(Tabelle11[[#Headers],[Spalte42]],Spielauswertung!$B555:$E555,0),0)=0,BC566,INDEX(Spielauswertung!$AB555:$AE555,MATCH(Tabelle11[[#Headers],[Spalte42]],Spielauswertung!$B555:$E555,0))+BC566)</f>
        <v>100</v>
      </c>
      <c r="BD567" s="1">
        <f>IF(IFERROR(MATCH(Tabelle11[[#Headers],[Spalte43]],Spielauswertung!$B555:$E555,0),0)=0,BD566,INDEX(Spielauswertung!$AB555:$AE555,MATCH(Tabelle11[[#Headers],[Spalte43]],Spielauswertung!$B555:$E555,0))+BD566)</f>
        <v>100</v>
      </c>
      <c r="BE567" s="1">
        <f>IF(IFERROR(MATCH(Tabelle11[[#Headers],[Spalte44]],Spielauswertung!$B555:$E555,0),0)=0,BE566,INDEX(Spielauswertung!$AB555:$AE555,MATCH(Tabelle11[[#Headers],[Spalte44]],Spielauswertung!$B555:$E555,0))+BE566)</f>
        <v>100</v>
      </c>
      <c r="BF567" s="1">
        <f>IF(IFERROR(MATCH(Tabelle11[[#Headers],[Spalte45]],Spielauswertung!$B555:$E555,0),0)=0,BF566,INDEX(Spielauswertung!$AB555:$AE555,MATCH(Tabelle11[[#Headers],[Spalte45]],Spielauswertung!$B555:$E555,0))+BF566)</f>
        <v>100</v>
      </c>
      <c r="BG567" s="1">
        <f>IF(IFERROR(MATCH(Tabelle11[[#Headers],[Spalte46]],Spielauswertung!$B555:$E555,0),0)=0,BG566,INDEX(Spielauswertung!$AB555:$AE555,MATCH(Tabelle11[[#Headers],[Spalte46]],Spielauswertung!$B555:$E555,0))+BG566)</f>
        <v>100</v>
      </c>
      <c r="BH567" s="1">
        <f>IF(IFERROR(MATCH(Tabelle11[[#Headers],[Spalte47]],Spielauswertung!$B555:$E555,0),0)=0,BH566,INDEX(Spielauswertung!$AB555:$AE555,MATCH(Tabelle11[[#Headers],[Spalte47]],Spielauswertung!$B555:$E555,0))+BH566)</f>
        <v>100</v>
      </c>
    </row>
    <row r="568" spans="1:60" x14ac:dyDescent="0.25">
      <c r="A568">
        <f t="shared" si="9"/>
        <v>555</v>
      </c>
      <c r="B568" s="1">
        <f>IF(IFERROR(MATCH(Tabelle11[[#Headers],[Aleix_V]],Spielauswertung!$B556:$E556,0),0)=0,B567,INDEX(Spielauswertung!$AB556:$AE556,MATCH(Tabelle11[[#Headers],[Aleix_V]],Spielauswertung!$B556:$E556,0))+B567)</f>
        <v>102.47318019444646</v>
      </c>
      <c r="C568" s="1">
        <f>IF(IFERROR(MATCH(Tabelle11[[#Headers],[Andres_H]],Spielauswertung!$B556:$E556,0),0)=0,C567,INDEX(Spielauswertung!$AB556:$AE556,MATCH(Tabelle11[[#Headers],[Andres_H]],Spielauswertung!$B556:$E556,0))+C567)</f>
        <v>95.535732339111306</v>
      </c>
      <c r="D568" s="1">
        <f>IF(IFERROR(MATCH(Tabelle11[[#Headers],[Anton_K]],Spielauswertung!$B556:$E556,0),0)=0,D567,INDEX(Spielauswertung!$AB556:$AE556,MATCH(Tabelle11[[#Headers],[Anton_K]],Spielauswertung!$B556:$E556,0))+D567)</f>
        <v>99.287728777054667</v>
      </c>
      <c r="E568" s="1">
        <f>IF(IFERROR(MATCH(Tabelle11[[#Headers],[Bastian_G]],Spielauswertung!$B556:$E556,0),0)=0,E567,INDEX(Spielauswertung!$AB556:$AE556,MATCH(Tabelle11[[#Headers],[Bastian_G]],Spielauswertung!$B556:$E556,0))+E567)</f>
        <v>117.49978695184252</v>
      </c>
      <c r="F568" s="1">
        <f>IF(IFERROR(MATCH(Tabelle11[[#Headers],[Ben_S]],Spielauswertung!$B556:$E556,0),0)=0,F567,INDEX(Spielauswertung!$AB556:$AE556,MATCH(Tabelle11[[#Headers],[Ben_S]],Spielauswertung!$B556:$E556,0))+F567)</f>
        <v>95.932799101521084</v>
      </c>
      <c r="G568" s="1">
        <f>IF(IFERROR(MATCH(Tabelle11[[#Headers],[Benedikt_K]],Spielauswertung!$B556:$E556,0),0)=0,G567,INDEX(Spielauswertung!$AB556:$AE556,MATCH(Tabelle11[[#Headers],[Benedikt_K]],Spielauswertung!$B556:$E556,0))+G567)</f>
        <v>101.20264176422626</v>
      </c>
      <c r="H568" s="1">
        <f>IF(IFERROR(MATCH(Tabelle11[[#Headers],[Benedikt_R]],Spielauswertung!$B556:$E556,0),0)=0,H567,INDEX(Spielauswertung!$AB556:$AE556,MATCH(Tabelle11[[#Headers],[Benedikt_R]],Spielauswertung!$B556:$E556,0))+H567)</f>
        <v>102.6264770510757</v>
      </c>
      <c r="I568" s="1">
        <f>IF(IFERROR(MATCH(Tabelle11[[#Headers],[Carsten_H]],Spielauswertung!$B556:$E556,0),0)=0,I567,INDEX(Spielauswertung!$AB556:$AE556,MATCH(Tabelle11[[#Headers],[Carsten_H]],Spielauswertung!$B556:$E556,0))+I567)</f>
        <v>90.817185094326874</v>
      </c>
      <c r="J568" s="1">
        <f>IF(IFERROR(MATCH(Tabelle11[[#Headers],[Christoph_R]],Spielauswertung!$B556:$E556,0),0)=0,J567,INDEX(Spielauswertung!$AB556:$AE556,MATCH(Tabelle11[[#Headers],[Christoph_R]],Spielauswertung!$B556:$E556,0))+J567)</f>
        <v>109.73261611443155</v>
      </c>
      <c r="K568" s="1">
        <f>IF(IFERROR(MATCH(Tabelle11[[#Headers],[Claudius_J]],Spielauswertung!$B556:$E556,0),0)=0,K567,INDEX(Spielauswertung!$AB556:$AE556,MATCH(Tabelle11[[#Headers],[Claudius_J]],Spielauswertung!$B556:$E556,0))+K567)</f>
        <v>106.16590636000029</v>
      </c>
      <c r="L568" s="1">
        <f>IF(IFERROR(MATCH(Tabelle11[[#Headers],[Daniel_D]],Spielauswertung!$B556:$E556,0),0)=0,L567,INDEX(Spielauswertung!$AB556:$AE556,MATCH(Tabelle11[[#Headers],[Daniel_D]],Spielauswertung!$B556:$E556,0))+L567)</f>
        <v>99.990299180470089</v>
      </c>
      <c r="M568" s="1">
        <f>IF(IFERROR(MATCH(Tabelle11[[#Headers],[David_R]],Spielauswertung!$B556:$E556,0),0)=0,M567,INDEX(Spielauswertung!$AB556:$AE556,MATCH(Tabelle11[[#Headers],[David_R]],Spielauswertung!$B556:$E556,0))+M567)</f>
        <v>96.715943522481638</v>
      </c>
      <c r="N568" s="1">
        <f>IF(IFERROR(MATCH(Tabelle11[[#Headers],[Dennis_P]],Spielauswertung!$B556:$E556,0),0)=0,N567,INDEX(Spielauswertung!$AB556:$AE556,MATCH(Tabelle11[[#Headers],[Dennis_P]],Spielauswertung!$B556:$E556,0))+N567)</f>
        <v>100.04773223105254</v>
      </c>
      <c r="O568" s="1">
        <f>IF(IFERROR(MATCH(Tabelle11[[#Headers],[Dennis_R]],Spielauswertung!$B556:$E556,0),0)=0,O567,INDEX(Spielauswertung!$AB556:$AE556,MATCH(Tabelle11[[#Headers],[Dennis_R]],Spielauswertung!$B556:$E556,0))+O567)</f>
        <v>75.131680864937195</v>
      </c>
      <c r="P568" s="1">
        <f>IF(IFERROR(MATCH(Tabelle11[[#Headers],[Detlef_R]],Spielauswertung!$B556:$E556,0),0)=0,P567,INDEX(Spielauswertung!$AB556:$AE556,MATCH(Tabelle11[[#Headers],[Detlef_R]],Spielauswertung!$B556:$E556,0))+P567)</f>
        <v>87.984671797367014</v>
      </c>
      <c r="Q568" s="1">
        <f>IF(IFERROR(MATCH(Tabelle11[[#Headers],[Dmitrij_M]],Spielauswertung!$B556:$E556,0),0)=0,Q567,INDEX(Spielauswertung!$AB556:$AE556,MATCH(Tabelle11[[#Headers],[Dmitrij_M]],Spielauswertung!$B556:$E556,0))+Q567)</f>
        <v>100.69975721846207</v>
      </c>
      <c r="R568" s="1">
        <f>IF(IFERROR(MATCH(Tabelle11[[#Headers],[Fabian_M]],Spielauswertung!$B556:$E556,0),0)=0,R567,INDEX(Spielauswertung!$AB556:$AE556,MATCH(Tabelle11[[#Headers],[Fabian_M]],Spielauswertung!$B556:$E556,0))+R567)</f>
        <v>95.805387841610738</v>
      </c>
      <c r="S568" s="1">
        <f>IF(IFERROR(MATCH(Tabelle11[[#Headers],[Hannes_S]],Spielauswertung!$B556:$E556,0),0)=0,S567,INDEX(Spielauswertung!$AB556:$AE556,MATCH(Tabelle11[[#Headers],[Hannes_S]],Spielauswertung!$B556:$E556,0))+S567)</f>
        <v>104.83899184012799</v>
      </c>
      <c r="T568" s="1">
        <f>IF(IFERROR(MATCH(Tabelle11[[#Headers],[Jan_B]],Spielauswertung!$B556:$E556,0),0)=0,T567,INDEX(Spielauswertung!$AB556:$AE556,MATCH(Tabelle11[[#Headers],[Jan_B]],Spielauswertung!$B556:$E556,0))+T567)</f>
        <v>100.2794420429173</v>
      </c>
      <c r="U568" s="1">
        <f>IF(IFERROR(MATCH(Tabelle11[[#Headers],[Jan_Hendrik_B]],Spielauswertung!$B556:$E556,0),0)=0,U567,INDEX(Spielauswertung!$AB556:$AE556,MATCH(Tabelle11[[#Headers],[Jan_Hendrik_B]],Spielauswertung!$B556:$E556,0))+U567)</f>
        <v>100.75492416935522</v>
      </c>
      <c r="V568" s="1">
        <f>IF(IFERROR(MATCH(Tabelle11[[#Headers],[Jens_N]],Spielauswertung!$B556:$E556,0),0)=0,V567,INDEX(Spielauswertung!$AB556:$AE556,MATCH(Tabelle11[[#Headers],[Jens_N]],Spielauswertung!$B556:$E556,0))+V567)</f>
        <v>99.643534710196832</v>
      </c>
      <c r="W568" s="1">
        <f>IF(IFERROR(MATCH(Tabelle11[[#Headers],[Johannes_S]],Spielauswertung!$B556:$E556,0),0)=0,W567,INDEX(Spielauswertung!$AB556:$AE556,MATCH(Tabelle11[[#Headers],[Johannes_S]],Spielauswertung!$B556:$E556,0))+W567)</f>
        <v>102.20284750979505</v>
      </c>
      <c r="X568" s="1">
        <f>IF(IFERROR(MATCH(Tabelle11[[#Headers],[Jonathan_F]],Spielauswertung!$B556:$E556,0),0)=0,X567,INDEX(Spielauswertung!$AB556:$AE556,MATCH(Tabelle11[[#Headers],[Jonathan_F]],Spielauswertung!$B556:$E556,0))+X567)</f>
        <v>98.938308797866256</v>
      </c>
      <c r="Y568" s="1">
        <f>IF(IFERROR(MATCH(Tabelle11[[#Headers],[Julius_P]],Spielauswertung!$B556:$E556,0),0)=0,Y567,INDEX(Spielauswertung!$AB556:$AE556,MATCH(Tabelle11[[#Headers],[Julius_P]],Spielauswertung!$B556:$E556,0))+Y567)</f>
        <v>96.540305101873642</v>
      </c>
      <c r="Z568" s="1">
        <f>IF(IFERROR(MATCH(Tabelle11[[#Headers],[Louis_W]],Spielauswertung!$B556:$E556,0),0)=0,Z567,INDEX(Spielauswertung!$AB556:$AE556,MATCH(Tabelle11[[#Headers],[Louis_W]],Spielauswertung!$B556:$E556,0))+Z567)</f>
        <v>87.497452285475362</v>
      </c>
      <c r="AA568" s="1">
        <f>IF(IFERROR(MATCH(Tabelle11[[#Headers],[Lukas_L]],Spielauswertung!$B556:$E556,0),0)=0,AA567,INDEX(Spielauswertung!$AB556:$AE556,MATCH(Tabelle11[[#Headers],[Lukas_L]],Spielauswertung!$B556:$E556,0))+AA567)</f>
        <v>98.447931341404143</v>
      </c>
      <c r="AB568" s="1">
        <f>IF(IFERROR(MATCH(Tabelle11[[#Headers],[Marcin_S]],Spielauswertung!$B556:$E556,0),0)=0,AB567,INDEX(Spielauswertung!$AB556:$AE556,MATCH(Tabelle11[[#Headers],[Marcin_S]],Spielauswertung!$B556:$E556,0))+AB567)</f>
        <v>85.463329105556824</v>
      </c>
      <c r="AC568" s="1">
        <f>IF(IFERROR(MATCH(Tabelle11[[#Headers],[Marco_K]],Spielauswertung!$B556:$E556,0),0)=0,AC567,INDEX(Spielauswertung!$AB556:$AE556,MATCH(Tabelle11[[#Headers],[Marco_K]],Spielauswertung!$B556:$E556,0))+AC567)</f>
        <v>102.12169819441469</v>
      </c>
      <c r="AD568" s="1">
        <f>IF(IFERROR(MATCH(Tabelle11[[#Headers],[Marius_M]],Spielauswertung!$B556:$E556,0),0)=0,AD567,INDEX(Spielauswertung!$AB556:$AE556,MATCH(Tabelle11[[#Headers],[Marius_M]],Spielauswertung!$B556:$E556,0))+AD567)</f>
        <v>124.54012374585781</v>
      </c>
      <c r="AE568" s="1">
        <f>IF(IFERROR(MATCH(Tabelle11[[#Headers],[Marvin_W]],Spielauswertung!$B556:$E556,0),0)=0,AE567,INDEX(Spielauswertung!$AB556:$AE556,MATCH(Tabelle11[[#Headers],[Marvin_W]],Spielauswertung!$B556:$E556,0))+AE567)</f>
        <v>96.700266280577438</v>
      </c>
      <c r="AF568" s="1">
        <f>IF(IFERROR(MATCH(Tabelle11[[#Headers],[Matthias_H]],Spielauswertung!$B556:$E556,0),0)=0,AF567,INDEX(Spielauswertung!$AB556:$AE556,MATCH(Tabelle11[[#Headers],[Matthias_H]],Spielauswertung!$B556:$E556,0))+AF567)</f>
        <v>105.42130178599372</v>
      </c>
      <c r="AG568" s="1">
        <f>IF(IFERROR(MATCH(Tabelle11[[#Headers],[Michael_D]],Spielauswertung!$B556:$E556,0),0)=0,AG567,INDEX(Spielauswertung!$AB556:$AE556,MATCH(Tabelle11[[#Headers],[Michael_D]],Spielauswertung!$B556:$E556,0))+AG567)</f>
        <v>96.436276170375336</v>
      </c>
      <c r="AH568" s="1">
        <f>IF(IFERROR(MATCH(Tabelle11[[#Headers],[Patrick_S]],Spielauswertung!$B556:$E556,0),0)=0,AH567,INDEX(Spielauswertung!$AB556:$AE556,MATCH(Tabelle11[[#Headers],[Patrick_S]],Spielauswertung!$B556:$E556,0))+AH567)</f>
        <v>98.975330692053802</v>
      </c>
      <c r="AI568" s="1">
        <f>IF(IFERROR(MATCH(Tabelle11[[#Headers],[Rano_M]],Spielauswertung!$B556:$E556,0),0)=0,AI567,INDEX(Spielauswertung!$AB556:$AE556,MATCH(Tabelle11[[#Headers],[Rano_M]],Spielauswertung!$B556:$E556,0))+AI567)</f>
        <v>109.38890657420265</v>
      </c>
      <c r="AJ568" s="1">
        <f>IF(IFERROR(MATCH(Tabelle11[[#Headers],[Rene_N]],Spielauswertung!$B556:$E556,0),0)=0,AJ567,INDEX(Spielauswertung!$AB556:$AE556,MATCH(Tabelle11[[#Headers],[Rene_N]],Spielauswertung!$B556:$E556,0))+AJ567)</f>
        <v>101.06482124619033</v>
      </c>
      <c r="AK568" s="1">
        <f>IF(IFERROR(MATCH(Tabelle11[[#Headers],[Rene_P]],Spielauswertung!$B556:$E556,0),0)=0,AK567,INDEX(Spielauswertung!$AB556:$AE556,MATCH(Tabelle11[[#Headers],[Rene_P]],Spielauswertung!$B556:$E556,0))+AK567)</f>
        <v>88.762543186332877</v>
      </c>
      <c r="AL568" s="1">
        <f>IF(IFERROR(MATCH(Tabelle11[[#Headers],[Richard_D]],Spielauswertung!$B556:$E556,0),0)=0,AL567,INDEX(Spielauswertung!$AB556:$AE556,MATCH(Tabelle11[[#Headers],[Richard_D]],Spielauswertung!$B556:$E556,0))+AL567)</f>
        <v>107.23233592026223</v>
      </c>
      <c r="AM568" s="1">
        <f>IF(IFERROR(MATCH(Tabelle11[[#Headers],[Rodrigo_R]],Spielauswertung!$B556:$E556,0),0)=0,AM567,INDEX(Spielauswertung!$AB556:$AE556,MATCH(Tabelle11[[#Headers],[Rodrigo_R]],Spielauswertung!$B556:$E556,0))+AM567)</f>
        <v>116.7028707921346</v>
      </c>
      <c r="AN568" s="1">
        <f>IF(IFERROR(MATCH(Tabelle11[[#Headers],[Sebastian_A]],Spielauswertung!$B556:$E556,0),0)=0,AN567,INDEX(Spielauswertung!$AB556:$AE556,MATCH(Tabelle11[[#Headers],[Sebastian_A]],Spielauswertung!$B556:$E556,0))+AN567)</f>
        <v>102.89457418671324</v>
      </c>
      <c r="AO568" s="1">
        <f>IF(IFERROR(MATCH(Tabelle11[[#Headers],[Sebastian_St]],Spielauswertung!$B556:$E556,0),0)=0,AO567,INDEX(Spielauswertung!$AB556:$AE556,MATCH(Tabelle11[[#Headers],[Sebastian_St]],Spielauswertung!$B556:$E556,0))+AO567)</f>
        <v>97.749574367408982</v>
      </c>
      <c r="AP568" s="1">
        <f>IF(IFERROR(MATCH(Tabelle11[[#Headers],[Simon_U]],Spielauswertung!$B556:$E556,0),0)=0,AP567,INDEX(Spielauswertung!$AB556:$AE556,MATCH(Tabelle11[[#Headers],[Simon_U]],Spielauswertung!$B556:$E556,0))+AP567)</f>
        <v>99.623054841470903</v>
      </c>
      <c r="AQ568" s="1">
        <f>IF(IFERROR(MATCH(Tabelle11[[#Headers],[Steffen_R]],Spielauswertung!$B556:$E556,0),0)=0,AQ567,INDEX(Spielauswertung!$AB556:$AE556,MATCH(Tabelle11[[#Headers],[Steffen_R]],Spielauswertung!$B556:$E556,0))+AQ567)</f>
        <v>93.247497067190949</v>
      </c>
      <c r="AR568" s="1">
        <f>IF(IFERROR(MATCH(Tabelle11[[#Headers],[Tim_R]],Spielauswertung!$B556:$E556,0),0)=0,AR567,INDEX(Spielauswertung!$AB556:$AE556,MATCH(Tabelle11[[#Headers],[Tim_R]],Spielauswertung!$B556:$E556,0))+AR567)</f>
        <v>103.07503787023374</v>
      </c>
      <c r="AS568" s="1">
        <f>IF(IFERROR(MATCH(Tabelle11[[#Headers],[Tobias_S]],Spielauswertung!$B556:$E556,0),0)=0,AS567,INDEX(Spielauswertung!$AB556:$AE556,MATCH(Tabelle11[[#Headers],[Tobias_S]],Spielauswertung!$B556:$E556,0))+AS567)</f>
        <v>98.6003422659997</v>
      </c>
      <c r="AT568" s="1">
        <f>IF(IFERROR(MATCH(Tabelle11[[#Headers],[Tom_R]],Spielauswertung!$B556:$E556,0),0)=0,AT567,INDEX(Spielauswertung!$AB556:$AE556,MATCH(Tabelle11[[#Headers],[Tom_R]],Spielauswertung!$B556:$E556,0))+AT567)</f>
        <v>112.62344492949197</v>
      </c>
      <c r="AU568" s="1">
        <f>IF(IFERROR(MATCH(Tabelle11[[#Headers],[Ton_L]],Spielauswertung!$B556:$E556,0),0)=0,AU567,INDEX(Spielauswertung!$AB556:$AE556,MATCH(Tabelle11[[#Headers],[Ton_L]],Spielauswertung!$B556:$E556,0))+AU567)</f>
        <v>92.683083360025861</v>
      </c>
      <c r="AV568" s="1">
        <f>IF(IFERROR(MATCH(Tabelle11[[#Headers],[Yixin_G]],Spielauswertung!$B556:$E556,0),0)=0,AV567,INDEX(Spielauswertung!$AB556:$AE556,MATCH(Tabelle11[[#Headers],[Yixin_G]],Spielauswertung!$B556:$E556,0))+AV567)</f>
        <v>99.900323214082661</v>
      </c>
      <c r="AW568" s="1">
        <f>IF(IFERROR(MATCH(Tabelle11[[#Headers],[Spalte36]],Spielauswertung!$B556:$E556,0),0)=0,AW567,INDEX(Spielauswertung!$AB556:$AE556,MATCH(Tabelle11[[#Headers],[Spalte36]],Spielauswertung!$B556:$E556,0))+AW567)</f>
        <v>100</v>
      </c>
      <c r="AX568" s="1">
        <f>IF(IFERROR(MATCH(Tabelle11[[#Headers],[Spalte37]],Spielauswertung!$B556:$E556,0),0)=0,AX567,INDEX(Spielauswertung!$AB556:$AE556,MATCH(Tabelle11[[#Headers],[Spalte37]],Spielauswertung!$B556:$E556,0))+AX567)</f>
        <v>100</v>
      </c>
      <c r="AY568" s="1">
        <f>IF(IFERROR(MATCH(Tabelle11[[#Headers],[Spalte38]],Spielauswertung!$B556:$E556,0),0)=0,AY567,INDEX(Spielauswertung!$AB556:$AE556,MATCH(Tabelle11[[#Headers],[Spalte38]],Spielauswertung!$B556:$E556,0))+AY567)</f>
        <v>100</v>
      </c>
      <c r="AZ568" s="1">
        <f>IF(IFERROR(MATCH(Tabelle11[[#Headers],[Spalte39]],Spielauswertung!$B556:$E556,0),0)=0,AZ567,INDEX(Spielauswertung!$AB556:$AE556,MATCH(Tabelle11[[#Headers],[Spalte39]],Spielauswertung!$B556:$E556,0))+AZ567)</f>
        <v>100</v>
      </c>
      <c r="BA568" s="1">
        <f>IF(IFERROR(MATCH(Tabelle11[[#Headers],[Spalte40]],Spielauswertung!$B556:$E556,0),0)=0,BA567,INDEX(Spielauswertung!$AB556:$AE556,MATCH(Tabelle11[[#Headers],[Spalte40]],Spielauswertung!$B556:$E556,0))+BA567)</f>
        <v>100</v>
      </c>
      <c r="BB568" s="1">
        <f>IF(IFERROR(MATCH(Tabelle11[[#Headers],[Spalte41]],Spielauswertung!$B556:$E556,0),0)=0,BB567,INDEX(Spielauswertung!$AB556:$AE556,MATCH(Tabelle11[[#Headers],[Spalte41]],Spielauswertung!$B556:$E556,0))+BB567)</f>
        <v>100</v>
      </c>
      <c r="BC568" s="1">
        <f>IF(IFERROR(MATCH(Tabelle11[[#Headers],[Spalte42]],Spielauswertung!$B556:$E556,0),0)=0,BC567,INDEX(Spielauswertung!$AB556:$AE556,MATCH(Tabelle11[[#Headers],[Spalte42]],Spielauswertung!$B556:$E556,0))+BC567)</f>
        <v>100</v>
      </c>
      <c r="BD568" s="1">
        <f>IF(IFERROR(MATCH(Tabelle11[[#Headers],[Spalte43]],Spielauswertung!$B556:$E556,0),0)=0,BD567,INDEX(Spielauswertung!$AB556:$AE556,MATCH(Tabelle11[[#Headers],[Spalte43]],Spielauswertung!$B556:$E556,0))+BD567)</f>
        <v>100</v>
      </c>
      <c r="BE568" s="1">
        <f>IF(IFERROR(MATCH(Tabelle11[[#Headers],[Spalte44]],Spielauswertung!$B556:$E556,0),0)=0,BE567,INDEX(Spielauswertung!$AB556:$AE556,MATCH(Tabelle11[[#Headers],[Spalte44]],Spielauswertung!$B556:$E556,0))+BE567)</f>
        <v>100</v>
      </c>
      <c r="BF568" s="1">
        <f>IF(IFERROR(MATCH(Tabelle11[[#Headers],[Spalte45]],Spielauswertung!$B556:$E556,0),0)=0,BF567,INDEX(Spielauswertung!$AB556:$AE556,MATCH(Tabelle11[[#Headers],[Spalte45]],Spielauswertung!$B556:$E556,0))+BF567)</f>
        <v>100</v>
      </c>
      <c r="BG568" s="1">
        <f>IF(IFERROR(MATCH(Tabelle11[[#Headers],[Spalte46]],Spielauswertung!$B556:$E556,0),0)=0,BG567,INDEX(Spielauswertung!$AB556:$AE556,MATCH(Tabelle11[[#Headers],[Spalte46]],Spielauswertung!$B556:$E556,0))+BG567)</f>
        <v>100</v>
      </c>
      <c r="BH568" s="1">
        <f>IF(IFERROR(MATCH(Tabelle11[[#Headers],[Spalte47]],Spielauswertung!$B556:$E556,0),0)=0,BH567,INDEX(Spielauswertung!$AB556:$AE556,MATCH(Tabelle11[[#Headers],[Spalte47]],Spielauswertung!$B556:$E556,0))+BH567)</f>
        <v>100</v>
      </c>
    </row>
    <row r="569" spans="1:60" x14ac:dyDescent="0.25">
      <c r="A569">
        <f t="shared" si="9"/>
        <v>556</v>
      </c>
      <c r="B569" s="1">
        <f>IF(IFERROR(MATCH(Tabelle11[[#Headers],[Aleix_V]],Spielauswertung!$B557:$E557,0),0)=0,B568,INDEX(Spielauswertung!$AB557:$AE557,MATCH(Tabelle11[[#Headers],[Aleix_V]],Spielauswertung!$B557:$E557,0))+B568)</f>
        <v>102.47318019444646</v>
      </c>
      <c r="C569" s="1">
        <f>IF(IFERROR(MATCH(Tabelle11[[#Headers],[Andres_H]],Spielauswertung!$B557:$E557,0),0)=0,C568,INDEX(Spielauswertung!$AB557:$AE557,MATCH(Tabelle11[[#Headers],[Andres_H]],Spielauswertung!$B557:$E557,0))+C568)</f>
        <v>95.535732339111306</v>
      </c>
      <c r="D569" s="1">
        <f>IF(IFERROR(MATCH(Tabelle11[[#Headers],[Anton_K]],Spielauswertung!$B557:$E557,0),0)=0,D568,INDEX(Spielauswertung!$AB557:$AE557,MATCH(Tabelle11[[#Headers],[Anton_K]],Spielauswertung!$B557:$E557,0))+D568)</f>
        <v>99.287728777054667</v>
      </c>
      <c r="E569" s="1">
        <f>IF(IFERROR(MATCH(Tabelle11[[#Headers],[Bastian_G]],Spielauswertung!$B557:$E557,0),0)=0,E568,INDEX(Spielauswertung!$AB557:$AE557,MATCH(Tabelle11[[#Headers],[Bastian_G]],Spielauswertung!$B557:$E557,0))+E568)</f>
        <v>117.49978695184252</v>
      </c>
      <c r="F569" s="1">
        <f>IF(IFERROR(MATCH(Tabelle11[[#Headers],[Ben_S]],Spielauswertung!$B557:$E557,0),0)=0,F568,INDEX(Spielauswertung!$AB557:$AE557,MATCH(Tabelle11[[#Headers],[Ben_S]],Spielauswertung!$B557:$E557,0))+F568)</f>
        <v>95.932799101521084</v>
      </c>
      <c r="G569" s="1">
        <f>IF(IFERROR(MATCH(Tabelle11[[#Headers],[Benedikt_K]],Spielauswertung!$B557:$E557,0),0)=0,G568,INDEX(Spielauswertung!$AB557:$AE557,MATCH(Tabelle11[[#Headers],[Benedikt_K]],Spielauswertung!$B557:$E557,0))+G568)</f>
        <v>101.20264176422626</v>
      </c>
      <c r="H569" s="1">
        <f>IF(IFERROR(MATCH(Tabelle11[[#Headers],[Benedikt_R]],Spielauswertung!$B557:$E557,0),0)=0,H568,INDEX(Spielauswertung!$AB557:$AE557,MATCH(Tabelle11[[#Headers],[Benedikt_R]],Spielauswertung!$B557:$E557,0))+H568)</f>
        <v>102.6264770510757</v>
      </c>
      <c r="I569" s="1">
        <f>IF(IFERROR(MATCH(Tabelle11[[#Headers],[Carsten_H]],Spielauswertung!$B557:$E557,0),0)=0,I568,INDEX(Spielauswertung!$AB557:$AE557,MATCH(Tabelle11[[#Headers],[Carsten_H]],Spielauswertung!$B557:$E557,0))+I568)</f>
        <v>90.817185094326874</v>
      </c>
      <c r="J569" s="1">
        <f>IF(IFERROR(MATCH(Tabelle11[[#Headers],[Christoph_R]],Spielauswertung!$B557:$E557,0),0)=0,J568,INDEX(Spielauswertung!$AB557:$AE557,MATCH(Tabelle11[[#Headers],[Christoph_R]],Spielauswertung!$B557:$E557,0))+J568)</f>
        <v>109.73261611443155</v>
      </c>
      <c r="K569" s="1">
        <f>IF(IFERROR(MATCH(Tabelle11[[#Headers],[Claudius_J]],Spielauswertung!$B557:$E557,0),0)=0,K568,INDEX(Spielauswertung!$AB557:$AE557,MATCH(Tabelle11[[#Headers],[Claudius_J]],Spielauswertung!$B557:$E557,0))+K568)</f>
        <v>106.16590636000029</v>
      </c>
      <c r="L569" s="1">
        <f>IF(IFERROR(MATCH(Tabelle11[[#Headers],[Daniel_D]],Spielauswertung!$B557:$E557,0),0)=0,L568,INDEX(Spielauswertung!$AB557:$AE557,MATCH(Tabelle11[[#Headers],[Daniel_D]],Spielauswertung!$B557:$E557,0))+L568)</f>
        <v>99.990299180470089</v>
      </c>
      <c r="M569" s="1">
        <f>IF(IFERROR(MATCH(Tabelle11[[#Headers],[David_R]],Spielauswertung!$B557:$E557,0),0)=0,M568,INDEX(Spielauswertung!$AB557:$AE557,MATCH(Tabelle11[[#Headers],[David_R]],Spielauswertung!$B557:$E557,0))+M568)</f>
        <v>96.715943522481638</v>
      </c>
      <c r="N569" s="1">
        <f>IF(IFERROR(MATCH(Tabelle11[[#Headers],[Dennis_P]],Spielauswertung!$B557:$E557,0),0)=0,N568,INDEX(Spielauswertung!$AB557:$AE557,MATCH(Tabelle11[[#Headers],[Dennis_P]],Spielauswertung!$B557:$E557,0))+N568)</f>
        <v>100.04773223105254</v>
      </c>
      <c r="O569" s="1">
        <f>IF(IFERROR(MATCH(Tabelle11[[#Headers],[Dennis_R]],Spielauswertung!$B557:$E557,0),0)=0,O568,INDEX(Spielauswertung!$AB557:$AE557,MATCH(Tabelle11[[#Headers],[Dennis_R]],Spielauswertung!$B557:$E557,0))+O568)</f>
        <v>75.131680864937195</v>
      </c>
      <c r="P569" s="1">
        <f>IF(IFERROR(MATCH(Tabelle11[[#Headers],[Detlef_R]],Spielauswertung!$B557:$E557,0),0)=0,P568,INDEX(Spielauswertung!$AB557:$AE557,MATCH(Tabelle11[[#Headers],[Detlef_R]],Spielauswertung!$B557:$E557,0))+P568)</f>
        <v>87.984671797367014</v>
      </c>
      <c r="Q569" s="1">
        <f>IF(IFERROR(MATCH(Tabelle11[[#Headers],[Dmitrij_M]],Spielauswertung!$B557:$E557,0),0)=0,Q568,INDEX(Spielauswertung!$AB557:$AE557,MATCH(Tabelle11[[#Headers],[Dmitrij_M]],Spielauswertung!$B557:$E557,0))+Q568)</f>
        <v>100.69975721846207</v>
      </c>
      <c r="R569" s="1">
        <f>IF(IFERROR(MATCH(Tabelle11[[#Headers],[Fabian_M]],Spielauswertung!$B557:$E557,0),0)=0,R568,INDEX(Spielauswertung!$AB557:$AE557,MATCH(Tabelle11[[#Headers],[Fabian_M]],Spielauswertung!$B557:$E557,0))+R568)</f>
        <v>95.805387841610738</v>
      </c>
      <c r="S569" s="1">
        <f>IF(IFERROR(MATCH(Tabelle11[[#Headers],[Hannes_S]],Spielauswertung!$B557:$E557,0),0)=0,S568,INDEX(Spielauswertung!$AB557:$AE557,MATCH(Tabelle11[[#Headers],[Hannes_S]],Spielauswertung!$B557:$E557,0))+S568)</f>
        <v>104.83899184012799</v>
      </c>
      <c r="T569" s="1">
        <f>IF(IFERROR(MATCH(Tabelle11[[#Headers],[Jan_B]],Spielauswertung!$B557:$E557,0),0)=0,T568,INDEX(Spielauswertung!$AB557:$AE557,MATCH(Tabelle11[[#Headers],[Jan_B]],Spielauswertung!$B557:$E557,0))+T568)</f>
        <v>100.2794420429173</v>
      </c>
      <c r="U569" s="1">
        <f>IF(IFERROR(MATCH(Tabelle11[[#Headers],[Jan_Hendrik_B]],Spielauswertung!$B557:$E557,0),0)=0,U568,INDEX(Spielauswertung!$AB557:$AE557,MATCH(Tabelle11[[#Headers],[Jan_Hendrik_B]],Spielauswertung!$B557:$E557,0))+U568)</f>
        <v>100.75492416935522</v>
      </c>
      <c r="V569" s="1">
        <f>IF(IFERROR(MATCH(Tabelle11[[#Headers],[Jens_N]],Spielauswertung!$B557:$E557,0),0)=0,V568,INDEX(Spielauswertung!$AB557:$AE557,MATCH(Tabelle11[[#Headers],[Jens_N]],Spielauswertung!$B557:$E557,0))+V568)</f>
        <v>99.643534710196832</v>
      </c>
      <c r="W569" s="1">
        <f>IF(IFERROR(MATCH(Tabelle11[[#Headers],[Johannes_S]],Spielauswertung!$B557:$E557,0),0)=0,W568,INDEX(Spielauswertung!$AB557:$AE557,MATCH(Tabelle11[[#Headers],[Johannes_S]],Spielauswertung!$B557:$E557,0))+W568)</f>
        <v>102.20284750979505</v>
      </c>
      <c r="X569" s="1">
        <f>IF(IFERROR(MATCH(Tabelle11[[#Headers],[Jonathan_F]],Spielauswertung!$B557:$E557,0),0)=0,X568,INDEX(Spielauswertung!$AB557:$AE557,MATCH(Tabelle11[[#Headers],[Jonathan_F]],Spielauswertung!$B557:$E557,0))+X568)</f>
        <v>98.938308797866256</v>
      </c>
      <c r="Y569" s="1">
        <f>IF(IFERROR(MATCH(Tabelle11[[#Headers],[Julius_P]],Spielauswertung!$B557:$E557,0),0)=0,Y568,INDEX(Spielauswertung!$AB557:$AE557,MATCH(Tabelle11[[#Headers],[Julius_P]],Spielauswertung!$B557:$E557,0))+Y568)</f>
        <v>96.540305101873642</v>
      </c>
      <c r="Z569" s="1">
        <f>IF(IFERROR(MATCH(Tabelle11[[#Headers],[Louis_W]],Spielauswertung!$B557:$E557,0),0)=0,Z568,INDEX(Spielauswertung!$AB557:$AE557,MATCH(Tabelle11[[#Headers],[Louis_W]],Spielauswertung!$B557:$E557,0))+Z568)</f>
        <v>87.497452285475362</v>
      </c>
      <c r="AA569" s="1">
        <f>IF(IFERROR(MATCH(Tabelle11[[#Headers],[Lukas_L]],Spielauswertung!$B557:$E557,0),0)=0,AA568,INDEX(Spielauswertung!$AB557:$AE557,MATCH(Tabelle11[[#Headers],[Lukas_L]],Spielauswertung!$B557:$E557,0))+AA568)</f>
        <v>98.447931341404143</v>
      </c>
      <c r="AB569" s="1">
        <f>IF(IFERROR(MATCH(Tabelle11[[#Headers],[Marcin_S]],Spielauswertung!$B557:$E557,0),0)=0,AB568,INDEX(Spielauswertung!$AB557:$AE557,MATCH(Tabelle11[[#Headers],[Marcin_S]],Spielauswertung!$B557:$E557,0))+AB568)</f>
        <v>85.463329105556824</v>
      </c>
      <c r="AC569" s="1">
        <f>IF(IFERROR(MATCH(Tabelle11[[#Headers],[Marco_K]],Spielauswertung!$B557:$E557,0),0)=0,AC568,INDEX(Spielauswertung!$AB557:$AE557,MATCH(Tabelle11[[#Headers],[Marco_K]],Spielauswertung!$B557:$E557,0))+AC568)</f>
        <v>102.12169819441469</v>
      </c>
      <c r="AD569" s="1">
        <f>IF(IFERROR(MATCH(Tabelle11[[#Headers],[Marius_M]],Spielauswertung!$B557:$E557,0),0)=0,AD568,INDEX(Spielauswertung!$AB557:$AE557,MATCH(Tabelle11[[#Headers],[Marius_M]],Spielauswertung!$B557:$E557,0))+AD568)</f>
        <v>124.54012374585781</v>
      </c>
      <c r="AE569" s="1">
        <f>IF(IFERROR(MATCH(Tabelle11[[#Headers],[Marvin_W]],Spielauswertung!$B557:$E557,0),0)=0,AE568,INDEX(Spielauswertung!$AB557:$AE557,MATCH(Tabelle11[[#Headers],[Marvin_W]],Spielauswertung!$B557:$E557,0))+AE568)</f>
        <v>96.700266280577438</v>
      </c>
      <c r="AF569" s="1">
        <f>IF(IFERROR(MATCH(Tabelle11[[#Headers],[Matthias_H]],Spielauswertung!$B557:$E557,0),0)=0,AF568,INDEX(Spielauswertung!$AB557:$AE557,MATCH(Tabelle11[[#Headers],[Matthias_H]],Spielauswertung!$B557:$E557,0))+AF568)</f>
        <v>105.42130178599372</v>
      </c>
      <c r="AG569" s="1">
        <f>IF(IFERROR(MATCH(Tabelle11[[#Headers],[Michael_D]],Spielauswertung!$B557:$E557,0),0)=0,AG568,INDEX(Spielauswertung!$AB557:$AE557,MATCH(Tabelle11[[#Headers],[Michael_D]],Spielauswertung!$B557:$E557,0))+AG568)</f>
        <v>96.436276170375336</v>
      </c>
      <c r="AH569" s="1">
        <f>IF(IFERROR(MATCH(Tabelle11[[#Headers],[Patrick_S]],Spielauswertung!$B557:$E557,0),0)=0,AH568,INDEX(Spielauswertung!$AB557:$AE557,MATCH(Tabelle11[[#Headers],[Patrick_S]],Spielauswertung!$B557:$E557,0))+AH568)</f>
        <v>98.975330692053802</v>
      </c>
      <c r="AI569" s="1">
        <f>IF(IFERROR(MATCH(Tabelle11[[#Headers],[Rano_M]],Spielauswertung!$B557:$E557,0),0)=0,AI568,INDEX(Spielauswertung!$AB557:$AE557,MATCH(Tabelle11[[#Headers],[Rano_M]],Spielauswertung!$B557:$E557,0))+AI568)</f>
        <v>109.38890657420265</v>
      </c>
      <c r="AJ569" s="1">
        <f>IF(IFERROR(MATCH(Tabelle11[[#Headers],[Rene_N]],Spielauswertung!$B557:$E557,0),0)=0,AJ568,INDEX(Spielauswertung!$AB557:$AE557,MATCH(Tabelle11[[#Headers],[Rene_N]],Spielauswertung!$B557:$E557,0))+AJ568)</f>
        <v>101.06482124619033</v>
      </c>
      <c r="AK569" s="1">
        <f>IF(IFERROR(MATCH(Tabelle11[[#Headers],[Rene_P]],Spielauswertung!$B557:$E557,0),0)=0,AK568,INDEX(Spielauswertung!$AB557:$AE557,MATCH(Tabelle11[[#Headers],[Rene_P]],Spielauswertung!$B557:$E557,0))+AK568)</f>
        <v>88.762543186332877</v>
      </c>
      <c r="AL569" s="1">
        <f>IF(IFERROR(MATCH(Tabelle11[[#Headers],[Richard_D]],Spielauswertung!$B557:$E557,0),0)=0,AL568,INDEX(Spielauswertung!$AB557:$AE557,MATCH(Tabelle11[[#Headers],[Richard_D]],Spielauswertung!$B557:$E557,0))+AL568)</f>
        <v>107.23233592026223</v>
      </c>
      <c r="AM569" s="1">
        <f>IF(IFERROR(MATCH(Tabelle11[[#Headers],[Rodrigo_R]],Spielauswertung!$B557:$E557,0),0)=0,AM568,INDEX(Spielauswertung!$AB557:$AE557,MATCH(Tabelle11[[#Headers],[Rodrigo_R]],Spielauswertung!$B557:$E557,0))+AM568)</f>
        <v>116.7028707921346</v>
      </c>
      <c r="AN569" s="1">
        <f>IF(IFERROR(MATCH(Tabelle11[[#Headers],[Sebastian_A]],Spielauswertung!$B557:$E557,0),0)=0,AN568,INDEX(Spielauswertung!$AB557:$AE557,MATCH(Tabelle11[[#Headers],[Sebastian_A]],Spielauswertung!$B557:$E557,0))+AN568)</f>
        <v>102.89457418671324</v>
      </c>
      <c r="AO569" s="1">
        <f>IF(IFERROR(MATCH(Tabelle11[[#Headers],[Sebastian_St]],Spielauswertung!$B557:$E557,0),0)=0,AO568,INDEX(Spielauswertung!$AB557:$AE557,MATCH(Tabelle11[[#Headers],[Sebastian_St]],Spielauswertung!$B557:$E557,0))+AO568)</f>
        <v>97.749574367408982</v>
      </c>
      <c r="AP569" s="1">
        <f>IF(IFERROR(MATCH(Tabelle11[[#Headers],[Simon_U]],Spielauswertung!$B557:$E557,0),0)=0,AP568,INDEX(Spielauswertung!$AB557:$AE557,MATCH(Tabelle11[[#Headers],[Simon_U]],Spielauswertung!$B557:$E557,0))+AP568)</f>
        <v>99.623054841470903</v>
      </c>
      <c r="AQ569" s="1">
        <f>IF(IFERROR(MATCH(Tabelle11[[#Headers],[Steffen_R]],Spielauswertung!$B557:$E557,0),0)=0,AQ568,INDEX(Spielauswertung!$AB557:$AE557,MATCH(Tabelle11[[#Headers],[Steffen_R]],Spielauswertung!$B557:$E557,0))+AQ568)</f>
        <v>93.247497067190949</v>
      </c>
      <c r="AR569" s="1">
        <f>IF(IFERROR(MATCH(Tabelle11[[#Headers],[Tim_R]],Spielauswertung!$B557:$E557,0),0)=0,AR568,INDEX(Spielauswertung!$AB557:$AE557,MATCH(Tabelle11[[#Headers],[Tim_R]],Spielauswertung!$B557:$E557,0))+AR568)</f>
        <v>103.07503787023374</v>
      </c>
      <c r="AS569" s="1">
        <f>IF(IFERROR(MATCH(Tabelle11[[#Headers],[Tobias_S]],Spielauswertung!$B557:$E557,0),0)=0,AS568,INDEX(Spielauswertung!$AB557:$AE557,MATCH(Tabelle11[[#Headers],[Tobias_S]],Spielauswertung!$B557:$E557,0))+AS568)</f>
        <v>98.6003422659997</v>
      </c>
      <c r="AT569" s="1">
        <f>IF(IFERROR(MATCH(Tabelle11[[#Headers],[Tom_R]],Spielauswertung!$B557:$E557,0),0)=0,AT568,INDEX(Spielauswertung!$AB557:$AE557,MATCH(Tabelle11[[#Headers],[Tom_R]],Spielauswertung!$B557:$E557,0))+AT568)</f>
        <v>112.62344492949197</v>
      </c>
      <c r="AU569" s="1">
        <f>IF(IFERROR(MATCH(Tabelle11[[#Headers],[Ton_L]],Spielauswertung!$B557:$E557,0),0)=0,AU568,INDEX(Spielauswertung!$AB557:$AE557,MATCH(Tabelle11[[#Headers],[Ton_L]],Spielauswertung!$B557:$E557,0))+AU568)</f>
        <v>92.683083360025861</v>
      </c>
      <c r="AV569" s="1">
        <f>IF(IFERROR(MATCH(Tabelle11[[#Headers],[Yixin_G]],Spielauswertung!$B557:$E557,0),0)=0,AV568,INDEX(Spielauswertung!$AB557:$AE557,MATCH(Tabelle11[[#Headers],[Yixin_G]],Spielauswertung!$B557:$E557,0))+AV568)</f>
        <v>99.900323214082661</v>
      </c>
      <c r="AW569" s="1">
        <f>IF(IFERROR(MATCH(Tabelle11[[#Headers],[Spalte36]],Spielauswertung!$B557:$E557,0),0)=0,AW568,INDEX(Spielauswertung!$AB557:$AE557,MATCH(Tabelle11[[#Headers],[Spalte36]],Spielauswertung!$B557:$E557,0))+AW568)</f>
        <v>100</v>
      </c>
      <c r="AX569" s="1">
        <f>IF(IFERROR(MATCH(Tabelle11[[#Headers],[Spalte37]],Spielauswertung!$B557:$E557,0),0)=0,AX568,INDEX(Spielauswertung!$AB557:$AE557,MATCH(Tabelle11[[#Headers],[Spalte37]],Spielauswertung!$B557:$E557,0))+AX568)</f>
        <v>100</v>
      </c>
      <c r="AY569" s="1">
        <f>IF(IFERROR(MATCH(Tabelle11[[#Headers],[Spalte38]],Spielauswertung!$B557:$E557,0),0)=0,AY568,INDEX(Spielauswertung!$AB557:$AE557,MATCH(Tabelle11[[#Headers],[Spalte38]],Spielauswertung!$B557:$E557,0))+AY568)</f>
        <v>100</v>
      </c>
      <c r="AZ569" s="1">
        <f>IF(IFERROR(MATCH(Tabelle11[[#Headers],[Spalte39]],Spielauswertung!$B557:$E557,0),0)=0,AZ568,INDEX(Spielauswertung!$AB557:$AE557,MATCH(Tabelle11[[#Headers],[Spalte39]],Spielauswertung!$B557:$E557,0))+AZ568)</f>
        <v>100</v>
      </c>
      <c r="BA569" s="1">
        <f>IF(IFERROR(MATCH(Tabelle11[[#Headers],[Spalte40]],Spielauswertung!$B557:$E557,0),0)=0,BA568,INDEX(Spielauswertung!$AB557:$AE557,MATCH(Tabelle11[[#Headers],[Spalte40]],Spielauswertung!$B557:$E557,0))+BA568)</f>
        <v>100</v>
      </c>
      <c r="BB569" s="1">
        <f>IF(IFERROR(MATCH(Tabelle11[[#Headers],[Spalte41]],Spielauswertung!$B557:$E557,0),0)=0,BB568,INDEX(Spielauswertung!$AB557:$AE557,MATCH(Tabelle11[[#Headers],[Spalte41]],Spielauswertung!$B557:$E557,0))+BB568)</f>
        <v>100</v>
      </c>
      <c r="BC569" s="1">
        <f>IF(IFERROR(MATCH(Tabelle11[[#Headers],[Spalte42]],Spielauswertung!$B557:$E557,0),0)=0,BC568,INDEX(Spielauswertung!$AB557:$AE557,MATCH(Tabelle11[[#Headers],[Spalte42]],Spielauswertung!$B557:$E557,0))+BC568)</f>
        <v>100</v>
      </c>
      <c r="BD569" s="1">
        <f>IF(IFERROR(MATCH(Tabelle11[[#Headers],[Spalte43]],Spielauswertung!$B557:$E557,0),0)=0,BD568,INDEX(Spielauswertung!$AB557:$AE557,MATCH(Tabelle11[[#Headers],[Spalte43]],Spielauswertung!$B557:$E557,0))+BD568)</f>
        <v>100</v>
      </c>
      <c r="BE569" s="1">
        <f>IF(IFERROR(MATCH(Tabelle11[[#Headers],[Spalte44]],Spielauswertung!$B557:$E557,0),0)=0,BE568,INDEX(Spielauswertung!$AB557:$AE557,MATCH(Tabelle11[[#Headers],[Spalte44]],Spielauswertung!$B557:$E557,0))+BE568)</f>
        <v>100</v>
      </c>
      <c r="BF569" s="1">
        <f>IF(IFERROR(MATCH(Tabelle11[[#Headers],[Spalte45]],Spielauswertung!$B557:$E557,0),0)=0,BF568,INDEX(Spielauswertung!$AB557:$AE557,MATCH(Tabelle11[[#Headers],[Spalte45]],Spielauswertung!$B557:$E557,0))+BF568)</f>
        <v>100</v>
      </c>
      <c r="BG569" s="1">
        <f>IF(IFERROR(MATCH(Tabelle11[[#Headers],[Spalte46]],Spielauswertung!$B557:$E557,0),0)=0,BG568,INDEX(Spielauswertung!$AB557:$AE557,MATCH(Tabelle11[[#Headers],[Spalte46]],Spielauswertung!$B557:$E557,0))+BG568)</f>
        <v>100</v>
      </c>
      <c r="BH569" s="1">
        <f>IF(IFERROR(MATCH(Tabelle11[[#Headers],[Spalte47]],Spielauswertung!$B557:$E557,0),0)=0,BH568,INDEX(Spielauswertung!$AB557:$AE557,MATCH(Tabelle11[[#Headers],[Spalte47]],Spielauswertung!$B557:$E557,0))+BH568)</f>
        <v>100</v>
      </c>
    </row>
    <row r="570" spans="1:60" x14ac:dyDescent="0.25">
      <c r="A570">
        <f t="shared" si="9"/>
        <v>557</v>
      </c>
      <c r="B570" s="1">
        <f>IF(IFERROR(MATCH(Tabelle11[[#Headers],[Aleix_V]],Spielauswertung!$B558:$E558,0),0)=0,B569,INDEX(Spielauswertung!$AB558:$AE558,MATCH(Tabelle11[[#Headers],[Aleix_V]],Spielauswertung!$B558:$E558,0))+B569)</f>
        <v>102.47318019444646</v>
      </c>
      <c r="C570" s="1">
        <f>IF(IFERROR(MATCH(Tabelle11[[#Headers],[Andres_H]],Spielauswertung!$B558:$E558,0),0)=0,C569,INDEX(Spielauswertung!$AB558:$AE558,MATCH(Tabelle11[[#Headers],[Andres_H]],Spielauswertung!$B558:$E558,0))+C569)</f>
        <v>95.535732339111306</v>
      </c>
      <c r="D570" s="1">
        <f>IF(IFERROR(MATCH(Tabelle11[[#Headers],[Anton_K]],Spielauswertung!$B558:$E558,0),0)=0,D569,INDEX(Spielauswertung!$AB558:$AE558,MATCH(Tabelle11[[#Headers],[Anton_K]],Spielauswertung!$B558:$E558,0))+D569)</f>
        <v>99.287728777054667</v>
      </c>
      <c r="E570" s="1">
        <f>IF(IFERROR(MATCH(Tabelle11[[#Headers],[Bastian_G]],Spielauswertung!$B558:$E558,0),0)=0,E569,INDEX(Spielauswertung!$AB558:$AE558,MATCH(Tabelle11[[#Headers],[Bastian_G]],Spielauswertung!$B558:$E558,0))+E569)</f>
        <v>117.49978695184252</v>
      </c>
      <c r="F570" s="1">
        <f>IF(IFERROR(MATCH(Tabelle11[[#Headers],[Ben_S]],Spielauswertung!$B558:$E558,0),0)=0,F569,INDEX(Spielauswertung!$AB558:$AE558,MATCH(Tabelle11[[#Headers],[Ben_S]],Spielauswertung!$B558:$E558,0))+F569)</f>
        <v>95.932799101521084</v>
      </c>
      <c r="G570" s="1">
        <f>IF(IFERROR(MATCH(Tabelle11[[#Headers],[Benedikt_K]],Spielauswertung!$B558:$E558,0),0)=0,G569,INDEX(Spielauswertung!$AB558:$AE558,MATCH(Tabelle11[[#Headers],[Benedikt_K]],Spielauswertung!$B558:$E558,0))+G569)</f>
        <v>101.20264176422626</v>
      </c>
      <c r="H570" s="1">
        <f>IF(IFERROR(MATCH(Tabelle11[[#Headers],[Benedikt_R]],Spielauswertung!$B558:$E558,0),0)=0,H569,INDEX(Spielauswertung!$AB558:$AE558,MATCH(Tabelle11[[#Headers],[Benedikt_R]],Spielauswertung!$B558:$E558,0))+H569)</f>
        <v>102.6264770510757</v>
      </c>
      <c r="I570" s="1">
        <f>IF(IFERROR(MATCH(Tabelle11[[#Headers],[Carsten_H]],Spielauswertung!$B558:$E558,0),0)=0,I569,INDEX(Spielauswertung!$AB558:$AE558,MATCH(Tabelle11[[#Headers],[Carsten_H]],Spielauswertung!$B558:$E558,0))+I569)</f>
        <v>90.817185094326874</v>
      </c>
      <c r="J570" s="1">
        <f>IF(IFERROR(MATCH(Tabelle11[[#Headers],[Christoph_R]],Spielauswertung!$B558:$E558,0),0)=0,J569,INDEX(Spielauswertung!$AB558:$AE558,MATCH(Tabelle11[[#Headers],[Christoph_R]],Spielauswertung!$B558:$E558,0))+J569)</f>
        <v>109.73261611443155</v>
      </c>
      <c r="K570" s="1">
        <f>IF(IFERROR(MATCH(Tabelle11[[#Headers],[Claudius_J]],Spielauswertung!$B558:$E558,0),0)=0,K569,INDEX(Spielauswertung!$AB558:$AE558,MATCH(Tabelle11[[#Headers],[Claudius_J]],Spielauswertung!$B558:$E558,0))+K569)</f>
        <v>106.16590636000029</v>
      </c>
      <c r="L570" s="1">
        <f>IF(IFERROR(MATCH(Tabelle11[[#Headers],[Daniel_D]],Spielauswertung!$B558:$E558,0),0)=0,L569,INDEX(Spielauswertung!$AB558:$AE558,MATCH(Tabelle11[[#Headers],[Daniel_D]],Spielauswertung!$B558:$E558,0))+L569)</f>
        <v>99.990299180470089</v>
      </c>
      <c r="M570" s="1">
        <f>IF(IFERROR(MATCH(Tabelle11[[#Headers],[David_R]],Spielauswertung!$B558:$E558,0),0)=0,M569,INDEX(Spielauswertung!$AB558:$AE558,MATCH(Tabelle11[[#Headers],[David_R]],Spielauswertung!$B558:$E558,0))+M569)</f>
        <v>96.715943522481638</v>
      </c>
      <c r="N570" s="1">
        <f>IF(IFERROR(MATCH(Tabelle11[[#Headers],[Dennis_P]],Spielauswertung!$B558:$E558,0),0)=0,N569,INDEX(Spielauswertung!$AB558:$AE558,MATCH(Tabelle11[[#Headers],[Dennis_P]],Spielauswertung!$B558:$E558,0))+N569)</f>
        <v>100.04773223105254</v>
      </c>
      <c r="O570" s="1">
        <f>IF(IFERROR(MATCH(Tabelle11[[#Headers],[Dennis_R]],Spielauswertung!$B558:$E558,0),0)=0,O569,INDEX(Spielauswertung!$AB558:$AE558,MATCH(Tabelle11[[#Headers],[Dennis_R]],Spielauswertung!$B558:$E558,0))+O569)</f>
        <v>75.131680864937195</v>
      </c>
      <c r="P570" s="1">
        <f>IF(IFERROR(MATCH(Tabelle11[[#Headers],[Detlef_R]],Spielauswertung!$B558:$E558,0),0)=0,P569,INDEX(Spielauswertung!$AB558:$AE558,MATCH(Tabelle11[[#Headers],[Detlef_R]],Spielauswertung!$B558:$E558,0))+P569)</f>
        <v>87.984671797367014</v>
      </c>
      <c r="Q570" s="1">
        <f>IF(IFERROR(MATCH(Tabelle11[[#Headers],[Dmitrij_M]],Spielauswertung!$B558:$E558,0),0)=0,Q569,INDEX(Spielauswertung!$AB558:$AE558,MATCH(Tabelle11[[#Headers],[Dmitrij_M]],Spielauswertung!$B558:$E558,0))+Q569)</f>
        <v>100.69975721846207</v>
      </c>
      <c r="R570" s="1">
        <f>IF(IFERROR(MATCH(Tabelle11[[#Headers],[Fabian_M]],Spielauswertung!$B558:$E558,0),0)=0,R569,INDEX(Spielauswertung!$AB558:$AE558,MATCH(Tabelle11[[#Headers],[Fabian_M]],Spielauswertung!$B558:$E558,0))+R569)</f>
        <v>95.805387841610738</v>
      </c>
      <c r="S570" s="1">
        <f>IF(IFERROR(MATCH(Tabelle11[[#Headers],[Hannes_S]],Spielauswertung!$B558:$E558,0),0)=0,S569,INDEX(Spielauswertung!$AB558:$AE558,MATCH(Tabelle11[[#Headers],[Hannes_S]],Spielauswertung!$B558:$E558,0))+S569)</f>
        <v>104.83899184012799</v>
      </c>
      <c r="T570" s="1">
        <f>IF(IFERROR(MATCH(Tabelle11[[#Headers],[Jan_B]],Spielauswertung!$B558:$E558,0),0)=0,T569,INDEX(Spielauswertung!$AB558:$AE558,MATCH(Tabelle11[[#Headers],[Jan_B]],Spielauswertung!$B558:$E558,0))+T569)</f>
        <v>100.2794420429173</v>
      </c>
      <c r="U570" s="1">
        <f>IF(IFERROR(MATCH(Tabelle11[[#Headers],[Jan_Hendrik_B]],Spielauswertung!$B558:$E558,0),0)=0,U569,INDEX(Spielauswertung!$AB558:$AE558,MATCH(Tabelle11[[#Headers],[Jan_Hendrik_B]],Spielauswertung!$B558:$E558,0))+U569)</f>
        <v>100.75492416935522</v>
      </c>
      <c r="V570" s="1">
        <f>IF(IFERROR(MATCH(Tabelle11[[#Headers],[Jens_N]],Spielauswertung!$B558:$E558,0),0)=0,V569,INDEX(Spielauswertung!$AB558:$AE558,MATCH(Tabelle11[[#Headers],[Jens_N]],Spielauswertung!$B558:$E558,0))+V569)</f>
        <v>99.643534710196832</v>
      </c>
      <c r="W570" s="1">
        <f>IF(IFERROR(MATCH(Tabelle11[[#Headers],[Johannes_S]],Spielauswertung!$B558:$E558,0),0)=0,W569,INDEX(Spielauswertung!$AB558:$AE558,MATCH(Tabelle11[[#Headers],[Johannes_S]],Spielauswertung!$B558:$E558,0))+W569)</f>
        <v>102.20284750979505</v>
      </c>
      <c r="X570" s="1">
        <f>IF(IFERROR(MATCH(Tabelle11[[#Headers],[Jonathan_F]],Spielauswertung!$B558:$E558,0),0)=0,X569,INDEX(Spielauswertung!$AB558:$AE558,MATCH(Tabelle11[[#Headers],[Jonathan_F]],Spielauswertung!$B558:$E558,0))+X569)</f>
        <v>98.938308797866256</v>
      </c>
      <c r="Y570" s="1">
        <f>IF(IFERROR(MATCH(Tabelle11[[#Headers],[Julius_P]],Spielauswertung!$B558:$E558,0),0)=0,Y569,INDEX(Spielauswertung!$AB558:$AE558,MATCH(Tabelle11[[#Headers],[Julius_P]],Spielauswertung!$B558:$E558,0))+Y569)</f>
        <v>96.540305101873642</v>
      </c>
      <c r="Z570" s="1">
        <f>IF(IFERROR(MATCH(Tabelle11[[#Headers],[Louis_W]],Spielauswertung!$B558:$E558,0),0)=0,Z569,INDEX(Spielauswertung!$AB558:$AE558,MATCH(Tabelle11[[#Headers],[Louis_W]],Spielauswertung!$B558:$E558,0))+Z569)</f>
        <v>87.497452285475362</v>
      </c>
      <c r="AA570" s="1">
        <f>IF(IFERROR(MATCH(Tabelle11[[#Headers],[Lukas_L]],Spielauswertung!$B558:$E558,0),0)=0,AA569,INDEX(Spielauswertung!$AB558:$AE558,MATCH(Tabelle11[[#Headers],[Lukas_L]],Spielauswertung!$B558:$E558,0))+AA569)</f>
        <v>98.447931341404143</v>
      </c>
      <c r="AB570" s="1">
        <f>IF(IFERROR(MATCH(Tabelle11[[#Headers],[Marcin_S]],Spielauswertung!$B558:$E558,0),0)=0,AB569,INDEX(Spielauswertung!$AB558:$AE558,MATCH(Tabelle11[[#Headers],[Marcin_S]],Spielauswertung!$B558:$E558,0))+AB569)</f>
        <v>85.463329105556824</v>
      </c>
      <c r="AC570" s="1">
        <f>IF(IFERROR(MATCH(Tabelle11[[#Headers],[Marco_K]],Spielauswertung!$B558:$E558,0),0)=0,AC569,INDEX(Spielauswertung!$AB558:$AE558,MATCH(Tabelle11[[#Headers],[Marco_K]],Spielauswertung!$B558:$E558,0))+AC569)</f>
        <v>102.12169819441469</v>
      </c>
      <c r="AD570" s="1">
        <f>IF(IFERROR(MATCH(Tabelle11[[#Headers],[Marius_M]],Spielauswertung!$B558:$E558,0),0)=0,AD569,INDEX(Spielauswertung!$AB558:$AE558,MATCH(Tabelle11[[#Headers],[Marius_M]],Spielauswertung!$B558:$E558,0))+AD569)</f>
        <v>124.54012374585781</v>
      </c>
      <c r="AE570" s="1">
        <f>IF(IFERROR(MATCH(Tabelle11[[#Headers],[Marvin_W]],Spielauswertung!$B558:$E558,0),0)=0,AE569,INDEX(Spielauswertung!$AB558:$AE558,MATCH(Tabelle11[[#Headers],[Marvin_W]],Spielauswertung!$B558:$E558,0))+AE569)</f>
        <v>96.700266280577438</v>
      </c>
      <c r="AF570" s="1">
        <f>IF(IFERROR(MATCH(Tabelle11[[#Headers],[Matthias_H]],Spielauswertung!$B558:$E558,0),0)=0,AF569,INDEX(Spielauswertung!$AB558:$AE558,MATCH(Tabelle11[[#Headers],[Matthias_H]],Spielauswertung!$B558:$E558,0))+AF569)</f>
        <v>105.42130178599372</v>
      </c>
      <c r="AG570" s="1">
        <f>IF(IFERROR(MATCH(Tabelle11[[#Headers],[Michael_D]],Spielauswertung!$B558:$E558,0),0)=0,AG569,INDEX(Spielauswertung!$AB558:$AE558,MATCH(Tabelle11[[#Headers],[Michael_D]],Spielauswertung!$B558:$E558,0))+AG569)</f>
        <v>96.436276170375336</v>
      </c>
      <c r="AH570" s="1">
        <f>IF(IFERROR(MATCH(Tabelle11[[#Headers],[Patrick_S]],Spielauswertung!$B558:$E558,0),0)=0,AH569,INDEX(Spielauswertung!$AB558:$AE558,MATCH(Tabelle11[[#Headers],[Patrick_S]],Spielauswertung!$B558:$E558,0))+AH569)</f>
        <v>98.975330692053802</v>
      </c>
      <c r="AI570" s="1">
        <f>IF(IFERROR(MATCH(Tabelle11[[#Headers],[Rano_M]],Spielauswertung!$B558:$E558,0),0)=0,AI569,INDEX(Spielauswertung!$AB558:$AE558,MATCH(Tabelle11[[#Headers],[Rano_M]],Spielauswertung!$B558:$E558,0))+AI569)</f>
        <v>109.38890657420265</v>
      </c>
      <c r="AJ570" s="1">
        <f>IF(IFERROR(MATCH(Tabelle11[[#Headers],[Rene_N]],Spielauswertung!$B558:$E558,0),0)=0,AJ569,INDEX(Spielauswertung!$AB558:$AE558,MATCH(Tabelle11[[#Headers],[Rene_N]],Spielauswertung!$B558:$E558,0))+AJ569)</f>
        <v>101.06482124619033</v>
      </c>
      <c r="AK570" s="1">
        <f>IF(IFERROR(MATCH(Tabelle11[[#Headers],[Rene_P]],Spielauswertung!$B558:$E558,0),0)=0,AK569,INDEX(Spielauswertung!$AB558:$AE558,MATCH(Tabelle11[[#Headers],[Rene_P]],Spielauswertung!$B558:$E558,0))+AK569)</f>
        <v>88.762543186332877</v>
      </c>
      <c r="AL570" s="1">
        <f>IF(IFERROR(MATCH(Tabelle11[[#Headers],[Richard_D]],Spielauswertung!$B558:$E558,0),0)=0,AL569,INDEX(Spielauswertung!$AB558:$AE558,MATCH(Tabelle11[[#Headers],[Richard_D]],Spielauswertung!$B558:$E558,0))+AL569)</f>
        <v>107.23233592026223</v>
      </c>
      <c r="AM570" s="1">
        <f>IF(IFERROR(MATCH(Tabelle11[[#Headers],[Rodrigo_R]],Spielauswertung!$B558:$E558,0),0)=0,AM569,INDEX(Spielauswertung!$AB558:$AE558,MATCH(Tabelle11[[#Headers],[Rodrigo_R]],Spielauswertung!$B558:$E558,0))+AM569)</f>
        <v>116.7028707921346</v>
      </c>
      <c r="AN570" s="1">
        <f>IF(IFERROR(MATCH(Tabelle11[[#Headers],[Sebastian_A]],Spielauswertung!$B558:$E558,0),0)=0,AN569,INDEX(Spielauswertung!$AB558:$AE558,MATCH(Tabelle11[[#Headers],[Sebastian_A]],Spielauswertung!$B558:$E558,0))+AN569)</f>
        <v>102.89457418671324</v>
      </c>
      <c r="AO570" s="1">
        <f>IF(IFERROR(MATCH(Tabelle11[[#Headers],[Sebastian_St]],Spielauswertung!$B558:$E558,0),0)=0,AO569,INDEX(Spielauswertung!$AB558:$AE558,MATCH(Tabelle11[[#Headers],[Sebastian_St]],Spielauswertung!$B558:$E558,0))+AO569)</f>
        <v>97.749574367408982</v>
      </c>
      <c r="AP570" s="1">
        <f>IF(IFERROR(MATCH(Tabelle11[[#Headers],[Simon_U]],Spielauswertung!$B558:$E558,0),0)=0,AP569,INDEX(Spielauswertung!$AB558:$AE558,MATCH(Tabelle11[[#Headers],[Simon_U]],Spielauswertung!$B558:$E558,0))+AP569)</f>
        <v>99.623054841470903</v>
      </c>
      <c r="AQ570" s="1">
        <f>IF(IFERROR(MATCH(Tabelle11[[#Headers],[Steffen_R]],Spielauswertung!$B558:$E558,0),0)=0,AQ569,INDEX(Spielauswertung!$AB558:$AE558,MATCH(Tabelle11[[#Headers],[Steffen_R]],Spielauswertung!$B558:$E558,0))+AQ569)</f>
        <v>93.247497067190949</v>
      </c>
      <c r="AR570" s="1">
        <f>IF(IFERROR(MATCH(Tabelle11[[#Headers],[Tim_R]],Spielauswertung!$B558:$E558,0),0)=0,AR569,INDEX(Spielauswertung!$AB558:$AE558,MATCH(Tabelle11[[#Headers],[Tim_R]],Spielauswertung!$B558:$E558,0))+AR569)</f>
        <v>103.07503787023374</v>
      </c>
      <c r="AS570" s="1">
        <f>IF(IFERROR(MATCH(Tabelle11[[#Headers],[Tobias_S]],Spielauswertung!$B558:$E558,0),0)=0,AS569,INDEX(Spielauswertung!$AB558:$AE558,MATCH(Tabelle11[[#Headers],[Tobias_S]],Spielauswertung!$B558:$E558,0))+AS569)</f>
        <v>98.6003422659997</v>
      </c>
      <c r="AT570" s="1">
        <f>IF(IFERROR(MATCH(Tabelle11[[#Headers],[Tom_R]],Spielauswertung!$B558:$E558,0),0)=0,AT569,INDEX(Spielauswertung!$AB558:$AE558,MATCH(Tabelle11[[#Headers],[Tom_R]],Spielauswertung!$B558:$E558,0))+AT569)</f>
        <v>112.62344492949197</v>
      </c>
      <c r="AU570" s="1">
        <f>IF(IFERROR(MATCH(Tabelle11[[#Headers],[Ton_L]],Spielauswertung!$B558:$E558,0),0)=0,AU569,INDEX(Spielauswertung!$AB558:$AE558,MATCH(Tabelle11[[#Headers],[Ton_L]],Spielauswertung!$B558:$E558,0))+AU569)</f>
        <v>92.683083360025861</v>
      </c>
      <c r="AV570" s="1">
        <f>IF(IFERROR(MATCH(Tabelle11[[#Headers],[Yixin_G]],Spielauswertung!$B558:$E558,0),0)=0,AV569,INDEX(Spielauswertung!$AB558:$AE558,MATCH(Tabelle11[[#Headers],[Yixin_G]],Spielauswertung!$B558:$E558,0))+AV569)</f>
        <v>99.900323214082661</v>
      </c>
      <c r="AW570" s="1">
        <f>IF(IFERROR(MATCH(Tabelle11[[#Headers],[Spalte36]],Spielauswertung!$B558:$E558,0),0)=0,AW569,INDEX(Spielauswertung!$AB558:$AE558,MATCH(Tabelle11[[#Headers],[Spalte36]],Spielauswertung!$B558:$E558,0))+AW569)</f>
        <v>100</v>
      </c>
      <c r="AX570" s="1">
        <f>IF(IFERROR(MATCH(Tabelle11[[#Headers],[Spalte37]],Spielauswertung!$B558:$E558,0),0)=0,AX569,INDEX(Spielauswertung!$AB558:$AE558,MATCH(Tabelle11[[#Headers],[Spalte37]],Spielauswertung!$B558:$E558,0))+AX569)</f>
        <v>100</v>
      </c>
      <c r="AY570" s="1">
        <f>IF(IFERROR(MATCH(Tabelle11[[#Headers],[Spalte38]],Spielauswertung!$B558:$E558,0),0)=0,AY569,INDEX(Spielauswertung!$AB558:$AE558,MATCH(Tabelle11[[#Headers],[Spalte38]],Spielauswertung!$B558:$E558,0))+AY569)</f>
        <v>100</v>
      </c>
      <c r="AZ570" s="1">
        <f>IF(IFERROR(MATCH(Tabelle11[[#Headers],[Spalte39]],Spielauswertung!$B558:$E558,0),0)=0,AZ569,INDEX(Spielauswertung!$AB558:$AE558,MATCH(Tabelle11[[#Headers],[Spalte39]],Spielauswertung!$B558:$E558,0))+AZ569)</f>
        <v>100</v>
      </c>
      <c r="BA570" s="1">
        <f>IF(IFERROR(MATCH(Tabelle11[[#Headers],[Spalte40]],Spielauswertung!$B558:$E558,0),0)=0,BA569,INDEX(Spielauswertung!$AB558:$AE558,MATCH(Tabelle11[[#Headers],[Spalte40]],Spielauswertung!$B558:$E558,0))+BA569)</f>
        <v>100</v>
      </c>
      <c r="BB570" s="1">
        <f>IF(IFERROR(MATCH(Tabelle11[[#Headers],[Spalte41]],Spielauswertung!$B558:$E558,0),0)=0,BB569,INDEX(Spielauswertung!$AB558:$AE558,MATCH(Tabelle11[[#Headers],[Spalte41]],Spielauswertung!$B558:$E558,0))+BB569)</f>
        <v>100</v>
      </c>
      <c r="BC570" s="1">
        <f>IF(IFERROR(MATCH(Tabelle11[[#Headers],[Spalte42]],Spielauswertung!$B558:$E558,0),0)=0,BC569,INDEX(Spielauswertung!$AB558:$AE558,MATCH(Tabelle11[[#Headers],[Spalte42]],Spielauswertung!$B558:$E558,0))+BC569)</f>
        <v>100</v>
      </c>
      <c r="BD570" s="1">
        <f>IF(IFERROR(MATCH(Tabelle11[[#Headers],[Spalte43]],Spielauswertung!$B558:$E558,0),0)=0,BD569,INDEX(Spielauswertung!$AB558:$AE558,MATCH(Tabelle11[[#Headers],[Spalte43]],Spielauswertung!$B558:$E558,0))+BD569)</f>
        <v>100</v>
      </c>
      <c r="BE570" s="1">
        <f>IF(IFERROR(MATCH(Tabelle11[[#Headers],[Spalte44]],Spielauswertung!$B558:$E558,0),0)=0,BE569,INDEX(Spielauswertung!$AB558:$AE558,MATCH(Tabelle11[[#Headers],[Spalte44]],Spielauswertung!$B558:$E558,0))+BE569)</f>
        <v>100</v>
      </c>
      <c r="BF570" s="1">
        <f>IF(IFERROR(MATCH(Tabelle11[[#Headers],[Spalte45]],Spielauswertung!$B558:$E558,0),0)=0,BF569,INDEX(Spielauswertung!$AB558:$AE558,MATCH(Tabelle11[[#Headers],[Spalte45]],Spielauswertung!$B558:$E558,0))+BF569)</f>
        <v>100</v>
      </c>
      <c r="BG570" s="1">
        <f>IF(IFERROR(MATCH(Tabelle11[[#Headers],[Spalte46]],Spielauswertung!$B558:$E558,0),0)=0,BG569,INDEX(Spielauswertung!$AB558:$AE558,MATCH(Tabelle11[[#Headers],[Spalte46]],Spielauswertung!$B558:$E558,0))+BG569)</f>
        <v>100</v>
      </c>
      <c r="BH570" s="1">
        <f>IF(IFERROR(MATCH(Tabelle11[[#Headers],[Spalte47]],Spielauswertung!$B558:$E558,0),0)=0,BH569,INDEX(Spielauswertung!$AB558:$AE558,MATCH(Tabelle11[[#Headers],[Spalte47]],Spielauswertung!$B558:$E558,0))+BH569)</f>
        <v>100</v>
      </c>
    </row>
    <row r="571" spans="1:60" x14ac:dyDescent="0.25">
      <c r="A571">
        <f t="shared" si="9"/>
        <v>558</v>
      </c>
      <c r="B571" s="1">
        <f>IF(IFERROR(MATCH(Tabelle11[[#Headers],[Aleix_V]],Spielauswertung!$B559:$E559,0),0)=0,B570,INDEX(Spielauswertung!$AB559:$AE559,MATCH(Tabelle11[[#Headers],[Aleix_V]],Spielauswertung!$B559:$E559,0))+B570)</f>
        <v>102.47318019444646</v>
      </c>
      <c r="C571" s="1">
        <f>IF(IFERROR(MATCH(Tabelle11[[#Headers],[Andres_H]],Spielauswertung!$B559:$E559,0),0)=0,C570,INDEX(Spielauswertung!$AB559:$AE559,MATCH(Tabelle11[[#Headers],[Andres_H]],Spielauswertung!$B559:$E559,0))+C570)</f>
        <v>95.535732339111306</v>
      </c>
      <c r="D571" s="1">
        <f>IF(IFERROR(MATCH(Tabelle11[[#Headers],[Anton_K]],Spielauswertung!$B559:$E559,0),0)=0,D570,INDEX(Spielauswertung!$AB559:$AE559,MATCH(Tabelle11[[#Headers],[Anton_K]],Spielauswertung!$B559:$E559,0))+D570)</f>
        <v>99.287728777054667</v>
      </c>
      <c r="E571" s="1">
        <f>IF(IFERROR(MATCH(Tabelle11[[#Headers],[Bastian_G]],Spielauswertung!$B559:$E559,0),0)=0,E570,INDEX(Spielauswertung!$AB559:$AE559,MATCH(Tabelle11[[#Headers],[Bastian_G]],Spielauswertung!$B559:$E559,0))+E570)</f>
        <v>117.49978695184252</v>
      </c>
      <c r="F571" s="1">
        <f>IF(IFERROR(MATCH(Tabelle11[[#Headers],[Ben_S]],Spielauswertung!$B559:$E559,0),0)=0,F570,INDEX(Spielauswertung!$AB559:$AE559,MATCH(Tabelle11[[#Headers],[Ben_S]],Spielauswertung!$B559:$E559,0))+F570)</f>
        <v>95.932799101521084</v>
      </c>
      <c r="G571" s="1">
        <f>IF(IFERROR(MATCH(Tabelle11[[#Headers],[Benedikt_K]],Spielauswertung!$B559:$E559,0),0)=0,G570,INDEX(Spielauswertung!$AB559:$AE559,MATCH(Tabelle11[[#Headers],[Benedikt_K]],Spielauswertung!$B559:$E559,0))+G570)</f>
        <v>101.20264176422626</v>
      </c>
      <c r="H571" s="1">
        <f>IF(IFERROR(MATCH(Tabelle11[[#Headers],[Benedikt_R]],Spielauswertung!$B559:$E559,0),0)=0,H570,INDEX(Spielauswertung!$AB559:$AE559,MATCH(Tabelle11[[#Headers],[Benedikt_R]],Spielauswertung!$B559:$E559,0))+H570)</f>
        <v>102.6264770510757</v>
      </c>
      <c r="I571" s="1">
        <f>IF(IFERROR(MATCH(Tabelle11[[#Headers],[Carsten_H]],Spielauswertung!$B559:$E559,0),0)=0,I570,INDEX(Spielauswertung!$AB559:$AE559,MATCH(Tabelle11[[#Headers],[Carsten_H]],Spielauswertung!$B559:$E559,0))+I570)</f>
        <v>90.817185094326874</v>
      </c>
      <c r="J571" s="1">
        <f>IF(IFERROR(MATCH(Tabelle11[[#Headers],[Christoph_R]],Spielauswertung!$B559:$E559,0),0)=0,J570,INDEX(Spielauswertung!$AB559:$AE559,MATCH(Tabelle11[[#Headers],[Christoph_R]],Spielauswertung!$B559:$E559,0))+J570)</f>
        <v>109.73261611443155</v>
      </c>
      <c r="K571" s="1">
        <f>IF(IFERROR(MATCH(Tabelle11[[#Headers],[Claudius_J]],Spielauswertung!$B559:$E559,0),0)=0,K570,INDEX(Spielauswertung!$AB559:$AE559,MATCH(Tabelle11[[#Headers],[Claudius_J]],Spielauswertung!$B559:$E559,0))+K570)</f>
        <v>106.16590636000029</v>
      </c>
      <c r="L571" s="1">
        <f>IF(IFERROR(MATCH(Tabelle11[[#Headers],[Daniel_D]],Spielauswertung!$B559:$E559,0),0)=0,L570,INDEX(Spielauswertung!$AB559:$AE559,MATCH(Tabelle11[[#Headers],[Daniel_D]],Spielauswertung!$B559:$E559,0))+L570)</f>
        <v>99.990299180470089</v>
      </c>
      <c r="M571" s="1">
        <f>IF(IFERROR(MATCH(Tabelle11[[#Headers],[David_R]],Spielauswertung!$B559:$E559,0),0)=0,M570,INDEX(Spielauswertung!$AB559:$AE559,MATCH(Tabelle11[[#Headers],[David_R]],Spielauswertung!$B559:$E559,0))+M570)</f>
        <v>96.715943522481638</v>
      </c>
      <c r="N571" s="1">
        <f>IF(IFERROR(MATCH(Tabelle11[[#Headers],[Dennis_P]],Spielauswertung!$B559:$E559,0),0)=0,N570,INDEX(Spielauswertung!$AB559:$AE559,MATCH(Tabelle11[[#Headers],[Dennis_P]],Spielauswertung!$B559:$E559,0))+N570)</f>
        <v>100.04773223105254</v>
      </c>
      <c r="O571" s="1">
        <f>IF(IFERROR(MATCH(Tabelle11[[#Headers],[Dennis_R]],Spielauswertung!$B559:$E559,0),0)=0,O570,INDEX(Spielauswertung!$AB559:$AE559,MATCH(Tabelle11[[#Headers],[Dennis_R]],Spielauswertung!$B559:$E559,0))+O570)</f>
        <v>75.131680864937195</v>
      </c>
      <c r="P571" s="1">
        <f>IF(IFERROR(MATCH(Tabelle11[[#Headers],[Detlef_R]],Spielauswertung!$B559:$E559,0),0)=0,P570,INDEX(Spielauswertung!$AB559:$AE559,MATCH(Tabelle11[[#Headers],[Detlef_R]],Spielauswertung!$B559:$E559,0))+P570)</f>
        <v>87.984671797367014</v>
      </c>
      <c r="Q571" s="1">
        <f>IF(IFERROR(MATCH(Tabelle11[[#Headers],[Dmitrij_M]],Spielauswertung!$B559:$E559,0),0)=0,Q570,INDEX(Spielauswertung!$AB559:$AE559,MATCH(Tabelle11[[#Headers],[Dmitrij_M]],Spielauswertung!$B559:$E559,0))+Q570)</f>
        <v>100.69975721846207</v>
      </c>
      <c r="R571" s="1">
        <f>IF(IFERROR(MATCH(Tabelle11[[#Headers],[Fabian_M]],Spielauswertung!$B559:$E559,0),0)=0,R570,INDEX(Spielauswertung!$AB559:$AE559,MATCH(Tabelle11[[#Headers],[Fabian_M]],Spielauswertung!$B559:$E559,0))+R570)</f>
        <v>95.805387841610738</v>
      </c>
      <c r="S571" s="1">
        <f>IF(IFERROR(MATCH(Tabelle11[[#Headers],[Hannes_S]],Spielauswertung!$B559:$E559,0),0)=0,S570,INDEX(Spielauswertung!$AB559:$AE559,MATCH(Tabelle11[[#Headers],[Hannes_S]],Spielauswertung!$B559:$E559,0))+S570)</f>
        <v>104.83899184012799</v>
      </c>
      <c r="T571" s="1">
        <f>IF(IFERROR(MATCH(Tabelle11[[#Headers],[Jan_B]],Spielauswertung!$B559:$E559,0),0)=0,T570,INDEX(Spielauswertung!$AB559:$AE559,MATCH(Tabelle11[[#Headers],[Jan_B]],Spielauswertung!$B559:$E559,0))+T570)</f>
        <v>100.2794420429173</v>
      </c>
      <c r="U571" s="1">
        <f>IF(IFERROR(MATCH(Tabelle11[[#Headers],[Jan_Hendrik_B]],Spielauswertung!$B559:$E559,0),0)=0,U570,INDEX(Spielauswertung!$AB559:$AE559,MATCH(Tabelle11[[#Headers],[Jan_Hendrik_B]],Spielauswertung!$B559:$E559,0))+U570)</f>
        <v>100.75492416935522</v>
      </c>
      <c r="V571" s="1">
        <f>IF(IFERROR(MATCH(Tabelle11[[#Headers],[Jens_N]],Spielauswertung!$B559:$E559,0),0)=0,V570,INDEX(Spielauswertung!$AB559:$AE559,MATCH(Tabelle11[[#Headers],[Jens_N]],Spielauswertung!$B559:$E559,0))+V570)</f>
        <v>99.643534710196832</v>
      </c>
      <c r="W571" s="1">
        <f>IF(IFERROR(MATCH(Tabelle11[[#Headers],[Johannes_S]],Spielauswertung!$B559:$E559,0),0)=0,W570,INDEX(Spielauswertung!$AB559:$AE559,MATCH(Tabelle11[[#Headers],[Johannes_S]],Spielauswertung!$B559:$E559,0))+W570)</f>
        <v>102.20284750979505</v>
      </c>
      <c r="X571" s="1">
        <f>IF(IFERROR(MATCH(Tabelle11[[#Headers],[Jonathan_F]],Spielauswertung!$B559:$E559,0),0)=0,X570,INDEX(Spielauswertung!$AB559:$AE559,MATCH(Tabelle11[[#Headers],[Jonathan_F]],Spielauswertung!$B559:$E559,0))+X570)</f>
        <v>98.938308797866256</v>
      </c>
      <c r="Y571" s="1">
        <f>IF(IFERROR(MATCH(Tabelle11[[#Headers],[Julius_P]],Spielauswertung!$B559:$E559,0),0)=0,Y570,INDEX(Spielauswertung!$AB559:$AE559,MATCH(Tabelle11[[#Headers],[Julius_P]],Spielauswertung!$B559:$E559,0))+Y570)</f>
        <v>96.540305101873642</v>
      </c>
      <c r="Z571" s="1">
        <f>IF(IFERROR(MATCH(Tabelle11[[#Headers],[Louis_W]],Spielauswertung!$B559:$E559,0),0)=0,Z570,INDEX(Spielauswertung!$AB559:$AE559,MATCH(Tabelle11[[#Headers],[Louis_W]],Spielauswertung!$B559:$E559,0))+Z570)</f>
        <v>87.497452285475362</v>
      </c>
      <c r="AA571" s="1">
        <f>IF(IFERROR(MATCH(Tabelle11[[#Headers],[Lukas_L]],Spielauswertung!$B559:$E559,0),0)=0,AA570,INDEX(Spielauswertung!$AB559:$AE559,MATCH(Tabelle11[[#Headers],[Lukas_L]],Spielauswertung!$B559:$E559,0))+AA570)</f>
        <v>98.447931341404143</v>
      </c>
      <c r="AB571" s="1">
        <f>IF(IFERROR(MATCH(Tabelle11[[#Headers],[Marcin_S]],Spielauswertung!$B559:$E559,0),0)=0,AB570,INDEX(Spielauswertung!$AB559:$AE559,MATCH(Tabelle11[[#Headers],[Marcin_S]],Spielauswertung!$B559:$E559,0))+AB570)</f>
        <v>85.463329105556824</v>
      </c>
      <c r="AC571" s="1">
        <f>IF(IFERROR(MATCH(Tabelle11[[#Headers],[Marco_K]],Spielauswertung!$B559:$E559,0),0)=0,AC570,INDEX(Spielauswertung!$AB559:$AE559,MATCH(Tabelle11[[#Headers],[Marco_K]],Spielauswertung!$B559:$E559,0))+AC570)</f>
        <v>102.12169819441469</v>
      </c>
      <c r="AD571" s="1">
        <f>IF(IFERROR(MATCH(Tabelle11[[#Headers],[Marius_M]],Spielauswertung!$B559:$E559,0),0)=0,AD570,INDEX(Spielauswertung!$AB559:$AE559,MATCH(Tabelle11[[#Headers],[Marius_M]],Spielauswertung!$B559:$E559,0))+AD570)</f>
        <v>124.54012374585781</v>
      </c>
      <c r="AE571" s="1">
        <f>IF(IFERROR(MATCH(Tabelle11[[#Headers],[Marvin_W]],Spielauswertung!$B559:$E559,0),0)=0,AE570,INDEX(Spielauswertung!$AB559:$AE559,MATCH(Tabelle11[[#Headers],[Marvin_W]],Spielauswertung!$B559:$E559,0))+AE570)</f>
        <v>96.700266280577438</v>
      </c>
      <c r="AF571" s="1">
        <f>IF(IFERROR(MATCH(Tabelle11[[#Headers],[Matthias_H]],Spielauswertung!$B559:$E559,0),0)=0,AF570,INDEX(Spielauswertung!$AB559:$AE559,MATCH(Tabelle11[[#Headers],[Matthias_H]],Spielauswertung!$B559:$E559,0))+AF570)</f>
        <v>105.42130178599372</v>
      </c>
      <c r="AG571" s="1">
        <f>IF(IFERROR(MATCH(Tabelle11[[#Headers],[Michael_D]],Spielauswertung!$B559:$E559,0),0)=0,AG570,INDEX(Spielauswertung!$AB559:$AE559,MATCH(Tabelle11[[#Headers],[Michael_D]],Spielauswertung!$B559:$E559,0))+AG570)</f>
        <v>96.436276170375336</v>
      </c>
      <c r="AH571" s="1">
        <f>IF(IFERROR(MATCH(Tabelle11[[#Headers],[Patrick_S]],Spielauswertung!$B559:$E559,0),0)=0,AH570,INDEX(Spielauswertung!$AB559:$AE559,MATCH(Tabelle11[[#Headers],[Patrick_S]],Spielauswertung!$B559:$E559,0))+AH570)</f>
        <v>98.975330692053802</v>
      </c>
      <c r="AI571" s="1">
        <f>IF(IFERROR(MATCH(Tabelle11[[#Headers],[Rano_M]],Spielauswertung!$B559:$E559,0),0)=0,AI570,INDEX(Spielauswertung!$AB559:$AE559,MATCH(Tabelle11[[#Headers],[Rano_M]],Spielauswertung!$B559:$E559,0))+AI570)</f>
        <v>109.38890657420265</v>
      </c>
      <c r="AJ571" s="1">
        <f>IF(IFERROR(MATCH(Tabelle11[[#Headers],[Rene_N]],Spielauswertung!$B559:$E559,0),0)=0,AJ570,INDEX(Spielauswertung!$AB559:$AE559,MATCH(Tabelle11[[#Headers],[Rene_N]],Spielauswertung!$B559:$E559,0))+AJ570)</f>
        <v>101.06482124619033</v>
      </c>
      <c r="AK571" s="1">
        <f>IF(IFERROR(MATCH(Tabelle11[[#Headers],[Rene_P]],Spielauswertung!$B559:$E559,0),0)=0,AK570,INDEX(Spielauswertung!$AB559:$AE559,MATCH(Tabelle11[[#Headers],[Rene_P]],Spielauswertung!$B559:$E559,0))+AK570)</f>
        <v>88.762543186332877</v>
      </c>
      <c r="AL571" s="1">
        <f>IF(IFERROR(MATCH(Tabelle11[[#Headers],[Richard_D]],Spielauswertung!$B559:$E559,0),0)=0,AL570,INDEX(Spielauswertung!$AB559:$AE559,MATCH(Tabelle11[[#Headers],[Richard_D]],Spielauswertung!$B559:$E559,0))+AL570)</f>
        <v>107.23233592026223</v>
      </c>
      <c r="AM571" s="1">
        <f>IF(IFERROR(MATCH(Tabelle11[[#Headers],[Rodrigo_R]],Spielauswertung!$B559:$E559,0),0)=0,AM570,INDEX(Spielauswertung!$AB559:$AE559,MATCH(Tabelle11[[#Headers],[Rodrigo_R]],Spielauswertung!$B559:$E559,0))+AM570)</f>
        <v>116.7028707921346</v>
      </c>
      <c r="AN571" s="1">
        <f>IF(IFERROR(MATCH(Tabelle11[[#Headers],[Sebastian_A]],Spielauswertung!$B559:$E559,0),0)=0,AN570,INDEX(Spielauswertung!$AB559:$AE559,MATCH(Tabelle11[[#Headers],[Sebastian_A]],Spielauswertung!$B559:$E559,0))+AN570)</f>
        <v>102.89457418671324</v>
      </c>
      <c r="AO571" s="1">
        <f>IF(IFERROR(MATCH(Tabelle11[[#Headers],[Sebastian_St]],Spielauswertung!$B559:$E559,0),0)=0,AO570,INDEX(Spielauswertung!$AB559:$AE559,MATCH(Tabelle11[[#Headers],[Sebastian_St]],Spielauswertung!$B559:$E559,0))+AO570)</f>
        <v>97.749574367408982</v>
      </c>
      <c r="AP571" s="1">
        <f>IF(IFERROR(MATCH(Tabelle11[[#Headers],[Simon_U]],Spielauswertung!$B559:$E559,0),0)=0,AP570,INDEX(Spielauswertung!$AB559:$AE559,MATCH(Tabelle11[[#Headers],[Simon_U]],Spielauswertung!$B559:$E559,0))+AP570)</f>
        <v>99.623054841470903</v>
      </c>
      <c r="AQ571" s="1">
        <f>IF(IFERROR(MATCH(Tabelle11[[#Headers],[Steffen_R]],Spielauswertung!$B559:$E559,0),0)=0,AQ570,INDEX(Spielauswertung!$AB559:$AE559,MATCH(Tabelle11[[#Headers],[Steffen_R]],Spielauswertung!$B559:$E559,0))+AQ570)</f>
        <v>93.247497067190949</v>
      </c>
      <c r="AR571" s="1">
        <f>IF(IFERROR(MATCH(Tabelle11[[#Headers],[Tim_R]],Spielauswertung!$B559:$E559,0),0)=0,AR570,INDEX(Spielauswertung!$AB559:$AE559,MATCH(Tabelle11[[#Headers],[Tim_R]],Spielauswertung!$B559:$E559,0))+AR570)</f>
        <v>103.07503787023374</v>
      </c>
      <c r="AS571" s="1">
        <f>IF(IFERROR(MATCH(Tabelle11[[#Headers],[Tobias_S]],Spielauswertung!$B559:$E559,0),0)=0,AS570,INDEX(Spielauswertung!$AB559:$AE559,MATCH(Tabelle11[[#Headers],[Tobias_S]],Spielauswertung!$B559:$E559,0))+AS570)</f>
        <v>98.6003422659997</v>
      </c>
      <c r="AT571" s="1">
        <f>IF(IFERROR(MATCH(Tabelle11[[#Headers],[Tom_R]],Spielauswertung!$B559:$E559,0),0)=0,AT570,INDEX(Spielauswertung!$AB559:$AE559,MATCH(Tabelle11[[#Headers],[Tom_R]],Spielauswertung!$B559:$E559,0))+AT570)</f>
        <v>112.62344492949197</v>
      </c>
      <c r="AU571" s="1">
        <f>IF(IFERROR(MATCH(Tabelle11[[#Headers],[Ton_L]],Spielauswertung!$B559:$E559,0),0)=0,AU570,INDEX(Spielauswertung!$AB559:$AE559,MATCH(Tabelle11[[#Headers],[Ton_L]],Spielauswertung!$B559:$E559,0))+AU570)</f>
        <v>92.683083360025861</v>
      </c>
      <c r="AV571" s="1">
        <f>IF(IFERROR(MATCH(Tabelle11[[#Headers],[Yixin_G]],Spielauswertung!$B559:$E559,0),0)=0,AV570,INDEX(Spielauswertung!$AB559:$AE559,MATCH(Tabelle11[[#Headers],[Yixin_G]],Spielauswertung!$B559:$E559,0))+AV570)</f>
        <v>99.900323214082661</v>
      </c>
      <c r="AW571" s="1">
        <f>IF(IFERROR(MATCH(Tabelle11[[#Headers],[Spalte36]],Spielauswertung!$B559:$E559,0),0)=0,AW570,INDEX(Spielauswertung!$AB559:$AE559,MATCH(Tabelle11[[#Headers],[Spalte36]],Spielauswertung!$B559:$E559,0))+AW570)</f>
        <v>100</v>
      </c>
      <c r="AX571" s="1">
        <f>IF(IFERROR(MATCH(Tabelle11[[#Headers],[Spalte37]],Spielauswertung!$B559:$E559,0),0)=0,AX570,INDEX(Spielauswertung!$AB559:$AE559,MATCH(Tabelle11[[#Headers],[Spalte37]],Spielauswertung!$B559:$E559,0))+AX570)</f>
        <v>100</v>
      </c>
      <c r="AY571" s="1">
        <f>IF(IFERROR(MATCH(Tabelle11[[#Headers],[Spalte38]],Spielauswertung!$B559:$E559,0),0)=0,AY570,INDEX(Spielauswertung!$AB559:$AE559,MATCH(Tabelle11[[#Headers],[Spalte38]],Spielauswertung!$B559:$E559,0))+AY570)</f>
        <v>100</v>
      </c>
      <c r="AZ571" s="1">
        <f>IF(IFERROR(MATCH(Tabelle11[[#Headers],[Spalte39]],Spielauswertung!$B559:$E559,0),0)=0,AZ570,INDEX(Spielauswertung!$AB559:$AE559,MATCH(Tabelle11[[#Headers],[Spalte39]],Spielauswertung!$B559:$E559,0))+AZ570)</f>
        <v>100</v>
      </c>
      <c r="BA571" s="1">
        <f>IF(IFERROR(MATCH(Tabelle11[[#Headers],[Spalte40]],Spielauswertung!$B559:$E559,0),0)=0,BA570,INDEX(Spielauswertung!$AB559:$AE559,MATCH(Tabelle11[[#Headers],[Spalte40]],Spielauswertung!$B559:$E559,0))+BA570)</f>
        <v>100</v>
      </c>
      <c r="BB571" s="1">
        <f>IF(IFERROR(MATCH(Tabelle11[[#Headers],[Spalte41]],Spielauswertung!$B559:$E559,0),0)=0,BB570,INDEX(Spielauswertung!$AB559:$AE559,MATCH(Tabelle11[[#Headers],[Spalte41]],Spielauswertung!$B559:$E559,0))+BB570)</f>
        <v>100</v>
      </c>
      <c r="BC571" s="1">
        <f>IF(IFERROR(MATCH(Tabelle11[[#Headers],[Spalte42]],Spielauswertung!$B559:$E559,0),0)=0,BC570,INDEX(Spielauswertung!$AB559:$AE559,MATCH(Tabelle11[[#Headers],[Spalte42]],Spielauswertung!$B559:$E559,0))+BC570)</f>
        <v>100</v>
      </c>
      <c r="BD571" s="1">
        <f>IF(IFERROR(MATCH(Tabelle11[[#Headers],[Spalte43]],Spielauswertung!$B559:$E559,0),0)=0,BD570,INDEX(Spielauswertung!$AB559:$AE559,MATCH(Tabelle11[[#Headers],[Spalte43]],Spielauswertung!$B559:$E559,0))+BD570)</f>
        <v>100</v>
      </c>
      <c r="BE571" s="1">
        <f>IF(IFERROR(MATCH(Tabelle11[[#Headers],[Spalte44]],Spielauswertung!$B559:$E559,0),0)=0,BE570,INDEX(Spielauswertung!$AB559:$AE559,MATCH(Tabelle11[[#Headers],[Spalte44]],Spielauswertung!$B559:$E559,0))+BE570)</f>
        <v>100</v>
      </c>
      <c r="BF571" s="1">
        <f>IF(IFERROR(MATCH(Tabelle11[[#Headers],[Spalte45]],Spielauswertung!$B559:$E559,0),0)=0,BF570,INDEX(Spielauswertung!$AB559:$AE559,MATCH(Tabelle11[[#Headers],[Spalte45]],Spielauswertung!$B559:$E559,0))+BF570)</f>
        <v>100</v>
      </c>
      <c r="BG571" s="1">
        <f>IF(IFERROR(MATCH(Tabelle11[[#Headers],[Spalte46]],Spielauswertung!$B559:$E559,0),0)=0,BG570,INDEX(Spielauswertung!$AB559:$AE559,MATCH(Tabelle11[[#Headers],[Spalte46]],Spielauswertung!$B559:$E559,0))+BG570)</f>
        <v>100</v>
      </c>
      <c r="BH571" s="1">
        <f>IF(IFERROR(MATCH(Tabelle11[[#Headers],[Spalte47]],Spielauswertung!$B559:$E559,0),0)=0,BH570,INDEX(Spielauswertung!$AB559:$AE559,MATCH(Tabelle11[[#Headers],[Spalte47]],Spielauswertung!$B559:$E559,0))+BH570)</f>
        <v>100</v>
      </c>
    </row>
    <row r="572" spans="1:60" x14ac:dyDescent="0.25">
      <c r="A572">
        <f t="shared" si="9"/>
        <v>559</v>
      </c>
      <c r="B572" s="1">
        <f>IF(IFERROR(MATCH(Tabelle11[[#Headers],[Aleix_V]],Spielauswertung!$B560:$E560,0),0)=0,B571,INDEX(Spielauswertung!$AB560:$AE560,MATCH(Tabelle11[[#Headers],[Aleix_V]],Spielauswertung!$B560:$E560,0))+B571)</f>
        <v>102.47318019444646</v>
      </c>
      <c r="C572" s="1">
        <f>IF(IFERROR(MATCH(Tabelle11[[#Headers],[Andres_H]],Spielauswertung!$B560:$E560,0),0)=0,C571,INDEX(Spielauswertung!$AB560:$AE560,MATCH(Tabelle11[[#Headers],[Andres_H]],Spielauswertung!$B560:$E560,0))+C571)</f>
        <v>95.535732339111306</v>
      </c>
      <c r="D572" s="1">
        <f>IF(IFERROR(MATCH(Tabelle11[[#Headers],[Anton_K]],Spielauswertung!$B560:$E560,0),0)=0,D571,INDEX(Spielauswertung!$AB560:$AE560,MATCH(Tabelle11[[#Headers],[Anton_K]],Spielauswertung!$B560:$E560,0))+D571)</f>
        <v>99.287728777054667</v>
      </c>
      <c r="E572" s="1">
        <f>IF(IFERROR(MATCH(Tabelle11[[#Headers],[Bastian_G]],Spielauswertung!$B560:$E560,0),0)=0,E571,INDEX(Spielauswertung!$AB560:$AE560,MATCH(Tabelle11[[#Headers],[Bastian_G]],Spielauswertung!$B560:$E560,0))+E571)</f>
        <v>117.49978695184252</v>
      </c>
      <c r="F572" s="1">
        <f>IF(IFERROR(MATCH(Tabelle11[[#Headers],[Ben_S]],Spielauswertung!$B560:$E560,0),0)=0,F571,INDEX(Spielauswertung!$AB560:$AE560,MATCH(Tabelle11[[#Headers],[Ben_S]],Spielauswertung!$B560:$E560,0))+F571)</f>
        <v>95.932799101521084</v>
      </c>
      <c r="G572" s="1">
        <f>IF(IFERROR(MATCH(Tabelle11[[#Headers],[Benedikt_K]],Spielauswertung!$B560:$E560,0),0)=0,G571,INDEX(Spielauswertung!$AB560:$AE560,MATCH(Tabelle11[[#Headers],[Benedikt_K]],Spielauswertung!$B560:$E560,0))+G571)</f>
        <v>101.20264176422626</v>
      </c>
      <c r="H572" s="1">
        <f>IF(IFERROR(MATCH(Tabelle11[[#Headers],[Benedikt_R]],Spielauswertung!$B560:$E560,0),0)=0,H571,INDEX(Spielauswertung!$AB560:$AE560,MATCH(Tabelle11[[#Headers],[Benedikt_R]],Spielauswertung!$B560:$E560,0))+H571)</f>
        <v>102.6264770510757</v>
      </c>
      <c r="I572" s="1">
        <f>IF(IFERROR(MATCH(Tabelle11[[#Headers],[Carsten_H]],Spielauswertung!$B560:$E560,0),0)=0,I571,INDEX(Spielauswertung!$AB560:$AE560,MATCH(Tabelle11[[#Headers],[Carsten_H]],Spielauswertung!$B560:$E560,0))+I571)</f>
        <v>90.817185094326874</v>
      </c>
      <c r="J572" s="1">
        <f>IF(IFERROR(MATCH(Tabelle11[[#Headers],[Christoph_R]],Spielauswertung!$B560:$E560,0),0)=0,J571,INDEX(Spielauswertung!$AB560:$AE560,MATCH(Tabelle11[[#Headers],[Christoph_R]],Spielauswertung!$B560:$E560,0))+J571)</f>
        <v>109.73261611443155</v>
      </c>
      <c r="K572" s="1">
        <f>IF(IFERROR(MATCH(Tabelle11[[#Headers],[Claudius_J]],Spielauswertung!$B560:$E560,0),0)=0,K571,INDEX(Spielauswertung!$AB560:$AE560,MATCH(Tabelle11[[#Headers],[Claudius_J]],Spielauswertung!$B560:$E560,0))+K571)</f>
        <v>106.16590636000029</v>
      </c>
      <c r="L572" s="1">
        <f>IF(IFERROR(MATCH(Tabelle11[[#Headers],[Daniel_D]],Spielauswertung!$B560:$E560,0),0)=0,L571,INDEX(Spielauswertung!$AB560:$AE560,MATCH(Tabelle11[[#Headers],[Daniel_D]],Spielauswertung!$B560:$E560,0))+L571)</f>
        <v>99.990299180470089</v>
      </c>
      <c r="M572" s="1">
        <f>IF(IFERROR(MATCH(Tabelle11[[#Headers],[David_R]],Spielauswertung!$B560:$E560,0),0)=0,M571,INDEX(Spielauswertung!$AB560:$AE560,MATCH(Tabelle11[[#Headers],[David_R]],Spielauswertung!$B560:$E560,0))+M571)</f>
        <v>96.715943522481638</v>
      </c>
      <c r="N572" s="1">
        <f>IF(IFERROR(MATCH(Tabelle11[[#Headers],[Dennis_P]],Spielauswertung!$B560:$E560,0),0)=0,N571,INDEX(Spielauswertung!$AB560:$AE560,MATCH(Tabelle11[[#Headers],[Dennis_P]],Spielauswertung!$B560:$E560,0))+N571)</f>
        <v>100.04773223105254</v>
      </c>
      <c r="O572" s="1">
        <f>IF(IFERROR(MATCH(Tabelle11[[#Headers],[Dennis_R]],Spielauswertung!$B560:$E560,0),0)=0,O571,INDEX(Spielauswertung!$AB560:$AE560,MATCH(Tabelle11[[#Headers],[Dennis_R]],Spielauswertung!$B560:$E560,0))+O571)</f>
        <v>75.131680864937195</v>
      </c>
      <c r="P572" s="1">
        <f>IF(IFERROR(MATCH(Tabelle11[[#Headers],[Detlef_R]],Spielauswertung!$B560:$E560,0),0)=0,P571,INDEX(Spielauswertung!$AB560:$AE560,MATCH(Tabelle11[[#Headers],[Detlef_R]],Spielauswertung!$B560:$E560,0))+P571)</f>
        <v>87.984671797367014</v>
      </c>
      <c r="Q572" s="1">
        <f>IF(IFERROR(MATCH(Tabelle11[[#Headers],[Dmitrij_M]],Spielauswertung!$B560:$E560,0),0)=0,Q571,INDEX(Spielauswertung!$AB560:$AE560,MATCH(Tabelle11[[#Headers],[Dmitrij_M]],Spielauswertung!$B560:$E560,0))+Q571)</f>
        <v>100.69975721846207</v>
      </c>
      <c r="R572" s="1">
        <f>IF(IFERROR(MATCH(Tabelle11[[#Headers],[Fabian_M]],Spielauswertung!$B560:$E560,0),0)=0,R571,INDEX(Spielauswertung!$AB560:$AE560,MATCH(Tabelle11[[#Headers],[Fabian_M]],Spielauswertung!$B560:$E560,0))+R571)</f>
        <v>95.805387841610738</v>
      </c>
      <c r="S572" s="1">
        <f>IF(IFERROR(MATCH(Tabelle11[[#Headers],[Hannes_S]],Spielauswertung!$B560:$E560,0),0)=0,S571,INDEX(Spielauswertung!$AB560:$AE560,MATCH(Tabelle11[[#Headers],[Hannes_S]],Spielauswertung!$B560:$E560,0))+S571)</f>
        <v>104.83899184012799</v>
      </c>
      <c r="T572" s="1">
        <f>IF(IFERROR(MATCH(Tabelle11[[#Headers],[Jan_B]],Spielauswertung!$B560:$E560,0),0)=0,T571,INDEX(Spielauswertung!$AB560:$AE560,MATCH(Tabelle11[[#Headers],[Jan_B]],Spielauswertung!$B560:$E560,0))+T571)</f>
        <v>100.2794420429173</v>
      </c>
      <c r="U572" s="1">
        <f>IF(IFERROR(MATCH(Tabelle11[[#Headers],[Jan_Hendrik_B]],Spielauswertung!$B560:$E560,0),0)=0,U571,INDEX(Spielauswertung!$AB560:$AE560,MATCH(Tabelle11[[#Headers],[Jan_Hendrik_B]],Spielauswertung!$B560:$E560,0))+U571)</f>
        <v>100.75492416935522</v>
      </c>
      <c r="V572" s="1">
        <f>IF(IFERROR(MATCH(Tabelle11[[#Headers],[Jens_N]],Spielauswertung!$B560:$E560,0),0)=0,V571,INDEX(Spielauswertung!$AB560:$AE560,MATCH(Tabelle11[[#Headers],[Jens_N]],Spielauswertung!$B560:$E560,0))+V571)</f>
        <v>99.643534710196832</v>
      </c>
      <c r="W572" s="1">
        <f>IF(IFERROR(MATCH(Tabelle11[[#Headers],[Johannes_S]],Spielauswertung!$B560:$E560,0),0)=0,W571,INDEX(Spielauswertung!$AB560:$AE560,MATCH(Tabelle11[[#Headers],[Johannes_S]],Spielauswertung!$B560:$E560,0))+W571)</f>
        <v>102.20284750979505</v>
      </c>
      <c r="X572" s="1">
        <f>IF(IFERROR(MATCH(Tabelle11[[#Headers],[Jonathan_F]],Spielauswertung!$B560:$E560,0),0)=0,X571,INDEX(Spielauswertung!$AB560:$AE560,MATCH(Tabelle11[[#Headers],[Jonathan_F]],Spielauswertung!$B560:$E560,0))+X571)</f>
        <v>98.938308797866256</v>
      </c>
      <c r="Y572" s="1">
        <f>IF(IFERROR(MATCH(Tabelle11[[#Headers],[Julius_P]],Spielauswertung!$B560:$E560,0),0)=0,Y571,INDEX(Spielauswertung!$AB560:$AE560,MATCH(Tabelle11[[#Headers],[Julius_P]],Spielauswertung!$B560:$E560,0))+Y571)</f>
        <v>96.540305101873642</v>
      </c>
      <c r="Z572" s="1">
        <f>IF(IFERROR(MATCH(Tabelle11[[#Headers],[Louis_W]],Spielauswertung!$B560:$E560,0),0)=0,Z571,INDEX(Spielauswertung!$AB560:$AE560,MATCH(Tabelle11[[#Headers],[Louis_W]],Spielauswertung!$B560:$E560,0))+Z571)</f>
        <v>87.497452285475362</v>
      </c>
      <c r="AA572" s="1">
        <f>IF(IFERROR(MATCH(Tabelle11[[#Headers],[Lukas_L]],Spielauswertung!$B560:$E560,0),0)=0,AA571,INDEX(Spielauswertung!$AB560:$AE560,MATCH(Tabelle11[[#Headers],[Lukas_L]],Spielauswertung!$B560:$E560,0))+AA571)</f>
        <v>98.447931341404143</v>
      </c>
      <c r="AB572" s="1">
        <f>IF(IFERROR(MATCH(Tabelle11[[#Headers],[Marcin_S]],Spielauswertung!$B560:$E560,0),0)=0,AB571,INDEX(Spielauswertung!$AB560:$AE560,MATCH(Tabelle11[[#Headers],[Marcin_S]],Spielauswertung!$B560:$E560,0))+AB571)</f>
        <v>85.463329105556824</v>
      </c>
      <c r="AC572" s="1">
        <f>IF(IFERROR(MATCH(Tabelle11[[#Headers],[Marco_K]],Spielauswertung!$B560:$E560,0),0)=0,AC571,INDEX(Spielauswertung!$AB560:$AE560,MATCH(Tabelle11[[#Headers],[Marco_K]],Spielauswertung!$B560:$E560,0))+AC571)</f>
        <v>102.12169819441469</v>
      </c>
      <c r="AD572" s="1">
        <f>IF(IFERROR(MATCH(Tabelle11[[#Headers],[Marius_M]],Spielauswertung!$B560:$E560,0),0)=0,AD571,INDEX(Spielauswertung!$AB560:$AE560,MATCH(Tabelle11[[#Headers],[Marius_M]],Spielauswertung!$B560:$E560,0))+AD571)</f>
        <v>124.54012374585781</v>
      </c>
      <c r="AE572" s="1">
        <f>IF(IFERROR(MATCH(Tabelle11[[#Headers],[Marvin_W]],Spielauswertung!$B560:$E560,0),0)=0,AE571,INDEX(Spielauswertung!$AB560:$AE560,MATCH(Tabelle11[[#Headers],[Marvin_W]],Spielauswertung!$B560:$E560,0))+AE571)</f>
        <v>96.700266280577438</v>
      </c>
      <c r="AF572" s="1">
        <f>IF(IFERROR(MATCH(Tabelle11[[#Headers],[Matthias_H]],Spielauswertung!$B560:$E560,0),0)=0,AF571,INDEX(Spielauswertung!$AB560:$AE560,MATCH(Tabelle11[[#Headers],[Matthias_H]],Spielauswertung!$B560:$E560,0))+AF571)</f>
        <v>105.42130178599372</v>
      </c>
      <c r="AG572" s="1">
        <f>IF(IFERROR(MATCH(Tabelle11[[#Headers],[Michael_D]],Spielauswertung!$B560:$E560,0),0)=0,AG571,INDEX(Spielauswertung!$AB560:$AE560,MATCH(Tabelle11[[#Headers],[Michael_D]],Spielauswertung!$B560:$E560,0))+AG571)</f>
        <v>96.436276170375336</v>
      </c>
      <c r="AH572" s="1">
        <f>IF(IFERROR(MATCH(Tabelle11[[#Headers],[Patrick_S]],Spielauswertung!$B560:$E560,0),0)=0,AH571,INDEX(Spielauswertung!$AB560:$AE560,MATCH(Tabelle11[[#Headers],[Patrick_S]],Spielauswertung!$B560:$E560,0))+AH571)</f>
        <v>98.975330692053802</v>
      </c>
      <c r="AI572" s="1">
        <f>IF(IFERROR(MATCH(Tabelle11[[#Headers],[Rano_M]],Spielauswertung!$B560:$E560,0),0)=0,AI571,INDEX(Spielauswertung!$AB560:$AE560,MATCH(Tabelle11[[#Headers],[Rano_M]],Spielauswertung!$B560:$E560,0))+AI571)</f>
        <v>109.38890657420265</v>
      </c>
      <c r="AJ572" s="1">
        <f>IF(IFERROR(MATCH(Tabelle11[[#Headers],[Rene_N]],Spielauswertung!$B560:$E560,0),0)=0,AJ571,INDEX(Spielauswertung!$AB560:$AE560,MATCH(Tabelle11[[#Headers],[Rene_N]],Spielauswertung!$B560:$E560,0))+AJ571)</f>
        <v>101.06482124619033</v>
      </c>
      <c r="AK572" s="1">
        <f>IF(IFERROR(MATCH(Tabelle11[[#Headers],[Rene_P]],Spielauswertung!$B560:$E560,0),0)=0,AK571,INDEX(Spielauswertung!$AB560:$AE560,MATCH(Tabelle11[[#Headers],[Rene_P]],Spielauswertung!$B560:$E560,0))+AK571)</f>
        <v>88.762543186332877</v>
      </c>
      <c r="AL572" s="1">
        <f>IF(IFERROR(MATCH(Tabelle11[[#Headers],[Richard_D]],Spielauswertung!$B560:$E560,0),0)=0,AL571,INDEX(Spielauswertung!$AB560:$AE560,MATCH(Tabelle11[[#Headers],[Richard_D]],Spielauswertung!$B560:$E560,0))+AL571)</f>
        <v>107.23233592026223</v>
      </c>
      <c r="AM572" s="1">
        <f>IF(IFERROR(MATCH(Tabelle11[[#Headers],[Rodrigo_R]],Spielauswertung!$B560:$E560,0),0)=0,AM571,INDEX(Spielauswertung!$AB560:$AE560,MATCH(Tabelle11[[#Headers],[Rodrigo_R]],Spielauswertung!$B560:$E560,0))+AM571)</f>
        <v>116.7028707921346</v>
      </c>
      <c r="AN572" s="1">
        <f>IF(IFERROR(MATCH(Tabelle11[[#Headers],[Sebastian_A]],Spielauswertung!$B560:$E560,0),0)=0,AN571,INDEX(Spielauswertung!$AB560:$AE560,MATCH(Tabelle11[[#Headers],[Sebastian_A]],Spielauswertung!$B560:$E560,0))+AN571)</f>
        <v>102.89457418671324</v>
      </c>
      <c r="AO572" s="1">
        <f>IF(IFERROR(MATCH(Tabelle11[[#Headers],[Sebastian_St]],Spielauswertung!$B560:$E560,0),0)=0,AO571,INDEX(Spielauswertung!$AB560:$AE560,MATCH(Tabelle11[[#Headers],[Sebastian_St]],Spielauswertung!$B560:$E560,0))+AO571)</f>
        <v>97.749574367408982</v>
      </c>
      <c r="AP572" s="1">
        <f>IF(IFERROR(MATCH(Tabelle11[[#Headers],[Simon_U]],Spielauswertung!$B560:$E560,0),0)=0,AP571,INDEX(Spielauswertung!$AB560:$AE560,MATCH(Tabelle11[[#Headers],[Simon_U]],Spielauswertung!$B560:$E560,0))+AP571)</f>
        <v>99.623054841470903</v>
      </c>
      <c r="AQ572" s="1">
        <f>IF(IFERROR(MATCH(Tabelle11[[#Headers],[Steffen_R]],Spielauswertung!$B560:$E560,0),0)=0,AQ571,INDEX(Spielauswertung!$AB560:$AE560,MATCH(Tabelle11[[#Headers],[Steffen_R]],Spielauswertung!$B560:$E560,0))+AQ571)</f>
        <v>93.247497067190949</v>
      </c>
      <c r="AR572" s="1">
        <f>IF(IFERROR(MATCH(Tabelle11[[#Headers],[Tim_R]],Spielauswertung!$B560:$E560,0),0)=0,AR571,INDEX(Spielauswertung!$AB560:$AE560,MATCH(Tabelle11[[#Headers],[Tim_R]],Spielauswertung!$B560:$E560,0))+AR571)</f>
        <v>103.07503787023374</v>
      </c>
      <c r="AS572" s="1">
        <f>IF(IFERROR(MATCH(Tabelle11[[#Headers],[Tobias_S]],Spielauswertung!$B560:$E560,0),0)=0,AS571,INDEX(Spielauswertung!$AB560:$AE560,MATCH(Tabelle11[[#Headers],[Tobias_S]],Spielauswertung!$B560:$E560,0))+AS571)</f>
        <v>98.6003422659997</v>
      </c>
      <c r="AT572" s="1">
        <f>IF(IFERROR(MATCH(Tabelle11[[#Headers],[Tom_R]],Spielauswertung!$B560:$E560,0),0)=0,AT571,INDEX(Spielauswertung!$AB560:$AE560,MATCH(Tabelle11[[#Headers],[Tom_R]],Spielauswertung!$B560:$E560,0))+AT571)</f>
        <v>112.62344492949197</v>
      </c>
      <c r="AU572" s="1">
        <f>IF(IFERROR(MATCH(Tabelle11[[#Headers],[Ton_L]],Spielauswertung!$B560:$E560,0),0)=0,AU571,INDEX(Spielauswertung!$AB560:$AE560,MATCH(Tabelle11[[#Headers],[Ton_L]],Spielauswertung!$B560:$E560,0))+AU571)</f>
        <v>92.683083360025861</v>
      </c>
      <c r="AV572" s="1">
        <f>IF(IFERROR(MATCH(Tabelle11[[#Headers],[Yixin_G]],Spielauswertung!$B560:$E560,0),0)=0,AV571,INDEX(Spielauswertung!$AB560:$AE560,MATCH(Tabelle11[[#Headers],[Yixin_G]],Spielauswertung!$B560:$E560,0))+AV571)</f>
        <v>99.900323214082661</v>
      </c>
      <c r="AW572" s="1">
        <f>IF(IFERROR(MATCH(Tabelle11[[#Headers],[Spalte36]],Spielauswertung!$B560:$E560,0),0)=0,AW571,INDEX(Spielauswertung!$AB560:$AE560,MATCH(Tabelle11[[#Headers],[Spalte36]],Spielauswertung!$B560:$E560,0))+AW571)</f>
        <v>100</v>
      </c>
      <c r="AX572" s="1">
        <f>IF(IFERROR(MATCH(Tabelle11[[#Headers],[Spalte37]],Spielauswertung!$B560:$E560,0),0)=0,AX571,INDEX(Spielauswertung!$AB560:$AE560,MATCH(Tabelle11[[#Headers],[Spalte37]],Spielauswertung!$B560:$E560,0))+AX571)</f>
        <v>100</v>
      </c>
      <c r="AY572" s="1">
        <f>IF(IFERROR(MATCH(Tabelle11[[#Headers],[Spalte38]],Spielauswertung!$B560:$E560,0),0)=0,AY571,INDEX(Spielauswertung!$AB560:$AE560,MATCH(Tabelle11[[#Headers],[Spalte38]],Spielauswertung!$B560:$E560,0))+AY571)</f>
        <v>100</v>
      </c>
      <c r="AZ572" s="1">
        <f>IF(IFERROR(MATCH(Tabelle11[[#Headers],[Spalte39]],Spielauswertung!$B560:$E560,0),0)=0,AZ571,INDEX(Spielauswertung!$AB560:$AE560,MATCH(Tabelle11[[#Headers],[Spalte39]],Spielauswertung!$B560:$E560,0))+AZ571)</f>
        <v>100</v>
      </c>
      <c r="BA572" s="1">
        <f>IF(IFERROR(MATCH(Tabelle11[[#Headers],[Spalte40]],Spielauswertung!$B560:$E560,0),0)=0,BA571,INDEX(Spielauswertung!$AB560:$AE560,MATCH(Tabelle11[[#Headers],[Spalte40]],Spielauswertung!$B560:$E560,0))+BA571)</f>
        <v>100</v>
      </c>
      <c r="BB572" s="1">
        <f>IF(IFERROR(MATCH(Tabelle11[[#Headers],[Spalte41]],Spielauswertung!$B560:$E560,0),0)=0,BB571,INDEX(Spielauswertung!$AB560:$AE560,MATCH(Tabelle11[[#Headers],[Spalte41]],Spielauswertung!$B560:$E560,0))+BB571)</f>
        <v>100</v>
      </c>
      <c r="BC572" s="1">
        <f>IF(IFERROR(MATCH(Tabelle11[[#Headers],[Spalte42]],Spielauswertung!$B560:$E560,0),0)=0,BC571,INDEX(Spielauswertung!$AB560:$AE560,MATCH(Tabelle11[[#Headers],[Spalte42]],Spielauswertung!$B560:$E560,0))+BC571)</f>
        <v>100</v>
      </c>
      <c r="BD572" s="1">
        <f>IF(IFERROR(MATCH(Tabelle11[[#Headers],[Spalte43]],Spielauswertung!$B560:$E560,0),0)=0,BD571,INDEX(Spielauswertung!$AB560:$AE560,MATCH(Tabelle11[[#Headers],[Spalte43]],Spielauswertung!$B560:$E560,0))+BD571)</f>
        <v>100</v>
      </c>
      <c r="BE572" s="1">
        <f>IF(IFERROR(MATCH(Tabelle11[[#Headers],[Spalte44]],Spielauswertung!$B560:$E560,0),0)=0,BE571,INDEX(Spielauswertung!$AB560:$AE560,MATCH(Tabelle11[[#Headers],[Spalte44]],Spielauswertung!$B560:$E560,0))+BE571)</f>
        <v>100</v>
      </c>
      <c r="BF572" s="1">
        <f>IF(IFERROR(MATCH(Tabelle11[[#Headers],[Spalte45]],Spielauswertung!$B560:$E560,0),0)=0,BF571,INDEX(Spielauswertung!$AB560:$AE560,MATCH(Tabelle11[[#Headers],[Spalte45]],Spielauswertung!$B560:$E560,0))+BF571)</f>
        <v>100</v>
      </c>
      <c r="BG572" s="1">
        <f>IF(IFERROR(MATCH(Tabelle11[[#Headers],[Spalte46]],Spielauswertung!$B560:$E560,0),0)=0,BG571,INDEX(Spielauswertung!$AB560:$AE560,MATCH(Tabelle11[[#Headers],[Spalte46]],Spielauswertung!$B560:$E560,0))+BG571)</f>
        <v>100</v>
      </c>
      <c r="BH572" s="1">
        <f>IF(IFERROR(MATCH(Tabelle11[[#Headers],[Spalte47]],Spielauswertung!$B560:$E560,0),0)=0,BH571,INDEX(Spielauswertung!$AB560:$AE560,MATCH(Tabelle11[[#Headers],[Spalte47]],Spielauswertung!$B560:$E560,0))+BH571)</f>
        <v>100</v>
      </c>
    </row>
    <row r="573" spans="1:60" x14ac:dyDescent="0.25">
      <c r="A573">
        <f t="shared" si="9"/>
        <v>560</v>
      </c>
      <c r="B573" s="1">
        <f>IF(IFERROR(MATCH(Tabelle11[[#Headers],[Aleix_V]],Spielauswertung!$B561:$E561,0),0)=0,B572,INDEX(Spielauswertung!$AB561:$AE561,MATCH(Tabelle11[[#Headers],[Aleix_V]],Spielauswertung!$B561:$E561,0))+B572)</f>
        <v>102.47318019444646</v>
      </c>
      <c r="C573" s="1">
        <f>IF(IFERROR(MATCH(Tabelle11[[#Headers],[Andres_H]],Spielauswertung!$B561:$E561,0),0)=0,C572,INDEX(Spielauswertung!$AB561:$AE561,MATCH(Tabelle11[[#Headers],[Andres_H]],Spielauswertung!$B561:$E561,0))+C572)</f>
        <v>95.535732339111306</v>
      </c>
      <c r="D573" s="1">
        <f>IF(IFERROR(MATCH(Tabelle11[[#Headers],[Anton_K]],Spielauswertung!$B561:$E561,0),0)=0,D572,INDEX(Spielauswertung!$AB561:$AE561,MATCH(Tabelle11[[#Headers],[Anton_K]],Spielauswertung!$B561:$E561,0))+D572)</f>
        <v>99.287728777054667</v>
      </c>
      <c r="E573" s="1">
        <f>IF(IFERROR(MATCH(Tabelle11[[#Headers],[Bastian_G]],Spielauswertung!$B561:$E561,0),0)=0,E572,INDEX(Spielauswertung!$AB561:$AE561,MATCH(Tabelle11[[#Headers],[Bastian_G]],Spielauswertung!$B561:$E561,0))+E572)</f>
        <v>117.49978695184252</v>
      </c>
      <c r="F573" s="1">
        <f>IF(IFERROR(MATCH(Tabelle11[[#Headers],[Ben_S]],Spielauswertung!$B561:$E561,0),0)=0,F572,INDEX(Spielauswertung!$AB561:$AE561,MATCH(Tabelle11[[#Headers],[Ben_S]],Spielauswertung!$B561:$E561,0))+F572)</f>
        <v>95.932799101521084</v>
      </c>
      <c r="G573" s="1">
        <f>IF(IFERROR(MATCH(Tabelle11[[#Headers],[Benedikt_K]],Spielauswertung!$B561:$E561,0),0)=0,G572,INDEX(Spielauswertung!$AB561:$AE561,MATCH(Tabelle11[[#Headers],[Benedikt_K]],Spielauswertung!$B561:$E561,0))+G572)</f>
        <v>101.20264176422626</v>
      </c>
      <c r="H573" s="1">
        <f>IF(IFERROR(MATCH(Tabelle11[[#Headers],[Benedikt_R]],Spielauswertung!$B561:$E561,0),0)=0,H572,INDEX(Spielauswertung!$AB561:$AE561,MATCH(Tabelle11[[#Headers],[Benedikt_R]],Spielauswertung!$B561:$E561,0))+H572)</f>
        <v>102.6264770510757</v>
      </c>
      <c r="I573" s="1">
        <f>IF(IFERROR(MATCH(Tabelle11[[#Headers],[Carsten_H]],Spielauswertung!$B561:$E561,0),0)=0,I572,INDEX(Spielauswertung!$AB561:$AE561,MATCH(Tabelle11[[#Headers],[Carsten_H]],Spielauswertung!$B561:$E561,0))+I572)</f>
        <v>90.817185094326874</v>
      </c>
      <c r="J573" s="1">
        <f>IF(IFERROR(MATCH(Tabelle11[[#Headers],[Christoph_R]],Spielauswertung!$B561:$E561,0),0)=0,J572,INDEX(Spielauswertung!$AB561:$AE561,MATCH(Tabelle11[[#Headers],[Christoph_R]],Spielauswertung!$B561:$E561,0))+J572)</f>
        <v>109.73261611443155</v>
      </c>
      <c r="K573" s="1">
        <f>IF(IFERROR(MATCH(Tabelle11[[#Headers],[Claudius_J]],Spielauswertung!$B561:$E561,0),0)=0,K572,INDEX(Spielauswertung!$AB561:$AE561,MATCH(Tabelle11[[#Headers],[Claudius_J]],Spielauswertung!$B561:$E561,0))+K572)</f>
        <v>106.16590636000029</v>
      </c>
      <c r="L573" s="1">
        <f>IF(IFERROR(MATCH(Tabelle11[[#Headers],[Daniel_D]],Spielauswertung!$B561:$E561,0),0)=0,L572,INDEX(Spielauswertung!$AB561:$AE561,MATCH(Tabelle11[[#Headers],[Daniel_D]],Spielauswertung!$B561:$E561,0))+L572)</f>
        <v>99.990299180470089</v>
      </c>
      <c r="M573" s="1">
        <f>IF(IFERROR(MATCH(Tabelle11[[#Headers],[David_R]],Spielauswertung!$B561:$E561,0),0)=0,M572,INDEX(Spielauswertung!$AB561:$AE561,MATCH(Tabelle11[[#Headers],[David_R]],Spielauswertung!$B561:$E561,0))+M572)</f>
        <v>96.715943522481638</v>
      </c>
      <c r="N573" s="1">
        <f>IF(IFERROR(MATCH(Tabelle11[[#Headers],[Dennis_P]],Spielauswertung!$B561:$E561,0),0)=0,N572,INDEX(Spielauswertung!$AB561:$AE561,MATCH(Tabelle11[[#Headers],[Dennis_P]],Spielauswertung!$B561:$E561,0))+N572)</f>
        <v>100.04773223105254</v>
      </c>
      <c r="O573" s="1">
        <f>IF(IFERROR(MATCH(Tabelle11[[#Headers],[Dennis_R]],Spielauswertung!$B561:$E561,0),0)=0,O572,INDEX(Spielauswertung!$AB561:$AE561,MATCH(Tabelle11[[#Headers],[Dennis_R]],Spielauswertung!$B561:$E561,0))+O572)</f>
        <v>75.131680864937195</v>
      </c>
      <c r="P573" s="1">
        <f>IF(IFERROR(MATCH(Tabelle11[[#Headers],[Detlef_R]],Spielauswertung!$B561:$E561,0),0)=0,P572,INDEX(Spielauswertung!$AB561:$AE561,MATCH(Tabelle11[[#Headers],[Detlef_R]],Spielauswertung!$B561:$E561,0))+P572)</f>
        <v>87.984671797367014</v>
      </c>
      <c r="Q573" s="1">
        <f>IF(IFERROR(MATCH(Tabelle11[[#Headers],[Dmitrij_M]],Spielauswertung!$B561:$E561,0),0)=0,Q572,INDEX(Spielauswertung!$AB561:$AE561,MATCH(Tabelle11[[#Headers],[Dmitrij_M]],Spielauswertung!$B561:$E561,0))+Q572)</f>
        <v>100.69975721846207</v>
      </c>
      <c r="R573" s="1">
        <f>IF(IFERROR(MATCH(Tabelle11[[#Headers],[Fabian_M]],Spielauswertung!$B561:$E561,0),0)=0,R572,INDEX(Spielauswertung!$AB561:$AE561,MATCH(Tabelle11[[#Headers],[Fabian_M]],Spielauswertung!$B561:$E561,0))+R572)</f>
        <v>95.805387841610738</v>
      </c>
      <c r="S573" s="1">
        <f>IF(IFERROR(MATCH(Tabelle11[[#Headers],[Hannes_S]],Spielauswertung!$B561:$E561,0),0)=0,S572,INDEX(Spielauswertung!$AB561:$AE561,MATCH(Tabelle11[[#Headers],[Hannes_S]],Spielauswertung!$B561:$E561,0))+S572)</f>
        <v>104.83899184012799</v>
      </c>
      <c r="T573" s="1">
        <f>IF(IFERROR(MATCH(Tabelle11[[#Headers],[Jan_B]],Spielauswertung!$B561:$E561,0),0)=0,T572,INDEX(Spielauswertung!$AB561:$AE561,MATCH(Tabelle11[[#Headers],[Jan_B]],Spielauswertung!$B561:$E561,0))+T572)</f>
        <v>100.2794420429173</v>
      </c>
      <c r="U573" s="1">
        <f>IF(IFERROR(MATCH(Tabelle11[[#Headers],[Jan_Hendrik_B]],Spielauswertung!$B561:$E561,0),0)=0,U572,INDEX(Spielauswertung!$AB561:$AE561,MATCH(Tabelle11[[#Headers],[Jan_Hendrik_B]],Spielauswertung!$B561:$E561,0))+U572)</f>
        <v>100.75492416935522</v>
      </c>
      <c r="V573" s="1">
        <f>IF(IFERROR(MATCH(Tabelle11[[#Headers],[Jens_N]],Spielauswertung!$B561:$E561,0),0)=0,V572,INDEX(Spielauswertung!$AB561:$AE561,MATCH(Tabelle11[[#Headers],[Jens_N]],Spielauswertung!$B561:$E561,0))+V572)</f>
        <v>99.643534710196832</v>
      </c>
      <c r="W573" s="1">
        <f>IF(IFERROR(MATCH(Tabelle11[[#Headers],[Johannes_S]],Spielauswertung!$B561:$E561,0),0)=0,W572,INDEX(Spielauswertung!$AB561:$AE561,MATCH(Tabelle11[[#Headers],[Johannes_S]],Spielauswertung!$B561:$E561,0))+W572)</f>
        <v>102.20284750979505</v>
      </c>
      <c r="X573" s="1">
        <f>IF(IFERROR(MATCH(Tabelle11[[#Headers],[Jonathan_F]],Spielauswertung!$B561:$E561,0),0)=0,X572,INDEX(Spielauswertung!$AB561:$AE561,MATCH(Tabelle11[[#Headers],[Jonathan_F]],Spielauswertung!$B561:$E561,0))+X572)</f>
        <v>98.938308797866256</v>
      </c>
      <c r="Y573" s="1">
        <f>IF(IFERROR(MATCH(Tabelle11[[#Headers],[Julius_P]],Spielauswertung!$B561:$E561,0),0)=0,Y572,INDEX(Spielauswertung!$AB561:$AE561,MATCH(Tabelle11[[#Headers],[Julius_P]],Spielauswertung!$B561:$E561,0))+Y572)</f>
        <v>96.540305101873642</v>
      </c>
      <c r="Z573" s="1">
        <f>IF(IFERROR(MATCH(Tabelle11[[#Headers],[Louis_W]],Spielauswertung!$B561:$E561,0),0)=0,Z572,INDEX(Spielauswertung!$AB561:$AE561,MATCH(Tabelle11[[#Headers],[Louis_W]],Spielauswertung!$B561:$E561,0))+Z572)</f>
        <v>87.497452285475362</v>
      </c>
      <c r="AA573" s="1">
        <f>IF(IFERROR(MATCH(Tabelle11[[#Headers],[Lukas_L]],Spielauswertung!$B561:$E561,0),0)=0,AA572,INDEX(Spielauswertung!$AB561:$AE561,MATCH(Tabelle11[[#Headers],[Lukas_L]],Spielauswertung!$B561:$E561,0))+AA572)</f>
        <v>98.447931341404143</v>
      </c>
      <c r="AB573" s="1">
        <f>IF(IFERROR(MATCH(Tabelle11[[#Headers],[Marcin_S]],Spielauswertung!$B561:$E561,0),0)=0,AB572,INDEX(Spielauswertung!$AB561:$AE561,MATCH(Tabelle11[[#Headers],[Marcin_S]],Spielauswertung!$B561:$E561,0))+AB572)</f>
        <v>85.463329105556824</v>
      </c>
      <c r="AC573" s="1">
        <f>IF(IFERROR(MATCH(Tabelle11[[#Headers],[Marco_K]],Spielauswertung!$B561:$E561,0),0)=0,AC572,INDEX(Spielauswertung!$AB561:$AE561,MATCH(Tabelle11[[#Headers],[Marco_K]],Spielauswertung!$B561:$E561,0))+AC572)</f>
        <v>102.12169819441469</v>
      </c>
      <c r="AD573" s="1">
        <f>IF(IFERROR(MATCH(Tabelle11[[#Headers],[Marius_M]],Spielauswertung!$B561:$E561,0),0)=0,AD572,INDEX(Spielauswertung!$AB561:$AE561,MATCH(Tabelle11[[#Headers],[Marius_M]],Spielauswertung!$B561:$E561,0))+AD572)</f>
        <v>124.54012374585781</v>
      </c>
      <c r="AE573" s="1">
        <f>IF(IFERROR(MATCH(Tabelle11[[#Headers],[Marvin_W]],Spielauswertung!$B561:$E561,0),0)=0,AE572,INDEX(Spielauswertung!$AB561:$AE561,MATCH(Tabelle11[[#Headers],[Marvin_W]],Spielauswertung!$B561:$E561,0))+AE572)</f>
        <v>96.700266280577438</v>
      </c>
      <c r="AF573" s="1">
        <f>IF(IFERROR(MATCH(Tabelle11[[#Headers],[Matthias_H]],Spielauswertung!$B561:$E561,0),0)=0,AF572,INDEX(Spielauswertung!$AB561:$AE561,MATCH(Tabelle11[[#Headers],[Matthias_H]],Spielauswertung!$B561:$E561,0))+AF572)</f>
        <v>105.42130178599372</v>
      </c>
      <c r="AG573" s="1">
        <f>IF(IFERROR(MATCH(Tabelle11[[#Headers],[Michael_D]],Spielauswertung!$B561:$E561,0),0)=0,AG572,INDEX(Spielauswertung!$AB561:$AE561,MATCH(Tabelle11[[#Headers],[Michael_D]],Spielauswertung!$B561:$E561,0))+AG572)</f>
        <v>96.436276170375336</v>
      </c>
      <c r="AH573" s="1">
        <f>IF(IFERROR(MATCH(Tabelle11[[#Headers],[Patrick_S]],Spielauswertung!$B561:$E561,0),0)=0,AH572,INDEX(Spielauswertung!$AB561:$AE561,MATCH(Tabelle11[[#Headers],[Patrick_S]],Spielauswertung!$B561:$E561,0))+AH572)</f>
        <v>98.975330692053802</v>
      </c>
      <c r="AI573" s="1">
        <f>IF(IFERROR(MATCH(Tabelle11[[#Headers],[Rano_M]],Spielauswertung!$B561:$E561,0),0)=0,AI572,INDEX(Spielauswertung!$AB561:$AE561,MATCH(Tabelle11[[#Headers],[Rano_M]],Spielauswertung!$B561:$E561,0))+AI572)</f>
        <v>109.38890657420265</v>
      </c>
      <c r="AJ573" s="1">
        <f>IF(IFERROR(MATCH(Tabelle11[[#Headers],[Rene_N]],Spielauswertung!$B561:$E561,0),0)=0,AJ572,INDEX(Spielauswertung!$AB561:$AE561,MATCH(Tabelle11[[#Headers],[Rene_N]],Spielauswertung!$B561:$E561,0))+AJ572)</f>
        <v>101.06482124619033</v>
      </c>
      <c r="AK573" s="1">
        <f>IF(IFERROR(MATCH(Tabelle11[[#Headers],[Rene_P]],Spielauswertung!$B561:$E561,0),0)=0,AK572,INDEX(Spielauswertung!$AB561:$AE561,MATCH(Tabelle11[[#Headers],[Rene_P]],Spielauswertung!$B561:$E561,0))+AK572)</f>
        <v>88.762543186332877</v>
      </c>
      <c r="AL573" s="1">
        <f>IF(IFERROR(MATCH(Tabelle11[[#Headers],[Richard_D]],Spielauswertung!$B561:$E561,0),0)=0,AL572,INDEX(Spielauswertung!$AB561:$AE561,MATCH(Tabelle11[[#Headers],[Richard_D]],Spielauswertung!$B561:$E561,0))+AL572)</f>
        <v>107.23233592026223</v>
      </c>
      <c r="AM573" s="1">
        <f>IF(IFERROR(MATCH(Tabelle11[[#Headers],[Rodrigo_R]],Spielauswertung!$B561:$E561,0),0)=0,AM572,INDEX(Spielauswertung!$AB561:$AE561,MATCH(Tabelle11[[#Headers],[Rodrigo_R]],Spielauswertung!$B561:$E561,0))+AM572)</f>
        <v>116.7028707921346</v>
      </c>
      <c r="AN573" s="1">
        <f>IF(IFERROR(MATCH(Tabelle11[[#Headers],[Sebastian_A]],Spielauswertung!$B561:$E561,0),0)=0,AN572,INDEX(Spielauswertung!$AB561:$AE561,MATCH(Tabelle11[[#Headers],[Sebastian_A]],Spielauswertung!$B561:$E561,0))+AN572)</f>
        <v>102.89457418671324</v>
      </c>
      <c r="AO573" s="1">
        <f>IF(IFERROR(MATCH(Tabelle11[[#Headers],[Sebastian_St]],Spielauswertung!$B561:$E561,0),0)=0,AO572,INDEX(Spielauswertung!$AB561:$AE561,MATCH(Tabelle11[[#Headers],[Sebastian_St]],Spielauswertung!$B561:$E561,0))+AO572)</f>
        <v>97.749574367408982</v>
      </c>
      <c r="AP573" s="1">
        <f>IF(IFERROR(MATCH(Tabelle11[[#Headers],[Simon_U]],Spielauswertung!$B561:$E561,0),0)=0,AP572,INDEX(Spielauswertung!$AB561:$AE561,MATCH(Tabelle11[[#Headers],[Simon_U]],Spielauswertung!$B561:$E561,0))+AP572)</f>
        <v>99.623054841470903</v>
      </c>
      <c r="AQ573" s="1">
        <f>IF(IFERROR(MATCH(Tabelle11[[#Headers],[Steffen_R]],Spielauswertung!$B561:$E561,0),0)=0,AQ572,INDEX(Spielauswertung!$AB561:$AE561,MATCH(Tabelle11[[#Headers],[Steffen_R]],Spielauswertung!$B561:$E561,0))+AQ572)</f>
        <v>93.247497067190949</v>
      </c>
      <c r="AR573" s="1">
        <f>IF(IFERROR(MATCH(Tabelle11[[#Headers],[Tim_R]],Spielauswertung!$B561:$E561,0),0)=0,AR572,INDEX(Spielauswertung!$AB561:$AE561,MATCH(Tabelle11[[#Headers],[Tim_R]],Spielauswertung!$B561:$E561,0))+AR572)</f>
        <v>103.07503787023374</v>
      </c>
      <c r="AS573" s="1">
        <f>IF(IFERROR(MATCH(Tabelle11[[#Headers],[Tobias_S]],Spielauswertung!$B561:$E561,0),0)=0,AS572,INDEX(Spielauswertung!$AB561:$AE561,MATCH(Tabelle11[[#Headers],[Tobias_S]],Spielauswertung!$B561:$E561,0))+AS572)</f>
        <v>98.6003422659997</v>
      </c>
      <c r="AT573" s="1">
        <f>IF(IFERROR(MATCH(Tabelle11[[#Headers],[Tom_R]],Spielauswertung!$B561:$E561,0),0)=0,AT572,INDEX(Spielauswertung!$AB561:$AE561,MATCH(Tabelle11[[#Headers],[Tom_R]],Spielauswertung!$B561:$E561,0))+AT572)</f>
        <v>112.62344492949197</v>
      </c>
      <c r="AU573" s="1">
        <f>IF(IFERROR(MATCH(Tabelle11[[#Headers],[Ton_L]],Spielauswertung!$B561:$E561,0),0)=0,AU572,INDEX(Spielauswertung!$AB561:$AE561,MATCH(Tabelle11[[#Headers],[Ton_L]],Spielauswertung!$B561:$E561,0))+AU572)</f>
        <v>92.683083360025861</v>
      </c>
      <c r="AV573" s="1">
        <f>IF(IFERROR(MATCH(Tabelle11[[#Headers],[Yixin_G]],Spielauswertung!$B561:$E561,0),0)=0,AV572,INDEX(Spielauswertung!$AB561:$AE561,MATCH(Tabelle11[[#Headers],[Yixin_G]],Spielauswertung!$B561:$E561,0))+AV572)</f>
        <v>99.900323214082661</v>
      </c>
      <c r="AW573" s="1">
        <f>IF(IFERROR(MATCH(Tabelle11[[#Headers],[Spalte36]],Spielauswertung!$B561:$E561,0),0)=0,AW572,INDEX(Spielauswertung!$AB561:$AE561,MATCH(Tabelle11[[#Headers],[Spalte36]],Spielauswertung!$B561:$E561,0))+AW572)</f>
        <v>100</v>
      </c>
      <c r="AX573" s="1">
        <f>IF(IFERROR(MATCH(Tabelle11[[#Headers],[Spalte37]],Spielauswertung!$B561:$E561,0),0)=0,AX572,INDEX(Spielauswertung!$AB561:$AE561,MATCH(Tabelle11[[#Headers],[Spalte37]],Spielauswertung!$B561:$E561,0))+AX572)</f>
        <v>100</v>
      </c>
      <c r="AY573" s="1">
        <f>IF(IFERROR(MATCH(Tabelle11[[#Headers],[Spalte38]],Spielauswertung!$B561:$E561,0),0)=0,AY572,INDEX(Spielauswertung!$AB561:$AE561,MATCH(Tabelle11[[#Headers],[Spalte38]],Spielauswertung!$B561:$E561,0))+AY572)</f>
        <v>100</v>
      </c>
      <c r="AZ573" s="1">
        <f>IF(IFERROR(MATCH(Tabelle11[[#Headers],[Spalte39]],Spielauswertung!$B561:$E561,0),0)=0,AZ572,INDEX(Spielauswertung!$AB561:$AE561,MATCH(Tabelle11[[#Headers],[Spalte39]],Spielauswertung!$B561:$E561,0))+AZ572)</f>
        <v>100</v>
      </c>
      <c r="BA573" s="1">
        <f>IF(IFERROR(MATCH(Tabelle11[[#Headers],[Spalte40]],Spielauswertung!$B561:$E561,0),0)=0,BA572,INDEX(Spielauswertung!$AB561:$AE561,MATCH(Tabelle11[[#Headers],[Spalte40]],Spielauswertung!$B561:$E561,0))+BA572)</f>
        <v>100</v>
      </c>
      <c r="BB573" s="1">
        <f>IF(IFERROR(MATCH(Tabelle11[[#Headers],[Spalte41]],Spielauswertung!$B561:$E561,0),0)=0,BB572,INDEX(Spielauswertung!$AB561:$AE561,MATCH(Tabelle11[[#Headers],[Spalte41]],Spielauswertung!$B561:$E561,0))+BB572)</f>
        <v>100</v>
      </c>
      <c r="BC573" s="1">
        <f>IF(IFERROR(MATCH(Tabelle11[[#Headers],[Spalte42]],Spielauswertung!$B561:$E561,0),0)=0,BC572,INDEX(Spielauswertung!$AB561:$AE561,MATCH(Tabelle11[[#Headers],[Spalte42]],Spielauswertung!$B561:$E561,0))+BC572)</f>
        <v>100</v>
      </c>
      <c r="BD573" s="1">
        <f>IF(IFERROR(MATCH(Tabelle11[[#Headers],[Spalte43]],Spielauswertung!$B561:$E561,0),0)=0,BD572,INDEX(Spielauswertung!$AB561:$AE561,MATCH(Tabelle11[[#Headers],[Spalte43]],Spielauswertung!$B561:$E561,0))+BD572)</f>
        <v>100</v>
      </c>
      <c r="BE573" s="1">
        <f>IF(IFERROR(MATCH(Tabelle11[[#Headers],[Spalte44]],Spielauswertung!$B561:$E561,0),0)=0,BE572,INDEX(Spielauswertung!$AB561:$AE561,MATCH(Tabelle11[[#Headers],[Spalte44]],Spielauswertung!$B561:$E561,0))+BE572)</f>
        <v>100</v>
      </c>
      <c r="BF573" s="1">
        <f>IF(IFERROR(MATCH(Tabelle11[[#Headers],[Spalte45]],Spielauswertung!$B561:$E561,0),0)=0,BF572,INDEX(Spielauswertung!$AB561:$AE561,MATCH(Tabelle11[[#Headers],[Spalte45]],Spielauswertung!$B561:$E561,0))+BF572)</f>
        <v>100</v>
      </c>
      <c r="BG573" s="1">
        <f>IF(IFERROR(MATCH(Tabelle11[[#Headers],[Spalte46]],Spielauswertung!$B561:$E561,0),0)=0,BG572,INDEX(Spielauswertung!$AB561:$AE561,MATCH(Tabelle11[[#Headers],[Spalte46]],Spielauswertung!$B561:$E561,0))+BG572)</f>
        <v>100</v>
      </c>
      <c r="BH573" s="1">
        <f>IF(IFERROR(MATCH(Tabelle11[[#Headers],[Spalte47]],Spielauswertung!$B561:$E561,0),0)=0,BH572,INDEX(Spielauswertung!$AB561:$AE561,MATCH(Tabelle11[[#Headers],[Spalte47]],Spielauswertung!$B561:$E561,0))+BH572)</f>
        <v>100</v>
      </c>
    </row>
    <row r="574" spans="1:60" x14ac:dyDescent="0.25">
      <c r="A574">
        <f t="shared" si="9"/>
        <v>561</v>
      </c>
      <c r="B574" s="1">
        <f>IF(IFERROR(MATCH(Tabelle11[[#Headers],[Aleix_V]],Spielauswertung!$B562:$E562,0),0)=0,B573,INDEX(Spielauswertung!$AB562:$AE562,MATCH(Tabelle11[[#Headers],[Aleix_V]],Spielauswertung!$B562:$E562,0))+B573)</f>
        <v>102.47318019444646</v>
      </c>
      <c r="C574" s="1">
        <f>IF(IFERROR(MATCH(Tabelle11[[#Headers],[Andres_H]],Spielauswertung!$B562:$E562,0),0)=0,C573,INDEX(Spielauswertung!$AB562:$AE562,MATCH(Tabelle11[[#Headers],[Andres_H]],Spielauswertung!$B562:$E562,0))+C573)</f>
        <v>95.535732339111306</v>
      </c>
      <c r="D574" s="1">
        <f>IF(IFERROR(MATCH(Tabelle11[[#Headers],[Anton_K]],Spielauswertung!$B562:$E562,0),0)=0,D573,INDEX(Spielauswertung!$AB562:$AE562,MATCH(Tabelle11[[#Headers],[Anton_K]],Spielauswertung!$B562:$E562,0))+D573)</f>
        <v>99.287728777054667</v>
      </c>
      <c r="E574" s="1">
        <f>IF(IFERROR(MATCH(Tabelle11[[#Headers],[Bastian_G]],Spielauswertung!$B562:$E562,0),0)=0,E573,INDEX(Spielauswertung!$AB562:$AE562,MATCH(Tabelle11[[#Headers],[Bastian_G]],Spielauswertung!$B562:$E562,0))+E573)</f>
        <v>117.49978695184252</v>
      </c>
      <c r="F574" s="1">
        <f>IF(IFERROR(MATCH(Tabelle11[[#Headers],[Ben_S]],Spielauswertung!$B562:$E562,0),0)=0,F573,INDEX(Spielauswertung!$AB562:$AE562,MATCH(Tabelle11[[#Headers],[Ben_S]],Spielauswertung!$B562:$E562,0))+F573)</f>
        <v>95.932799101521084</v>
      </c>
      <c r="G574" s="1">
        <f>IF(IFERROR(MATCH(Tabelle11[[#Headers],[Benedikt_K]],Spielauswertung!$B562:$E562,0),0)=0,G573,INDEX(Spielauswertung!$AB562:$AE562,MATCH(Tabelle11[[#Headers],[Benedikt_K]],Spielauswertung!$B562:$E562,0))+G573)</f>
        <v>101.20264176422626</v>
      </c>
      <c r="H574" s="1">
        <f>IF(IFERROR(MATCH(Tabelle11[[#Headers],[Benedikt_R]],Spielauswertung!$B562:$E562,0),0)=0,H573,INDEX(Spielauswertung!$AB562:$AE562,MATCH(Tabelle11[[#Headers],[Benedikt_R]],Spielauswertung!$B562:$E562,0))+H573)</f>
        <v>102.6264770510757</v>
      </c>
      <c r="I574" s="1">
        <f>IF(IFERROR(MATCH(Tabelle11[[#Headers],[Carsten_H]],Spielauswertung!$B562:$E562,0),0)=0,I573,INDEX(Spielauswertung!$AB562:$AE562,MATCH(Tabelle11[[#Headers],[Carsten_H]],Spielauswertung!$B562:$E562,0))+I573)</f>
        <v>90.817185094326874</v>
      </c>
      <c r="J574" s="1">
        <f>IF(IFERROR(MATCH(Tabelle11[[#Headers],[Christoph_R]],Spielauswertung!$B562:$E562,0),0)=0,J573,INDEX(Spielauswertung!$AB562:$AE562,MATCH(Tabelle11[[#Headers],[Christoph_R]],Spielauswertung!$B562:$E562,0))+J573)</f>
        <v>109.73261611443155</v>
      </c>
      <c r="K574" s="1">
        <f>IF(IFERROR(MATCH(Tabelle11[[#Headers],[Claudius_J]],Spielauswertung!$B562:$E562,0),0)=0,K573,INDEX(Spielauswertung!$AB562:$AE562,MATCH(Tabelle11[[#Headers],[Claudius_J]],Spielauswertung!$B562:$E562,0))+K573)</f>
        <v>106.16590636000029</v>
      </c>
      <c r="L574" s="1">
        <f>IF(IFERROR(MATCH(Tabelle11[[#Headers],[Daniel_D]],Spielauswertung!$B562:$E562,0),0)=0,L573,INDEX(Spielauswertung!$AB562:$AE562,MATCH(Tabelle11[[#Headers],[Daniel_D]],Spielauswertung!$B562:$E562,0))+L573)</f>
        <v>99.990299180470089</v>
      </c>
      <c r="M574" s="1">
        <f>IF(IFERROR(MATCH(Tabelle11[[#Headers],[David_R]],Spielauswertung!$B562:$E562,0),0)=0,M573,INDEX(Spielauswertung!$AB562:$AE562,MATCH(Tabelle11[[#Headers],[David_R]],Spielauswertung!$B562:$E562,0))+M573)</f>
        <v>96.715943522481638</v>
      </c>
      <c r="N574" s="1">
        <f>IF(IFERROR(MATCH(Tabelle11[[#Headers],[Dennis_P]],Spielauswertung!$B562:$E562,0),0)=0,N573,INDEX(Spielauswertung!$AB562:$AE562,MATCH(Tabelle11[[#Headers],[Dennis_P]],Spielauswertung!$B562:$E562,0))+N573)</f>
        <v>100.04773223105254</v>
      </c>
      <c r="O574" s="1">
        <f>IF(IFERROR(MATCH(Tabelle11[[#Headers],[Dennis_R]],Spielauswertung!$B562:$E562,0),0)=0,O573,INDEX(Spielauswertung!$AB562:$AE562,MATCH(Tabelle11[[#Headers],[Dennis_R]],Spielauswertung!$B562:$E562,0))+O573)</f>
        <v>75.131680864937195</v>
      </c>
      <c r="P574" s="1">
        <f>IF(IFERROR(MATCH(Tabelle11[[#Headers],[Detlef_R]],Spielauswertung!$B562:$E562,0),0)=0,P573,INDEX(Spielauswertung!$AB562:$AE562,MATCH(Tabelle11[[#Headers],[Detlef_R]],Spielauswertung!$B562:$E562,0))+P573)</f>
        <v>87.984671797367014</v>
      </c>
      <c r="Q574" s="1">
        <f>IF(IFERROR(MATCH(Tabelle11[[#Headers],[Dmitrij_M]],Spielauswertung!$B562:$E562,0),0)=0,Q573,INDEX(Spielauswertung!$AB562:$AE562,MATCH(Tabelle11[[#Headers],[Dmitrij_M]],Spielauswertung!$B562:$E562,0))+Q573)</f>
        <v>100.69975721846207</v>
      </c>
      <c r="R574" s="1">
        <f>IF(IFERROR(MATCH(Tabelle11[[#Headers],[Fabian_M]],Spielauswertung!$B562:$E562,0),0)=0,R573,INDEX(Spielauswertung!$AB562:$AE562,MATCH(Tabelle11[[#Headers],[Fabian_M]],Spielauswertung!$B562:$E562,0))+R573)</f>
        <v>95.805387841610738</v>
      </c>
      <c r="S574" s="1">
        <f>IF(IFERROR(MATCH(Tabelle11[[#Headers],[Hannes_S]],Spielauswertung!$B562:$E562,0),0)=0,S573,INDEX(Spielauswertung!$AB562:$AE562,MATCH(Tabelle11[[#Headers],[Hannes_S]],Spielauswertung!$B562:$E562,0))+S573)</f>
        <v>104.83899184012799</v>
      </c>
      <c r="T574" s="1">
        <f>IF(IFERROR(MATCH(Tabelle11[[#Headers],[Jan_B]],Spielauswertung!$B562:$E562,0),0)=0,T573,INDEX(Spielauswertung!$AB562:$AE562,MATCH(Tabelle11[[#Headers],[Jan_B]],Spielauswertung!$B562:$E562,0))+T573)</f>
        <v>100.2794420429173</v>
      </c>
      <c r="U574" s="1">
        <f>IF(IFERROR(MATCH(Tabelle11[[#Headers],[Jan_Hendrik_B]],Spielauswertung!$B562:$E562,0),0)=0,U573,INDEX(Spielauswertung!$AB562:$AE562,MATCH(Tabelle11[[#Headers],[Jan_Hendrik_B]],Spielauswertung!$B562:$E562,0))+U573)</f>
        <v>100.75492416935522</v>
      </c>
      <c r="V574" s="1">
        <f>IF(IFERROR(MATCH(Tabelle11[[#Headers],[Jens_N]],Spielauswertung!$B562:$E562,0),0)=0,V573,INDEX(Spielauswertung!$AB562:$AE562,MATCH(Tabelle11[[#Headers],[Jens_N]],Spielauswertung!$B562:$E562,0))+V573)</f>
        <v>99.643534710196832</v>
      </c>
      <c r="W574" s="1">
        <f>IF(IFERROR(MATCH(Tabelle11[[#Headers],[Johannes_S]],Spielauswertung!$B562:$E562,0),0)=0,W573,INDEX(Spielauswertung!$AB562:$AE562,MATCH(Tabelle11[[#Headers],[Johannes_S]],Spielauswertung!$B562:$E562,0))+W573)</f>
        <v>102.20284750979505</v>
      </c>
      <c r="X574" s="1">
        <f>IF(IFERROR(MATCH(Tabelle11[[#Headers],[Jonathan_F]],Spielauswertung!$B562:$E562,0),0)=0,X573,INDEX(Spielauswertung!$AB562:$AE562,MATCH(Tabelle11[[#Headers],[Jonathan_F]],Spielauswertung!$B562:$E562,0))+X573)</f>
        <v>98.938308797866256</v>
      </c>
      <c r="Y574" s="1">
        <f>IF(IFERROR(MATCH(Tabelle11[[#Headers],[Julius_P]],Spielauswertung!$B562:$E562,0),0)=0,Y573,INDEX(Spielauswertung!$AB562:$AE562,MATCH(Tabelle11[[#Headers],[Julius_P]],Spielauswertung!$B562:$E562,0))+Y573)</f>
        <v>96.540305101873642</v>
      </c>
      <c r="Z574" s="1">
        <f>IF(IFERROR(MATCH(Tabelle11[[#Headers],[Louis_W]],Spielauswertung!$B562:$E562,0),0)=0,Z573,INDEX(Spielauswertung!$AB562:$AE562,MATCH(Tabelle11[[#Headers],[Louis_W]],Spielauswertung!$B562:$E562,0))+Z573)</f>
        <v>87.497452285475362</v>
      </c>
      <c r="AA574" s="1">
        <f>IF(IFERROR(MATCH(Tabelle11[[#Headers],[Lukas_L]],Spielauswertung!$B562:$E562,0),0)=0,AA573,INDEX(Spielauswertung!$AB562:$AE562,MATCH(Tabelle11[[#Headers],[Lukas_L]],Spielauswertung!$B562:$E562,0))+AA573)</f>
        <v>98.447931341404143</v>
      </c>
      <c r="AB574" s="1">
        <f>IF(IFERROR(MATCH(Tabelle11[[#Headers],[Marcin_S]],Spielauswertung!$B562:$E562,0),0)=0,AB573,INDEX(Spielauswertung!$AB562:$AE562,MATCH(Tabelle11[[#Headers],[Marcin_S]],Spielauswertung!$B562:$E562,0))+AB573)</f>
        <v>85.463329105556824</v>
      </c>
      <c r="AC574" s="1">
        <f>IF(IFERROR(MATCH(Tabelle11[[#Headers],[Marco_K]],Spielauswertung!$B562:$E562,0),0)=0,AC573,INDEX(Spielauswertung!$AB562:$AE562,MATCH(Tabelle11[[#Headers],[Marco_K]],Spielauswertung!$B562:$E562,0))+AC573)</f>
        <v>102.12169819441469</v>
      </c>
      <c r="AD574" s="1">
        <f>IF(IFERROR(MATCH(Tabelle11[[#Headers],[Marius_M]],Spielauswertung!$B562:$E562,0),0)=0,AD573,INDEX(Spielauswertung!$AB562:$AE562,MATCH(Tabelle11[[#Headers],[Marius_M]],Spielauswertung!$B562:$E562,0))+AD573)</f>
        <v>124.54012374585781</v>
      </c>
      <c r="AE574" s="1">
        <f>IF(IFERROR(MATCH(Tabelle11[[#Headers],[Marvin_W]],Spielauswertung!$B562:$E562,0),0)=0,AE573,INDEX(Spielauswertung!$AB562:$AE562,MATCH(Tabelle11[[#Headers],[Marvin_W]],Spielauswertung!$B562:$E562,0))+AE573)</f>
        <v>96.700266280577438</v>
      </c>
      <c r="AF574" s="1">
        <f>IF(IFERROR(MATCH(Tabelle11[[#Headers],[Matthias_H]],Spielauswertung!$B562:$E562,0),0)=0,AF573,INDEX(Spielauswertung!$AB562:$AE562,MATCH(Tabelle11[[#Headers],[Matthias_H]],Spielauswertung!$B562:$E562,0))+AF573)</f>
        <v>105.42130178599372</v>
      </c>
      <c r="AG574" s="1">
        <f>IF(IFERROR(MATCH(Tabelle11[[#Headers],[Michael_D]],Spielauswertung!$B562:$E562,0),0)=0,AG573,INDEX(Spielauswertung!$AB562:$AE562,MATCH(Tabelle11[[#Headers],[Michael_D]],Spielauswertung!$B562:$E562,0))+AG573)</f>
        <v>96.436276170375336</v>
      </c>
      <c r="AH574" s="1">
        <f>IF(IFERROR(MATCH(Tabelle11[[#Headers],[Patrick_S]],Spielauswertung!$B562:$E562,0),0)=0,AH573,INDEX(Spielauswertung!$AB562:$AE562,MATCH(Tabelle11[[#Headers],[Patrick_S]],Spielauswertung!$B562:$E562,0))+AH573)</f>
        <v>98.975330692053802</v>
      </c>
      <c r="AI574" s="1">
        <f>IF(IFERROR(MATCH(Tabelle11[[#Headers],[Rano_M]],Spielauswertung!$B562:$E562,0),0)=0,AI573,INDEX(Spielauswertung!$AB562:$AE562,MATCH(Tabelle11[[#Headers],[Rano_M]],Spielauswertung!$B562:$E562,0))+AI573)</f>
        <v>109.38890657420265</v>
      </c>
      <c r="AJ574" s="1">
        <f>IF(IFERROR(MATCH(Tabelle11[[#Headers],[Rene_N]],Spielauswertung!$B562:$E562,0),0)=0,AJ573,INDEX(Spielauswertung!$AB562:$AE562,MATCH(Tabelle11[[#Headers],[Rene_N]],Spielauswertung!$B562:$E562,0))+AJ573)</f>
        <v>101.06482124619033</v>
      </c>
      <c r="AK574" s="1">
        <f>IF(IFERROR(MATCH(Tabelle11[[#Headers],[Rene_P]],Spielauswertung!$B562:$E562,0),0)=0,AK573,INDEX(Spielauswertung!$AB562:$AE562,MATCH(Tabelle11[[#Headers],[Rene_P]],Spielauswertung!$B562:$E562,0))+AK573)</f>
        <v>88.762543186332877</v>
      </c>
      <c r="AL574" s="1">
        <f>IF(IFERROR(MATCH(Tabelle11[[#Headers],[Richard_D]],Spielauswertung!$B562:$E562,0),0)=0,AL573,INDEX(Spielauswertung!$AB562:$AE562,MATCH(Tabelle11[[#Headers],[Richard_D]],Spielauswertung!$B562:$E562,0))+AL573)</f>
        <v>107.23233592026223</v>
      </c>
      <c r="AM574" s="1">
        <f>IF(IFERROR(MATCH(Tabelle11[[#Headers],[Rodrigo_R]],Spielauswertung!$B562:$E562,0),0)=0,AM573,INDEX(Spielauswertung!$AB562:$AE562,MATCH(Tabelle11[[#Headers],[Rodrigo_R]],Spielauswertung!$B562:$E562,0))+AM573)</f>
        <v>116.7028707921346</v>
      </c>
      <c r="AN574" s="1">
        <f>IF(IFERROR(MATCH(Tabelle11[[#Headers],[Sebastian_A]],Spielauswertung!$B562:$E562,0),0)=0,AN573,INDEX(Spielauswertung!$AB562:$AE562,MATCH(Tabelle11[[#Headers],[Sebastian_A]],Spielauswertung!$B562:$E562,0))+AN573)</f>
        <v>102.89457418671324</v>
      </c>
      <c r="AO574" s="1">
        <f>IF(IFERROR(MATCH(Tabelle11[[#Headers],[Sebastian_St]],Spielauswertung!$B562:$E562,0),0)=0,AO573,INDEX(Spielauswertung!$AB562:$AE562,MATCH(Tabelle11[[#Headers],[Sebastian_St]],Spielauswertung!$B562:$E562,0))+AO573)</f>
        <v>97.749574367408982</v>
      </c>
      <c r="AP574" s="1">
        <f>IF(IFERROR(MATCH(Tabelle11[[#Headers],[Simon_U]],Spielauswertung!$B562:$E562,0),0)=0,AP573,INDEX(Spielauswertung!$AB562:$AE562,MATCH(Tabelle11[[#Headers],[Simon_U]],Spielauswertung!$B562:$E562,0))+AP573)</f>
        <v>99.623054841470903</v>
      </c>
      <c r="AQ574" s="1">
        <f>IF(IFERROR(MATCH(Tabelle11[[#Headers],[Steffen_R]],Spielauswertung!$B562:$E562,0),0)=0,AQ573,INDEX(Spielauswertung!$AB562:$AE562,MATCH(Tabelle11[[#Headers],[Steffen_R]],Spielauswertung!$B562:$E562,0))+AQ573)</f>
        <v>93.247497067190949</v>
      </c>
      <c r="AR574" s="1">
        <f>IF(IFERROR(MATCH(Tabelle11[[#Headers],[Tim_R]],Spielauswertung!$B562:$E562,0),0)=0,AR573,INDEX(Spielauswertung!$AB562:$AE562,MATCH(Tabelle11[[#Headers],[Tim_R]],Spielauswertung!$B562:$E562,0))+AR573)</f>
        <v>103.07503787023374</v>
      </c>
      <c r="AS574" s="1">
        <f>IF(IFERROR(MATCH(Tabelle11[[#Headers],[Tobias_S]],Spielauswertung!$B562:$E562,0),0)=0,AS573,INDEX(Spielauswertung!$AB562:$AE562,MATCH(Tabelle11[[#Headers],[Tobias_S]],Spielauswertung!$B562:$E562,0))+AS573)</f>
        <v>98.6003422659997</v>
      </c>
      <c r="AT574" s="1">
        <f>IF(IFERROR(MATCH(Tabelle11[[#Headers],[Tom_R]],Spielauswertung!$B562:$E562,0),0)=0,AT573,INDEX(Spielauswertung!$AB562:$AE562,MATCH(Tabelle11[[#Headers],[Tom_R]],Spielauswertung!$B562:$E562,0))+AT573)</f>
        <v>112.62344492949197</v>
      </c>
      <c r="AU574" s="1">
        <f>IF(IFERROR(MATCH(Tabelle11[[#Headers],[Ton_L]],Spielauswertung!$B562:$E562,0),0)=0,AU573,INDEX(Spielauswertung!$AB562:$AE562,MATCH(Tabelle11[[#Headers],[Ton_L]],Spielauswertung!$B562:$E562,0))+AU573)</f>
        <v>92.683083360025861</v>
      </c>
      <c r="AV574" s="1">
        <f>IF(IFERROR(MATCH(Tabelle11[[#Headers],[Yixin_G]],Spielauswertung!$B562:$E562,0),0)=0,AV573,INDEX(Spielauswertung!$AB562:$AE562,MATCH(Tabelle11[[#Headers],[Yixin_G]],Spielauswertung!$B562:$E562,0))+AV573)</f>
        <v>99.900323214082661</v>
      </c>
      <c r="AW574" s="1">
        <f>IF(IFERROR(MATCH(Tabelle11[[#Headers],[Spalte36]],Spielauswertung!$B562:$E562,0),0)=0,AW573,INDEX(Spielauswertung!$AB562:$AE562,MATCH(Tabelle11[[#Headers],[Spalte36]],Spielauswertung!$B562:$E562,0))+AW573)</f>
        <v>100</v>
      </c>
      <c r="AX574" s="1">
        <f>IF(IFERROR(MATCH(Tabelle11[[#Headers],[Spalte37]],Spielauswertung!$B562:$E562,0),0)=0,AX573,INDEX(Spielauswertung!$AB562:$AE562,MATCH(Tabelle11[[#Headers],[Spalte37]],Spielauswertung!$B562:$E562,0))+AX573)</f>
        <v>100</v>
      </c>
      <c r="AY574" s="1">
        <f>IF(IFERROR(MATCH(Tabelle11[[#Headers],[Spalte38]],Spielauswertung!$B562:$E562,0),0)=0,AY573,INDEX(Spielauswertung!$AB562:$AE562,MATCH(Tabelle11[[#Headers],[Spalte38]],Spielauswertung!$B562:$E562,0))+AY573)</f>
        <v>100</v>
      </c>
      <c r="AZ574" s="1">
        <f>IF(IFERROR(MATCH(Tabelle11[[#Headers],[Spalte39]],Spielauswertung!$B562:$E562,0),0)=0,AZ573,INDEX(Spielauswertung!$AB562:$AE562,MATCH(Tabelle11[[#Headers],[Spalte39]],Spielauswertung!$B562:$E562,0))+AZ573)</f>
        <v>100</v>
      </c>
      <c r="BA574" s="1">
        <f>IF(IFERROR(MATCH(Tabelle11[[#Headers],[Spalte40]],Spielauswertung!$B562:$E562,0),0)=0,BA573,INDEX(Spielauswertung!$AB562:$AE562,MATCH(Tabelle11[[#Headers],[Spalte40]],Spielauswertung!$B562:$E562,0))+BA573)</f>
        <v>100</v>
      </c>
      <c r="BB574" s="1">
        <f>IF(IFERROR(MATCH(Tabelle11[[#Headers],[Spalte41]],Spielauswertung!$B562:$E562,0),0)=0,BB573,INDEX(Spielauswertung!$AB562:$AE562,MATCH(Tabelle11[[#Headers],[Spalte41]],Spielauswertung!$B562:$E562,0))+BB573)</f>
        <v>100</v>
      </c>
      <c r="BC574" s="1">
        <f>IF(IFERROR(MATCH(Tabelle11[[#Headers],[Spalte42]],Spielauswertung!$B562:$E562,0),0)=0,BC573,INDEX(Spielauswertung!$AB562:$AE562,MATCH(Tabelle11[[#Headers],[Spalte42]],Spielauswertung!$B562:$E562,0))+BC573)</f>
        <v>100</v>
      </c>
      <c r="BD574" s="1">
        <f>IF(IFERROR(MATCH(Tabelle11[[#Headers],[Spalte43]],Spielauswertung!$B562:$E562,0),0)=0,BD573,INDEX(Spielauswertung!$AB562:$AE562,MATCH(Tabelle11[[#Headers],[Spalte43]],Spielauswertung!$B562:$E562,0))+BD573)</f>
        <v>100</v>
      </c>
      <c r="BE574" s="1">
        <f>IF(IFERROR(MATCH(Tabelle11[[#Headers],[Spalte44]],Spielauswertung!$B562:$E562,0),0)=0,BE573,INDEX(Spielauswertung!$AB562:$AE562,MATCH(Tabelle11[[#Headers],[Spalte44]],Spielauswertung!$B562:$E562,0))+BE573)</f>
        <v>100</v>
      </c>
      <c r="BF574" s="1">
        <f>IF(IFERROR(MATCH(Tabelle11[[#Headers],[Spalte45]],Spielauswertung!$B562:$E562,0),0)=0,BF573,INDEX(Spielauswertung!$AB562:$AE562,MATCH(Tabelle11[[#Headers],[Spalte45]],Spielauswertung!$B562:$E562,0))+BF573)</f>
        <v>100</v>
      </c>
      <c r="BG574" s="1">
        <f>IF(IFERROR(MATCH(Tabelle11[[#Headers],[Spalte46]],Spielauswertung!$B562:$E562,0),0)=0,BG573,INDEX(Spielauswertung!$AB562:$AE562,MATCH(Tabelle11[[#Headers],[Spalte46]],Spielauswertung!$B562:$E562,0))+BG573)</f>
        <v>100</v>
      </c>
      <c r="BH574" s="1">
        <f>IF(IFERROR(MATCH(Tabelle11[[#Headers],[Spalte47]],Spielauswertung!$B562:$E562,0),0)=0,BH573,INDEX(Spielauswertung!$AB562:$AE562,MATCH(Tabelle11[[#Headers],[Spalte47]],Spielauswertung!$B562:$E562,0))+BH573)</f>
        <v>100</v>
      </c>
    </row>
    <row r="575" spans="1:60" x14ac:dyDescent="0.25">
      <c r="A575">
        <f t="shared" si="9"/>
        <v>562</v>
      </c>
      <c r="B575" s="1">
        <f>IF(IFERROR(MATCH(Tabelle11[[#Headers],[Aleix_V]],Spielauswertung!$B563:$E563,0),0)=0,B574,INDEX(Spielauswertung!$AB563:$AE563,MATCH(Tabelle11[[#Headers],[Aleix_V]],Spielauswertung!$B563:$E563,0))+B574)</f>
        <v>102.47318019444646</v>
      </c>
      <c r="C575" s="1">
        <f>IF(IFERROR(MATCH(Tabelle11[[#Headers],[Andres_H]],Spielauswertung!$B563:$E563,0),0)=0,C574,INDEX(Spielauswertung!$AB563:$AE563,MATCH(Tabelle11[[#Headers],[Andres_H]],Spielauswertung!$B563:$E563,0))+C574)</f>
        <v>95.535732339111306</v>
      </c>
      <c r="D575" s="1">
        <f>IF(IFERROR(MATCH(Tabelle11[[#Headers],[Anton_K]],Spielauswertung!$B563:$E563,0),0)=0,D574,INDEX(Spielauswertung!$AB563:$AE563,MATCH(Tabelle11[[#Headers],[Anton_K]],Spielauswertung!$B563:$E563,0))+D574)</f>
        <v>99.287728777054667</v>
      </c>
      <c r="E575" s="1">
        <f>IF(IFERROR(MATCH(Tabelle11[[#Headers],[Bastian_G]],Spielauswertung!$B563:$E563,0),0)=0,E574,INDEX(Spielauswertung!$AB563:$AE563,MATCH(Tabelle11[[#Headers],[Bastian_G]],Spielauswertung!$B563:$E563,0))+E574)</f>
        <v>117.49978695184252</v>
      </c>
      <c r="F575" s="1">
        <f>IF(IFERROR(MATCH(Tabelle11[[#Headers],[Ben_S]],Spielauswertung!$B563:$E563,0),0)=0,F574,INDEX(Spielauswertung!$AB563:$AE563,MATCH(Tabelle11[[#Headers],[Ben_S]],Spielauswertung!$B563:$E563,0))+F574)</f>
        <v>95.932799101521084</v>
      </c>
      <c r="G575" s="1">
        <f>IF(IFERROR(MATCH(Tabelle11[[#Headers],[Benedikt_K]],Spielauswertung!$B563:$E563,0),0)=0,G574,INDEX(Spielauswertung!$AB563:$AE563,MATCH(Tabelle11[[#Headers],[Benedikt_K]],Spielauswertung!$B563:$E563,0))+G574)</f>
        <v>101.20264176422626</v>
      </c>
      <c r="H575" s="1">
        <f>IF(IFERROR(MATCH(Tabelle11[[#Headers],[Benedikt_R]],Spielauswertung!$B563:$E563,0),0)=0,H574,INDEX(Spielauswertung!$AB563:$AE563,MATCH(Tabelle11[[#Headers],[Benedikt_R]],Spielauswertung!$B563:$E563,0))+H574)</f>
        <v>102.6264770510757</v>
      </c>
      <c r="I575" s="1">
        <f>IF(IFERROR(MATCH(Tabelle11[[#Headers],[Carsten_H]],Spielauswertung!$B563:$E563,0),0)=0,I574,INDEX(Spielauswertung!$AB563:$AE563,MATCH(Tabelle11[[#Headers],[Carsten_H]],Spielauswertung!$B563:$E563,0))+I574)</f>
        <v>90.817185094326874</v>
      </c>
      <c r="J575" s="1">
        <f>IF(IFERROR(MATCH(Tabelle11[[#Headers],[Christoph_R]],Spielauswertung!$B563:$E563,0),0)=0,J574,INDEX(Spielauswertung!$AB563:$AE563,MATCH(Tabelle11[[#Headers],[Christoph_R]],Spielauswertung!$B563:$E563,0))+J574)</f>
        <v>109.73261611443155</v>
      </c>
      <c r="K575" s="1">
        <f>IF(IFERROR(MATCH(Tabelle11[[#Headers],[Claudius_J]],Spielauswertung!$B563:$E563,0),0)=0,K574,INDEX(Spielauswertung!$AB563:$AE563,MATCH(Tabelle11[[#Headers],[Claudius_J]],Spielauswertung!$B563:$E563,0))+K574)</f>
        <v>106.16590636000029</v>
      </c>
      <c r="L575" s="1">
        <f>IF(IFERROR(MATCH(Tabelle11[[#Headers],[Daniel_D]],Spielauswertung!$B563:$E563,0),0)=0,L574,INDEX(Spielauswertung!$AB563:$AE563,MATCH(Tabelle11[[#Headers],[Daniel_D]],Spielauswertung!$B563:$E563,0))+L574)</f>
        <v>99.990299180470089</v>
      </c>
      <c r="M575" s="1">
        <f>IF(IFERROR(MATCH(Tabelle11[[#Headers],[David_R]],Spielauswertung!$B563:$E563,0),0)=0,M574,INDEX(Spielauswertung!$AB563:$AE563,MATCH(Tabelle11[[#Headers],[David_R]],Spielauswertung!$B563:$E563,0))+M574)</f>
        <v>96.715943522481638</v>
      </c>
      <c r="N575" s="1">
        <f>IF(IFERROR(MATCH(Tabelle11[[#Headers],[Dennis_P]],Spielauswertung!$B563:$E563,0),0)=0,N574,INDEX(Spielauswertung!$AB563:$AE563,MATCH(Tabelle11[[#Headers],[Dennis_P]],Spielauswertung!$B563:$E563,0))+N574)</f>
        <v>100.04773223105254</v>
      </c>
      <c r="O575" s="1">
        <f>IF(IFERROR(MATCH(Tabelle11[[#Headers],[Dennis_R]],Spielauswertung!$B563:$E563,0),0)=0,O574,INDEX(Spielauswertung!$AB563:$AE563,MATCH(Tabelle11[[#Headers],[Dennis_R]],Spielauswertung!$B563:$E563,0))+O574)</f>
        <v>75.131680864937195</v>
      </c>
      <c r="P575" s="1">
        <f>IF(IFERROR(MATCH(Tabelle11[[#Headers],[Detlef_R]],Spielauswertung!$B563:$E563,0),0)=0,P574,INDEX(Spielauswertung!$AB563:$AE563,MATCH(Tabelle11[[#Headers],[Detlef_R]],Spielauswertung!$B563:$E563,0))+P574)</f>
        <v>87.984671797367014</v>
      </c>
      <c r="Q575" s="1">
        <f>IF(IFERROR(MATCH(Tabelle11[[#Headers],[Dmitrij_M]],Spielauswertung!$B563:$E563,0),0)=0,Q574,INDEX(Spielauswertung!$AB563:$AE563,MATCH(Tabelle11[[#Headers],[Dmitrij_M]],Spielauswertung!$B563:$E563,0))+Q574)</f>
        <v>100.69975721846207</v>
      </c>
      <c r="R575" s="1">
        <f>IF(IFERROR(MATCH(Tabelle11[[#Headers],[Fabian_M]],Spielauswertung!$B563:$E563,0),0)=0,R574,INDEX(Spielauswertung!$AB563:$AE563,MATCH(Tabelle11[[#Headers],[Fabian_M]],Spielauswertung!$B563:$E563,0))+R574)</f>
        <v>95.805387841610738</v>
      </c>
      <c r="S575" s="1">
        <f>IF(IFERROR(MATCH(Tabelle11[[#Headers],[Hannes_S]],Spielauswertung!$B563:$E563,0),0)=0,S574,INDEX(Spielauswertung!$AB563:$AE563,MATCH(Tabelle11[[#Headers],[Hannes_S]],Spielauswertung!$B563:$E563,0))+S574)</f>
        <v>104.83899184012799</v>
      </c>
      <c r="T575" s="1">
        <f>IF(IFERROR(MATCH(Tabelle11[[#Headers],[Jan_B]],Spielauswertung!$B563:$E563,0),0)=0,T574,INDEX(Spielauswertung!$AB563:$AE563,MATCH(Tabelle11[[#Headers],[Jan_B]],Spielauswertung!$B563:$E563,0))+T574)</f>
        <v>100.2794420429173</v>
      </c>
      <c r="U575" s="1">
        <f>IF(IFERROR(MATCH(Tabelle11[[#Headers],[Jan_Hendrik_B]],Spielauswertung!$B563:$E563,0),0)=0,U574,INDEX(Spielauswertung!$AB563:$AE563,MATCH(Tabelle11[[#Headers],[Jan_Hendrik_B]],Spielauswertung!$B563:$E563,0))+U574)</f>
        <v>100.75492416935522</v>
      </c>
      <c r="V575" s="1">
        <f>IF(IFERROR(MATCH(Tabelle11[[#Headers],[Jens_N]],Spielauswertung!$B563:$E563,0),0)=0,V574,INDEX(Spielauswertung!$AB563:$AE563,MATCH(Tabelle11[[#Headers],[Jens_N]],Spielauswertung!$B563:$E563,0))+V574)</f>
        <v>99.643534710196832</v>
      </c>
      <c r="W575" s="1">
        <f>IF(IFERROR(MATCH(Tabelle11[[#Headers],[Johannes_S]],Spielauswertung!$B563:$E563,0),0)=0,W574,INDEX(Spielauswertung!$AB563:$AE563,MATCH(Tabelle11[[#Headers],[Johannes_S]],Spielauswertung!$B563:$E563,0))+W574)</f>
        <v>102.20284750979505</v>
      </c>
      <c r="X575" s="1">
        <f>IF(IFERROR(MATCH(Tabelle11[[#Headers],[Jonathan_F]],Spielauswertung!$B563:$E563,0),0)=0,X574,INDEX(Spielauswertung!$AB563:$AE563,MATCH(Tabelle11[[#Headers],[Jonathan_F]],Spielauswertung!$B563:$E563,0))+X574)</f>
        <v>98.938308797866256</v>
      </c>
      <c r="Y575" s="1">
        <f>IF(IFERROR(MATCH(Tabelle11[[#Headers],[Julius_P]],Spielauswertung!$B563:$E563,0),0)=0,Y574,INDEX(Spielauswertung!$AB563:$AE563,MATCH(Tabelle11[[#Headers],[Julius_P]],Spielauswertung!$B563:$E563,0))+Y574)</f>
        <v>96.540305101873642</v>
      </c>
      <c r="Z575" s="1">
        <f>IF(IFERROR(MATCH(Tabelle11[[#Headers],[Louis_W]],Spielauswertung!$B563:$E563,0),0)=0,Z574,INDEX(Spielauswertung!$AB563:$AE563,MATCH(Tabelle11[[#Headers],[Louis_W]],Spielauswertung!$B563:$E563,0))+Z574)</f>
        <v>87.497452285475362</v>
      </c>
      <c r="AA575" s="1">
        <f>IF(IFERROR(MATCH(Tabelle11[[#Headers],[Lukas_L]],Spielauswertung!$B563:$E563,0),0)=0,AA574,INDEX(Spielauswertung!$AB563:$AE563,MATCH(Tabelle11[[#Headers],[Lukas_L]],Spielauswertung!$B563:$E563,0))+AA574)</f>
        <v>98.447931341404143</v>
      </c>
      <c r="AB575" s="1">
        <f>IF(IFERROR(MATCH(Tabelle11[[#Headers],[Marcin_S]],Spielauswertung!$B563:$E563,0),0)=0,AB574,INDEX(Spielauswertung!$AB563:$AE563,MATCH(Tabelle11[[#Headers],[Marcin_S]],Spielauswertung!$B563:$E563,0))+AB574)</f>
        <v>85.463329105556824</v>
      </c>
      <c r="AC575" s="1">
        <f>IF(IFERROR(MATCH(Tabelle11[[#Headers],[Marco_K]],Spielauswertung!$B563:$E563,0),0)=0,AC574,INDEX(Spielauswertung!$AB563:$AE563,MATCH(Tabelle11[[#Headers],[Marco_K]],Spielauswertung!$B563:$E563,0))+AC574)</f>
        <v>102.12169819441469</v>
      </c>
      <c r="AD575" s="1">
        <f>IF(IFERROR(MATCH(Tabelle11[[#Headers],[Marius_M]],Spielauswertung!$B563:$E563,0),0)=0,AD574,INDEX(Spielauswertung!$AB563:$AE563,MATCH(Tabelle11[[#Headers],[Marius_M]],Spielauswertung!$B563:$E563,0))+AD574)</f>
        <v>124.54012374585781</v>
      </c>
      <c r="AE575" s="1">
        <f>IF(IFERROR(MATCH(Tabelle11[[#Headers],[Marvin_W]],Spielauswertung!$B563:$E563,0),0)=0,AE574,INDEX(Spielauswertung!$AB563:$AE563,MATCH(Tabelle11[[#Headers],[Marvin_W]],Spielauswertung!$B563:$E563,0))+AE574)</f>
        <v>96.700266280577438</v>
      </c>
      <c r="AF575" s="1">
        <f>IF(IFERROR(MATCH(Tabelle11[[#Headers],[Matthias_H]],Spielauswertung!$B563:$E563,0),0)=0,AF574,INDEX(Spielauswertung!$AB563:$AE563,MATCH(Tabelle11[[#Headers],[Matthias_H]],Spielauswertung!$B563:$E563,0))+AF574)</f>
        <v>105.42130178599372</v>
      </c>
      <c r="AG575" s="1">
        <f>IF(IFERROR(MATCH(Tabelle11[[#Headers],[Michael_D]],Spielauswertung!$B563:$E563,0),0)=0,AG574,INDEX(Spielauswertung!$AB563:$AE563,MATCH(Tabelle11[[#Headers],[Michael_D]],Spielauswertung!$B563:$E563,0))+AG574)</f>
        <v>96.436276170375336</v>
      </c>
      <c r="AH575" s="1">
        <f>IF(IFERROR(MATCH(Tabelle11[[#Headers],[Patrick_S]],Spielauswertung!$B563:$E563,0),0)=0,AH574,INDEX(Spielauswertung!$AB563:$AE563,MATCH(Tabelle11[[#Headers],[Patrick_S]],Spielauswertung!$B563:$E563,0))+AH574)</f>
        <v>98.975330692053802</v>
      </c>
      <c r="AI575" s="1">
        <f>IF(IFERROR(MATCH(Tabelle11[[#Headers],[Rano_M]],Spielauswertung!$B563:$E563,0),0)=0,AI574,INDEX(Spielauswertung!$AB563:$AE563,MATCH(Tabelle11[[#Headers],[Rano_M]],Spielauswertung!$B563:$E563,0))+AI574)</f>
        <v>109.38890657420265</v>
      </c>
      <c r="AJ575" s="1">
        <f>IF(IFERROR(MATCH(Tabelle11[[#Headers],[Rene_N]],Spielauswertung!$B563:$E563,0),0)=0,AJ574,INDEX(Spielauswertung!$AB563:$AE563,MATCH(Tabelle11[[#Headers],[Rene_N]],Spielauswertung!$B563:$E563,0))+AJ574)</f>
        <v>101.06482124619033</v>
      </c>
      <c r="AK575" s="1">
        <f>IF(IFERROR(MATCH(Tabelle11[[#Headers],[Rene_P]],Spielauswertung!$B563:$E563,0),0)=0,AK574,INDEX(Spielauswertung!$AB563:$AE563,MATCH(Tabelle11[[#Headers],[Rene_P]],Spielauswertung!$B563:$E563,0))+AK574)</f>
        <v>88.762543186332877</v>
      </c>
      <c r="AL575" s="1">
        <f>IF(IFERROR(MATCH(Tabelle11[[#Headers],[Richard_D]],Spielauswertung!$B563:$E563,0),0)=0,AL574,INDEX(Spielauswertung!$AB563:$AE563,MATCH(Tabelle11[[#Headers],[Richard_D]],Spielauswertung!$B563:$E563,0))+AL574)</f>
        <v>107.23233592026223</v>
      </c>
      <c r="AM575" s="1">
        <f>IF(IFERROR(MATCH(Tabelle11[[#Headers],[Rodrigo_R]],Spielauswertung!$B563:$E563,0),0)=0,AM574,INDEX(Spielauswertung!$AB563:$AE563,MATCH(Tabelle11[[#Headers],[Rodrigo_R]],Spielauswertung!$B563:$E563,0))+AM574)</f>
        <v>116.7028707921346</v>
      </c>
      <c r="AN575" s="1">
        <f>IF(IFERROR(MATCH(Tabelle11[[#Headers],[Sebastian_A]],Spielauswertung!$B563:$E563,0),0)=0,AN574,INDEX(Spielauswertung!$AB563:$AE563,MATCH(Tabelle11[[#Headers],[Sebastian_A]],Spielauswertung!$B563:$E563,0))+AN574)</f>
        <v>102.89457418671324</v>
      </c>
      <c r="AO575" s="1">
        <f>IF(IFERROR(MATCH(Tabelle11[[#Headers],[Sebastian_St]],Spielauswertung!$B563:$E563,0),0)=0,AO574,INDEX(Spielauswertung!$AB563:$AE563,MATCH(Tabelle11[[#Headers],[Sebastian_St]],Spielauswertung!$B563:$E563,0))+AO574)</f>
        <v>97.749574367408982</v>
      </c>
      <c r="AP575" s="1">
        <f>IF(IFERROR(MATCH(Tabelle11[[#Headers],[Simon_U]],Spielauswertung!$B563:$E563,0),0)=0,AP574,INDEX(Spielauswertung!$AB563:$AE563,MATCH(Tabelle11[[#Headers],[Simon_U]],Spielauswertung!$B563:$E563,0))+AP574)</f>
        <v>99.623054841470903</v>
      </c>
      <c r="AQ575" s="1">
        <f>IF(IFERROR(MATCH(Tabelle11[[#Headers],[Steffen_R]],Spielauswertung!$B563:$E563,0),0)=0,AQ574,INDEX(Spielauswertung!$AB563:$AE563,MATCH(Tabelle11[[#Headers],[Steffen_R]],Spielauswertung!$B563:$E563,0))+AQ574)</f>
        <v>93.247497067190949</v>
      </c>
      <c r="AR575" s="1">
        <f>IF(IFERROR(MATCH(Tabelle11[[#Headers],[Tim_R]],Spielauswertung!$B563:$E563,0),0)=0,AR574,INDEX(Spielauswertung!$AB563:$AE563,MATCH(Tabelle11[[#Headers],[Tim_R]],Spielauswertung!$B563:$E563,0))+AR574)</f>
        <v>103.07503787023374</v>
      </c>
      <c r="AS575" s="1">
        <f>IF(IFERROR(MATCH(Tabelle11[[#Headers],[Tobias_S]],Spielauswertung!$B563:$E563,0),0)=0,AS574,INDEX(Spielauswertung!$AB563:$AE563,MATCH(Tabelle11[[#Headers],[Tobias_S]],Spielauswertung!$B563:$E563,0))+AS574)</f>
        <v>98.6003422659997</v>
      </c>
      <c r="AT575" s="1">
        <f>IF(IFERROR(MATCH(Tabelle11[[#Headers],[Tom_R]],Spielauswertung!$B563:$E563,0),0)=0,AT574,INDEX(Spielauswertung!$AB563:$AE563,MATCH(Tabelle11[[#Headers],[Tom_R]],Spielauswertung!$B563:$E563,0))+AT574)</f>
        <v>112.62344492949197</v>
      </c>
      <c r="AU575" s="1">
        <f>IF(IFERROR(MATCH(Tabelle11[[#Headers],[Ton_L]],Spielauswertung!$B563:$E563,0),0)=0,AU574,INDEX(Spielauswertung!$AB563:$AE563,MATCH(Tabelle11[[#Headers],[Ton_L]],Spielauswertung!$B563:$E563,0))+AU574)</f>
        <v>92.683083360025861</v>
      </c>
      <c r="AV575" s="1">
        <f>IF(IFERROR(MATCH(Tabelle11[[#Headers],[Yixin_G]],Spielauswertung!$B563:$E563,0),0)=0,AV574,INDEX(Spielauswertung!$AB563:$AE563,MATCH(Tabelle11[[#Headers],[Yixin_G]],Spielauswertung!$B563:$E563,0))+AV574)</f>
        <v>99.900323214082661</v>
      </c>
      <c r="AW575" s="1">
        <f>IF(IFERROR(MATCH(Tabelle11[[#Headers],[Spalte36]],Spielauswertung!$B563:$E563,0),0)=0,AW574,INDEX(Spielauswertung!$AB563:$AE563,MATCH(Tabelle11[[#Headers],[Spalte36]],Spielauswertung!$B563:$E563,0))+AW574)</f>
        <v>100</v>
      </c>
      <c r="AX575" s="1">
        <f>IF(IFERROR(MATCH(Tabelle11[[#Headers],[Spalte37]],Spielauswertung!$B563:$E563,0),0)=0,AX574,INDEX(Spielauswertung!$AB563:$AE563,MATCH(Tabelle11[[#Headers],[Spalte37]],Spielauswertung!$B563:$E563,0))+AX574)</f>
        <v>100</v>
      </c>
      <c r="AY575" s="1">
        <f>IF(IFERROR(MATCH(Tabelle11[[#Headers],[Spalte38]],Spielauswertung!$B563:$E563,0),0)=0,AY574,INDEX(Spielauswertung!$AB563:$AE563,MATCH(Tabelle11[[#Headers],[Spalte38]],Spielauswertung!$B563:$E563,0))+AY574)</f>
        <v>100</v>
      </c>
      <c r="AZ575" s="1">
        <f>IF(IFERROR(MATCH(Tabelle11[[#Headers],[Spalte39]],Spielauswertung!$B563:$E563,0),0)=0,AZ574,INDEX(Spielauswertung!$AB563:$AE563,MATCH(Tabelle11[[#Headers],[Spalte39]],Spielauswertung!$B563:$E563,0))+AZ574)</f>
        <v>100</v>
      </c>
      <c r="BA575" s="1">
        <f>IF(IFERROR(MATCH(Tabelle11[[#Headers],[Spalte40]],Spielauswertung!$B563:$E563,0),0)=0,BA574,INDEX(Spielauswertung!$AB563:$AE563,MATCH(Tabelle11[[#Headers],[Spalte40]],Spielauswertung!$B563:$E563,0))+BA574)</f>
        <v>100</v>
      </c>
      <c r="BB575" s="1">
        <f>IF(IFERROR(MATCH(Tabelle11[[#Headers],[Spalte41]],Spielauswertung!$B563:$E563,0),0)=0,BB574,INDEX(Spielauswertung!$AB563:$AE563,MATCH(Tabelle11[[#Headers],[Spalte41]],Spielauswertung!$B563:$E563,0))+BB574)</f>
        <v>100</v>
      </c>
      <c r="BC575" s="1">
        <f>IF(IFERROR(MATCH(Tabelle11[[#Headers],[Spalte42]],Spielauswertung!$B563:$E563,0),0)=0,BC574,INDEX(Spielauswertung!$AB563:$AE563,MATCH(Tabelle11[[#Headers],[Spalte42]],Spielauswertung!$B563:$E563,0))+BC574)</f>
        <v>100</v>
      </c>
      <c r="BD575" s="1">
        <f>IF(IFERROR(MATCH(Tabelle11[[#Headers],[Spalte43]],Spielauswertung!$B563:$E563,0),0)=0,BD574,INDEX(Spielauswertung!$AB563:$AE563,MATCH(Tabelle11[[#Headers],[Spalte43]],Spielauswertung!$B563:$E563,0))+BD574)</f>
        <v>100</v>
      </c>
      <c r="BE575" s="1">
        <f>IF(IFERROR(MATCH(Tabelle11[[#Headers],[Spalte44]],Spielauswertung!$B563:$E563,0),0)=0,BE574,INDEX(Spielauswertung!$AB563:$AE563,MATCH(Tabelle11[[#Headers],[Spalte44]],Spielauswertung!$B563:$E563,0))+BE574)</f>
        <v>100</v>
      </c>
      <c r="BF575" s="1">
        <f>IF(IFERROR(MATCH(Tabelle11[[#Headers],[Spalte45]],Spielauswertung!$B563:$E563,0),0)=0,BF574,INDEX(Spielauswertung!$AB563:$AE563,MATCH(Tabelle11[[#Headers],[Spalte45]],Spielauswertung!$B563:$E563,0))+BF574)</f>
        <v>100</v>
      </c>
      <c r="BG575" s="1">
        <f>IF(IFERROR(MATCH(Tabelle11[[#Headers],[Spalte46]],Spielauswertung!$B563:$E563,0),0)=0,BG574,INDEX(Spielauswertung!$AB563:$AE563,MATCH(Tabelle11[[#Headers],[Spalte46]],Spielauswertung!$B563:$E563,0))+BG574)</f>
        <v>100</v>
      </c>
      <c r="BH575" s="1">
        <f>IF(IFERROR(MATCH(Tabelle11[[#Headers],[Spalte47]],Spielauswertung!$B563:$E563,0),0)=0,BH574,INDEX(Spielauswertung!$AB563:$AE563,MATCH(Tabelle11[[#Headers],[Spalte47]],Spielauswertung!$B563:$E563,0))+BH574)</f>
        <v>100</v>
      </c>
    </row>
    <row r="576" spans="1:60" x14ac:dyDescent="0.25">
      <c r="A576">
        <f t="shared" si="9"/>
        <v>563</v>
      </c>
      <c r="B576" s="1">
        <f>IF(IFERROR(MATCH(Tabelle11[[#Headers],[Aleix_V]],Spielauswertung!$B564:$E564,0),0)=0,B575,INDEX(Spielauswertung!$AB564:$AE564,MATCH(Tabelle11[[#Headers],[Aleix_V]],Spielauswertung!$B564:$E564,0))+B575)</f>
        <v>102.47318019444646</v>
      </c>
      <c r="C576" s="1">
        <f>IF(IFERROR(MATCH(Tabelle11[[#Headers],[Andres_H]],Spielauswertung!$B564:$E564,0),0)=0,C575,INDEX(Spielauswertung!$AB564:$AE564,MATCH(Tabelle11[[#Headers],[Andres_H]],Spielauswertung!$B564:$E564,0))+C575)</f>
        <v>95.535732339111306</v>
      </c>
      <c r="D576" s="1">
        <f>IF(IFERROR(MATCH(Tabelle11[[#Headers],[Anton_K]],Spielauswertung!$B564:$E564,0),0)=0,D575,INDEX(Spielauswertung!$AB564:$AE564,MATCH(Tabelle11[[#Headers],[Anton_K]],Spielauswertung!$B564:$E564,0))+D575)</f>
        <v>99.287728777054667</v>
      </c>
      <c r="E576" s="1">
        <f>IF(IFERROR(MATCH(Tabelle11[[#Headers],[Bastian_G]],Spielauswertung!$B564:$E564,0),0)=0,E575,INDEX(Spielauswertung!$AB564:$AE564,MATCH(Tabelle11[[#Headers],[Bastian_G]],Spielauswertung!$B564:$E564,0))+E575)</f>
        <v>117.49978695184252</v>
      </c>
      <c r="F576" s="1">
        <f>IF(IFERROR(MATCH(Tabelle11[[#Headers],[Ben_S]],Spielauswertung!$B564:$E564,0),0)=0,F575,INDEX(Spielauswertung!$AB564:$AE564,MATCH(Tabelle11[[#Headers],[Ben_S]],Spielauswertung!$B564:$E564,0))+F575)</f>
        <v>95.932799101521084</v>
      </c>
      <c r="G576" s="1">
        <f>IF(IFERROR(MATCH(Tabelle11[[#Headers],[Benedikt_K]],Spielauswertung!$B564:$E564,0),0)=0,G575,INDEX(Spielauswertung!$AB564:$AE564,MATCH(Tabelle11[[#Headers],[Benedikt_K]],Spielauswertung!$B564:$E564,0))+G575)</f>
        <v>101.20264176422626</v>
      </c>
      <c r="H576" s="1">
        <f>IF(IFERROR(MATCH(Tabelle11[[#Headers],[Benedikt_R]],Spielauswertung!$B564:$E564,0),0)=0,H575,INDEX(Spielauswertung!$AB564:$AE564,MATCH(Tabelle11[[#Headers],[Benedikt_R]],Spielauswertung!$B564:$E564,0))+H575)</f>
        <v>102.6264770510757</v>
      </c>
      <c r="I576" s="1">
        <f>IF(IFERROR(MATCH(Tabelle11[[#Headers],[Carsten_H]],Spielauswertung!$B564:$E564,0),0)=0,I575,INDEX(Spielauswertung!$AB564:$AE564,MATCH(Tabelle11[[#Headers],[Carsten_H]],Spielauswertung!$B564:$E564,0))+I575)</f>
        <v>90.817185094326874</v>
      </c>
      <c r="J576" s="1">
        <f>IF(IFERROR(MATCH(Tabelle11[[#Headers],[Christoph_R]],Spielauswertung!$B564:$E564,0),0)=0,J575,INDEX(Spielauswertung!$AB564:$AE564,MATCH(Tabelle11[[#Headers],[Christoph_R]],Spielauswertung!$B564:$E564,0))+J575)</f>
        <v>109.73261611443155</v>
      </c>
      <c r="K576" s="1">
        <f>IF(IFERROR(MATCH(Tabelle11[[#Headers],[Claudius_J]],Spielauswertung!$B564:$E564,0),0)=0,K575,INDEX(Spielauswertung!$AB564:$AE564,MATCH(Tabelle11[[#Headers],[Claudius_J]],Spielauswertung!$B564:$E564,0))+K575)</f>
        <v>106.16590636000029</v>
      </c>
      <c r="L576" s="1">
        <f>IF(IFERROR(MATCH(Tabelle11[[#Headers],[Daniel_D]],Spielauswertung!$B564:$E564,0),0)=0,L575,INDEX(Spielauswertung!$AB564:$AE564,MATCH(Tabelle11[[#Headers],[Daniel_D]],Spielauswertung!$B564:$E564,0))+L575)</f>
        <v>99.990299180470089</v>
      </c>
      <c r="M576" s="1">
        <f>IF(IFERROR(MATCH(Tabelle11[[#Headers],[David_R]],Spielauswertung!$B564:$E564,0),0)=0,M575,INDEX(Spielauswertung!$AB564:$AE564,MATCH(Tabelle11[[#Headers],[David_R]],Spielauswertung!$B564:$E564,0))+M575)</f>
        <v>96.715943522481638</v>
      </c>
      <c r="N576" s="1">
        <f>IF(IFERROR(MATCH(Tabelle11[[#Headers],[Dennis_P]],Spielauswertung!$B564:$E564,0),0)=0,N575,INDEX(Spielauswertung!$AB564:$AE564,MATCH(Tabelle11[[#Headers],[Dennis_P]],Spielauswertung!$B564:$E564,0))+N575)</f>
        <v>100.04773223105254</v>
      </c>
      <c r="O576" s="1">
        <f>IF(IFERROR(MATCH(Tabelle11[[#Headers],[Dennis_R]],Spielauswertung!$B564:$E564,0),0)=0,O575,INDEX(Spielauswertung!$AB564:$AE564,MATCH(Tabelle11[[#Headers],[Dennis_R]],Spielauswertung!$B564:$E564,0))+O575)</f>
        <v>75.131680864937195</v>
      </c>
      <c r="P576" s="1">
        <f>IF(IFERROR(MATCH(Tabelle11[[#Headers],[Detlef_R]],Spielauswertung!$B564:$E564,0),0)=0,P575,INDEX(Spielauswertung!$AB564:$AE564,MATCH(Tabelle11[[#Headers],[Detlef_R]],Spielauswertung!$B564:$E564,0))+P575)</f>
        <v>87.984671797367014</v>
      </c>
      <c r="Q576" s="1">
        <f>IF(IFERROR(MATCH(Tabelle11[[#Headers],[Dmitrij_M]],Spielauswertung!$B564:$E564,0),0)=0,Q575,INDEX(Spielauswertung!$AB564:$AE564,MATCH(Tabelle11[[#Headers],[Dmitrij_M]],Spielauswertung!$B564:$E564,0))+Q575)</f>
        <v>100.69975721846207</v>
      </c>
      <c r="R576" s="1">
        <f>IF(IFERROR(MATCH(Tabelle11[[#Headers],[Fabian_M]],Spielauswertung!$B564:$E564,0),0)=0,R575,INDEX(Spielauswertung!$AB564:$AE564,MATCH(Tabelle11[[#Headers],[Fabian_M]],Spielauswertung!$B564:$E564,0))+R575)</f>
        <v>95.805387841610738</v>
      </c>
      <c r="S576" s="1">
        <f>IF(IFERROR(MATCH(Tabelle11[[#Headers],[Hannes_S]],Spielauswertung!$B564:$E564,0),0)=0,S575,INDEX(Spielauswertung!$AB564:$AE564,MATCH(Tabelle11[[#Headers],[Hannes_S]],Spielauswertung!$B564:$E564,0))+S575)</f>
        <v>104.83899184012799</v>
      </c>
      <c r="T576" s="1">
        <f>IF(IFERROR(MATCH(Tabelle11[[#Headers],[Jan_B]],Spielauswertung!$B564:$E564,0),0)=0,T575,INDEX(Spielauswertung!$AB564:$AE564,MATCH(Tabelle11[[#Headers],[Jan_B]],Spielauswertung!$B564:$E564,0))+T575)</f>
        <v>100.2794420429173</v>
      </c>
      <c r="U576" s="1">
        <f>IF(IFERROR(MATCH(Tabelle11[[#Headers],[Jan_Hendrik_B]],Spielauswertung!$B564:$E564,0),0)=0,U575,INDEX(Spielauswertung!$AB564:$AE564,MATCH(Tabelle11[[#Headers],[Jan_Hendrik_B]],Spielauswertung!$B564:$E564,0))+U575)</f>
        <v>100.75492416935522</v>
      </c>
      <c r="V576" s="1">
        <f>IF(IFERROR(MATCH(Tabelle11[[#Headers],[Jens_N]],Spielauswertung!$B564:$E564,0),0)=0,V575,INDEX(Spielauswertung!$AB564:$AE564,MATCH(Tabelle11[[#Headers],[Jens_N]],Spielauswertung!$B564:$E564,0))+V575)</f>
        <v>99.643534710196832</v>
      </c>
      <c r="W576" s="1">
        <f>IF(IFERROR(MATCH(Tabelle11[[#Headers],[Johannes_S]],Spielauswertung!$B564:$E564,0),0)=0,W575,INDEX(Spielauswertung!$AB564:$AE564,MATCH(Tabelle11[[#Headers],[Johannes_S]],Spielauswertung!$B564:$E564,0))+W575)</f>
        <v>102.20284750979505</v>
      </c>
      <c r="X576" s="1">
        <f>IF(IFERROR(MATCH(Tabelle11[[#Headers],[Jonathan_F]],Spielauswertung!$B564:$E564,0),0)=0,X575,INDEX(Spielauswertung!$AB564:$AE564,MATCH(Tabelle11[[#Headers],[Jonathan_F]],Spielauswertung!$B564:$E564,0))+X575)</f>
        <v>98.938308797866256</v>
      </c>
      <c r="Y576" s="1">
        <f>IF(IFERROR(MATCH(Tabelle11[[#Headers],[Julius_P]],Spielauswertung!$B564:$E564,0),0)=0,Y575,INDEX(Spielauswertung!$AB564:$AE564,MATCH(Tabelle11[[#Headers],[Julius_P]],Spielauswertung!$B564:$E564,0))+Y575)</f>
        <v>96.540305101873642</v>
      </c>
      <c r="Z576" s="1">
        <f>IF(IFERROR(MATCH(Tabelle11[[#Headers],[Louis_W]],Spielauswertung!$B564:$E564,0),0)=0,Z575,INDEX(Spielauswertung!$AB564:$AE564,MATCH(Tabelle11[[#Headers],[Louis_W]],Spielauswertung!$B564:$E564,0))+Z575)</f>
        <v>87.497452285475362</v>
      </c>
      <c r="AA576" s="1">
        <f>IF(IFERROR(MATCH(Tabelle11[[#Headers],[Lukas_L]],Spielauswertung!$B564:$E564,0),0)=0,AA575,INDEX(Spielauswertung!$AB564:$AE564,MATCH(Tabelle11[[#Headers],[Lukas_L]],Spielauswertung!$B564:$E564,0))+AA575)</f>
        <v>98.447931341404143</v>
      </c>
      <c r="AB576" s="1">
        <f>IF(IFERROR(MATCH(Tabelle11[[#Headers],[Marcin_S]],Spielauswertung!$B564:$E564,0),0)=0,AB575,INDEX(Spielauswertung!$AB564:$AE564,MATCH(Tabelle11[[#Headers],[Marcin_S]],Spielauswertung!$B564:$E564,0))+AB575)</f>
        <v>85.463329105556824</v>
      </c>
      <c r="AC576" s="1">
        <f>IF(IFERROR(MATCH(Tabelle11[[#Headers],[Marco_K]],Spielauswertung!$B564:$E564,0),0)=0,AC575,INDEX(Spielauswertung!$AB564:$AE564,MATCH(Tabelle11[[#Headers],[Marco_K]],Spielauswertung!$B564:$E564,0))+AC575)</f>
        <v>102.12169819441469</v>
      </c>
      <c r="AD576" s="1">
        <f>IF(IFERROR(MATCH(Tabelle11[[#Headers],[Marius_M]],Spielauswertung!$B564:$E564,0),0)=0,AD575,INDEX(Spielauswertung!$AB564:$AE564,MATCH(Tabelle11[[#Headers],[Marius_M]],Spielauswertung!$B564:$E564,0))+AD575)</f>
        <v>124.54012374585781</v>
      </c>
      <c r="AE576" s="1">
        <f>IF(IFERROR(MATCH(Tabelle11[[#Headers],[Marvin_W]],Spielauswertung!$B564:$E564,0),0)=0,AE575,INDEX(Spielauswertung!$AB564:$AE564,MATCH(Tabelle11[[#Headers],[Marvin_W]],Spielauswertung!$B564:$E564,0))+AE575)</f>
        <v>96.700266280577438</v>
      </c>
      <c r="AF576" s="1">
        <f>IF(IFERROR(MATCH(Tabelle11[[#Headers],[Matthias_H]],Spielauswertung!$B564:$E564,0),0)=0,AF575,INDEX(Spielauswertung!$AB564:$AE564,MATCH(Tabelle11[[#Headers],[Matthias_H]],Spielauswertung!$B564:$E564,0))+AF575)</f>
        <v>105.42130178599372</v>
      </c>
      <c r="AG576" s="1">
        <f>IF(IFERROR(MATCH(Tabelle11[[#Headers],[Michael_D]],Spielauswertung!$B564:$E564,0),0)=0,AG575,INDEX(Spielauswertung!$AB564:$AE564,MATCH(Tabelle11[[#Headers],[Michael_D]],Spielauswertung!$B564:$E564,0))+AG575)</f>
        <v>96.436276170375336</v>
      </c>
      <c r="AH576" s="1">
        <f>IF(IFERROR(MATCH(Tabelle11[[#Headers],[Patrick_S]],Spielauswertung!$B564:$E564,0),0)=0,AH575,INDEX(Spielauswertung!$AB564:$AE564,MATCH(Tabelle11[[#Headers],[Patrick_S]],Spielauswertung!$B564:$E564,0))+AH575)</f>
        <v>98.975330692053802</v>
      </c>
      <c r="AI576" s="1">
        <f>IF(IFERROR(MATCH(Tabelle11[[#Headers],[Rano_M]],Spielauswertung!$B564:$E564,0),0)=0,AI575,INDEX(Spielauswertung!$AB564:$AE564,MATCH(Tabelle11[[#Headers],[Rano_M]],Spielauswertung!$B564:$E564,0))+AI575)</f>
        <v>109.38890657420265</v>
      </c>
      <c r="AJ576" s="1">
        <f>IF(IFERROR(MATCH(Tabelle11[[#Headers],[Rene_N]],Spielauswertung!$B564:$E564,0),0)=0,AJ575,INDEX(Spielauswertung!$AB564:$AE564,MATCH(Tabelle11[[#Headers],[Rene_N]],Spielauswertung!$B564:$E564,0))+AJ575)</f>
        <v>101.06482124619033</v>
      </c>
      <c r="AK576" s="1">
        <f>IF(IFERROR(MATCH(Tabelle11[[#Headers],[Rene_P]],Spielauswertung!$B564:$E564,0),0)=0,AK575,INDEX(Spielauswertung!$AB564:$AE564,MATCH(Tabelle11[[#Headers],[Rene_P]],Spielauswertung!$B564:$E564,0))+AK575)</f>
        <v>88.762543186332877</v>
      </c>
      <c r="AL576" s="1">
        <f>IF(IFERROR(MATCH(Tabelle11[[#Headers],[Richard_D]],Spielauswertung!$B564:$E564,0),0)=0,AL575,INDEX(Spielauswertung!$AB564:$AE564,MATCH(Tabelle11[[#Headers],[Richard_D]],Spielauswertung!$B564:$E564,0))+AL575)</f>
        <v>107.23233592026223</v>
      </c>
      <c r="AM576" s="1">
        <f>IF(IFERROR(MATCH(Tabelle11[[#Headers],[Rodrigo_R]],Spielauswertung!$B564:$E564,0),0)=0,AM575,INDEX(Spielauswertung!$AB564:$AE564,MATCH(Tabelle11[[#Headers],[Rodrigo_R]],Spielauswertung!$B564:$E564,0))+AM575)</f>
        <v>116.7028707921346</v>
      </c>
      <c r="AN576" s="1">
        <f>IF(IFERROR(MATCH(Tabelle11[[#Headers],[Sebastian_A]],Spielauswertung!$B564:$E564,0),0)=0,AN575,INDEX(Spielauswertung!$AB564:$AE564,MATCH(Tabelle11[[#Headers],[Sebastian_A]],Spielauswertung!$B564:$E564,0))+AN575)</f>
        <v>102.89457418671324</v>
      </c>
      <c r="AO576" s="1">
        <f>IF(IFERROR(MATCH(Tabelle11[[#Headers],[Sebastian_St]],Spielauswertung!$B564:$E564,0),0)=0,AO575,INDEX(Spielauswertung!$AB564:$AE564,MATCH(Tabelle11[[#Headers],[Sebastian_St]],Spielauswertung!$B564:$E564,0))+AO575)</f>
        <v>97.749574367408982</v>
      </c>
      <c r="AP576" s="1">
        <f>IF(IFERROR(MATCH(Tabelle11[[#Headers],[Simon_U]],Spielauswertung!$B564:$E564,0),0)=0,AP575,INDEX(Spielauswertung!$AB564:$AE564,MATCH(Tabelle11[[#Headers],[Simon_U]],Spielauswertung!$B564:$E564,0))+AP575)</f>
        <v>99.623054841470903</v>
      </c>
      <c r="AQ576" s="1">
        <f>IF(IFERROR(MATCH(Tabelle11[[#Headers],[Steffen_R]],Spielauswertung!$B564:$E564,0),0)=0,AQ575,INDEX(Spielauswertung!$AB564:$AE564,MATCH(Tabelle11[[#Headers],[Steffen_R]],Spielauswertung!$B564:$E564,0))+AQ575)</f>
        <v>93.247497067190949</v>
      </c>
      <c r="AR576" s="1">
        <f>IF(IFERROR(MATCH(Tabelle11[[#Headers],[Tim_R]],Spielauswertung!$B564:$E564,0),0)=0,AR575,INDEX(Spielauswertung!$AB564:$AE564,MATCH(Tabelle11[[#Headers],[Tim_R]],Spielauswertung!$B564:$E564,0))+AR575)</f>
        <v>103.07503787023374</v>
      </c>
      <c r="AS576" s="1">
        <f>IF(IFERROR(MATCH(Tabelle11[[#Headers],[Tobias_S]],Spielauswertung!$B564:$E564,0),0)=0,AS575,INDEX(Spielauswertung!$AB564:$AE564,MATCH(Tabelle11[[#Headers],[Tobias_S]],Spielauswertung!$B564:$E564,0))+AS575)</f>
        <v>98.6003422659997</v>
      </c>
      <c r="AT576" s="1">
        <f>IF(IFERROR(MATCH(Tabelle11[[#Headers],[Tom_R]],Spielauswertung!$B564:$E564,0),0)=0,AT575,INDEX(Spielauswertung!$AB564:$AE564,MATCH(Tabelle11[[#Headers],[Tom_R]],Spielauswertung!$B564:$E564,0))+AT575)</f>
        <v>112.62344492949197</v>
      </c>
      <c r="AU576" s="1">
        <f>IF(IFERROR(MATCH(Tabelle11[[#Headers],[Ton_L]],Spielauswertung!$B564:$E564,0),0)=0,AU575,INDEX(Spielauswertung!$AB564:$AE564,MATCH(Tabelle11[[#Headers],[Ton_L]],Spielauswertung!$B564:$E564,0))+AU575)</f>
        <v>92.683083360025861</v>
      </c>
      <c r="AV576" s="1">
        <f>IF(IFERROR(MATCH(Tabelle11[[#Headers],[Yixin_G]],Spielauswertung!$B564:$E564,0),0)=0,AV575,INDEX(Spielauswertung!$AB564:$AE564,MATCH(Tabelle11[[#Headers],[Yixin_G]],Spielauswertung!$B564:$E564,0))+AV575)</f>
        <v>99.900323214082661</v>
      </c>
      <c r="AW576" s="1">
        <f>IF(IFERROR(MATCH(Tabelle11[[#Headers],[Spalte36]],Spielauswertung!$B564:$E564,0),0)=0,AW575,INDEX(Spielauswertung!$AB564:$AE564,MATCH(Tabelle11[[#Headers],[Spalte36]],Spielauswertung!$B564:$E564,0))+AW575)</f>
        <v>100</v>
      </c>
      <c r="AX576" s="1">
        <f>IF(IFERROR(MATCH(Tabelle11[[#Headers],[Spalte37]],Spielauswertung!$B564:$E564,0),0)=0,AX575,INDEX(Spielauswertung!$AB564:$AE564,MATCH(Tabelle11[[#Headers],[Spalte37]],Spielauswertung!$B564:$E564,0))+AX575)</f>
        <v>100</v>
      </c>
      <c r="AY576" s="1">
        <f>IF(IFERROR(MATCH(Tabelle11[[#Headers],[Spalte38]],Spielauswertung!$B564:$E564,0),0)=0,AY575,INDEX(Spielauswertung!$AB564:$AE564,MATCH(Tabelle11[[#Headers],[Spalte38]],Spielauswertung!$B564:$E564,0))+AY575)</f>
        <v>100</v>
      </c>
      <c r="AZ576" s="1">
        <f>IF(IFERROR(MATCH(Tabelle11[[#Headers],[Spalte39]],Spielauswertung!$B564:$E564,0),0)=0,AZ575,INDEX(Spielauswertung!$AB564:$AE564,MATCH(Tabelle11[[#Headers],[Spalte39]],Spielauswertung!$B564:$E564,0))+AZ575)</f>
        <v>100</v>
      </c>
      <c r="BA576" s="1">
        <f>IF(IFERROR(MATCH(Tabelle11[[#Headers],[Spalte40]],Spielauswertung!$B564:$E564,0),0)=0,BA575,INDEX(Spielauswertung!$AB564:$AE564,MATCH(Tabelle11[[#Headers],[Spalte40]],Spielauswertung!$B564:$E564,0))+BA575)</f>
        <v>100</v>
      </c>
      <c r="BB576" s="1">
        <f>IF(IFERROR(MATCH(Tabelle11[[#Headers],[Spalte41]],Spielauswertung!$B564:$E564,0),0)=0,BB575,INDEX(Spielauswertung!$AB564:$AE564,MATCH(Tabelle11[[#Headers],[Spalte41]],Spielauswertung!$B564:$E564,0))+BB575)</f>
        <v>100</v>
      </c>
      <c r="BC576" s="1">
        <f>IF(IFERROR(MATCH(Tabelle11[[#Headers],[Spalte42]],Spielauswertung!$B564:$E564,0),0)=0,BC575,INDEX(Spielauswertung!$AB564:$AE564,MATCH(Tabelle11[[#Headers],[Spalte42]],Spielauswertung!$B564:$E564,0))+BC575)</f>
        <v>100</v>
      </c>
      <c r="BD576" s="1">
        <f>IF(IFERROR(MATCH(Tabelle11[[#Headers],[Spalte43]],Spielauswertung!$B564:$E564,0),0)=0,BD575,INDEX(Spielauswertung!$AB564:$AE564,MATCH(Tabelle11[[#Headers],[Spalte43]],Spielauswertung!$B564:$E564,0))+BD575)</f>
        <v>100</v>
      </c>
      <c r="BE576" s="1">
        <f>IF(IFERROR(MATCH(Tabelle11[[#Headers],[Spalte44]],Spielauswertung!$B564:$E564,0),0)=0,BE575,INDEX(Spielauswertung!$AB564:$AE564,MATCH(Tabelle11[[#Headers],[Spalte44]],Spielauswertung!$B564:$E564,0))+BE575)</f>
        <v>100</v>
      </c>
      <c r="BF576" s="1">
        <f>IF(IFERROR(MATCH(Tabelle11[[#Headers],[Spalte45]],Spielauswertung!$B564:$E564,0),0)=0,BF575,INDEX(Spielauswertung!$AB564:$AE564,MATCH(Tabelle11[[#Headers],[Spalte45]],Spielauswertung!$B564:$E564,0))+BF575)</f>
        <v>100</v>
      </c>
      <c r="BG576" s="1">
        <f>IF(IFERROR(MATCH(Tabelle11[[#Headers],[Spalte46]],Spielauswertung!$B564:$E564,0),0)=0,BG575,INDEX(Spielauswertung!$AB564:$AE564,MATCH(Tabelle11[[#Headers],[Spalte46]],Spielauswertung!$B564:$E564,0))+BG575)</f>
        <v>100</v>
      </c>
      <c r="BH576" s="1">
        <f>IF(IFERROR(MATCH(Tabelle11[[#Headers],[Spalte47]],Spielauswertung!$B564:$E564,0),0)=0,BH575,INDEX(Spielauswertung!$AB564:$AE564,MATCH(Tabelle11[[#Headers],[Spalte47]],Spielauswertung!$B564:$E564,0))+BH575)</f>
        <v>100</v>
      </c>
    </row>
    <row r="577" spans="1:60" x14ac:dyDescent="0.25">
      <c r="A577">
        <f t="shared" si="9"/>
        <v>564</v>
      </c>
      <c r="B577" s="1">
        <f>IF(IFERROR(MATCH(Tabelle11[[#Headers],[Aleix_V]],Spielauswertung!$B565:$E565,0),0)=0,B576,INDEX(Spielauswertung!$AB565:$AE565,MATCH(Tabelle11[[#Headers],[Aleix_V]],Spielauswertung!$B565:$E565,0))+B576)</f>
        <v>102.47318019444646</v>
      </c>
      <c r="C577" s="1">
        <f>IF(IFERROR(MATCH(Tabelle11[[#Headers],[Andres_H]],Spielauswertung!$B565:$E565,0),0)=0,C576,INDEX(Spielauswertung!$AB565:$AE565,MATCH(Tabelle11[[#Headers],[Andres_H]],Spielauswertung!$B565:$E565,0))+C576)</f>
        <v>95.535732339111306</v>
      </c>
      <c r="D577" s="1">
        <f>IF(IFERROR(MATCH(Tabelle11[[#Headers],[Anton_K]],Spielauswertung!$B565:$E565,0),0)=0,D576,INDEX(Spielauswertung!$AB565:$AE565,MATCH(Tabelle11[[#Headers],[Anton_K]],Spielauswertung!$B565:$E565,0))+D576)</f>
        <v>99.287728777054667</v>
      </c>
      <c r="E577" s="1">
        <f>IF(IFERROR(MATCH(Tabelle11[[#Headers],[Bastian_G]],Spielauswertung!$B565:$E565,0),0)=0,E576,INDEX(Spielauswertung!$AB565:$AE565,MATCH(Tabelle11[[#Headers],[Bastian_G]],Spielauswertung!$B565:$E565,0))+E576)</f>
        <v>117.49978695184252</v>
      </c>
      <c r="F577" s="1">
        <f>IF(IFERROR(MATCH(Tabelle11[[#Headers],[Ben_S]],Spielauswertung!$B565:$E565,0),0)=0,F576,INDEX(Spielauswertung!$AB565:$AE565,MATCH(Tabelle11[[#Headers],[Ben_S]],Spielauswertung!$B565:$E565,0))+F576)</f>
        <v>95.932799101521084</v>
      </c>
      <c r="G577" s="1">
        <f>IF(IFERROR(MATCH(Tabelle11[[#Headers],[Benedikt_K]],Spielauswertung!$B565:$E565,0),0)=0,G576,INDEX(Spielauswertung!$AB565:$AE565,MATCH(Tabelle11[[#Headers],[Benedikt_K]],Spielauswertung!$B565:$E565,0))+G576)</f>
        <v>101.20264176422626</v>
      </c>
      <c r="H577" s="1">
        <f>IF(IFERROR(MATCH(Tabelle11[[#Headers],[Benedikt_R]],Spielauswertung!$B565:$E565,0),0)=0,H576,INDEX(Spielauswertung!$AB565:$AE565,MATCH(Tabelle11[[#Headers],[Benedikt_R]],Spielauswertung!$B565:$E565,0))+H576)</f>
        <v>102.6264770510757</v>
      </c>
      <c r="I577" s="1">
        <f>IF(IFERROR(MATCH(Tabelle11[[#Headers],[Carsten_H]],Spielauswertung!$B565:$E565,0),0)=0,I576,INDEX(Spielauswertung!$AB565:$AE565,MATCH(Tabelle11[[#Headers],[Carsten_H]],Spielauswertung!$B565:$E565,0))+I576)</f>
        <v>90.817185094326874</v>
      </c>
      <c r="J577" s="1">
        <f>IF(IFERROR(MATCH(Tabelle11[[#Headers],[Christoph_R]],Spielauswertung!$B565:$E565,0),0)=0,J576,INDEX(Spielauswertung!$AB565:$AE565,MATCH(Tabelle11[[#Headers],[Christoph_R]],Spielauswertung!$B565:$E565,0))+J576)</f>
        <v>109.73261611443155</v>
      </c>
      <c r="K577" s="1">
        <f>IF(IFERROR(MATCH(Tabelle11[[#Headers],[Claudius_J]],Spielauswertung!$B565:$E565,0),0)=0,K576,INDEX(Spielauswertung!$AB565:$AE565,MATCH(Tabelle11[[#Headers],[Claudius_J]],Spielauswertung!$B565:$E565,0))+K576)</f>
        <v>106.16590636000029</v>
      </c>
      <c r="L577" s="1">
        <f>IF(IFERROR(MATCH(Tabelle11[[#Headers],[Daniel_D]],Spielauswertung!$B565:$E565,0),0)=0,L576,INDEX(Spielauswertung!$AB565:$AE565,MATCH(Tabelle11[[#Headers],[Daniel_D]],Spielauswertung!$B565:$E565,0))+L576)</f>
        <v>99.990299180470089</v>
      </c>
      <c r="M577" s="1">
        <f>IF(IFERROR(MATCH(Tabelle11[[#Headers],[David_R]],Spielauswertung!$B565:$E565,0),0)=0,M576,INDEX(Spielauswertung!$AB565:$AE565,MATCH(Tabelle11[[#Headers],[David_R]],Spielauswertung!$B565:$E565,0))+M576)</f>
        <v>96.715943522481638</v>
      </c>
      <c r="N577" s="1">
        <f>IF(IFERROR(MATCH(Tabelle11[[#Headers],[Dennis_P]],Spielauswertung!$B565:$E565,0),0)=0,N576,INDEX(Spielauswertung!$AB565:$AE565,MATCH(Tabelle11[[#Headers],[Dennis_P]],Spielauswertung!$B565:$E565,0))+N576)</f>
        <v>100.04773223105254</v>
      </c>
      <c r="O577" s="1">
        <f>IF(IFERROR(MATCH(Tabelle11[[#Headers],[Dennis_R]],Spielauswertung!$B565:$E565,0),0)=0,O576,INDEX(Spielauswertung!$AB565:$AE565,MATCH(Tabelle11[[#Headers],[Dennis_R]],Spielauswertung!$B565:$E565,0))+O576)</f>
        <v>75.131680864937195</v>
      </c>
      <c r="P577" s="1">
        <f>IF(IFERROR(MATCH(Tabelle11[[#Headers],[Detlef_R]],Spielauswertung!$B565:$E565,0),0)=0,P576,INDEX(Spielauswertung!$AB565:$AE565,MATCH(Tabelle11[[#Headers],[Detlef_R]],Spielauswertung!$B565:$E565,0))+P576)</f>
        <v>87.984671797367014</v>
      </c>
      <c r="Q577" s="1">
        <f>IF(IFERROR(MATCH(Tabelle11[[#Headers],[Dmitrij_M]],Spielauswertung!$B565:$E565,0),0)=0,Q576,INDEX(Spielauswertung!$AB565:$AE565,MATCH(Tabelle11[[#Headers],[Dmitrij_M]],Spielauswertung!$B565:$E565,0))+Q576)</f>
        <v>100.69975721846207</v>
      </c>
      <c r="R577" s="1">
        <f>IF(IFERROR(MATCH(Tabelle11[[#Headers],[Fabian_M]],Spielauswertung!$B565:$E565,0),0)=0,R576,INDEX(Spielauswertung!$AB565:$AE565,MATCH(Tabelle11[[#Headers],[Fabian_M]],Spielauswertung!$B565:$E565,0))+R576)</f>
        <v>95.805387841610738</v>
      </c>
      <c r="S577" s="1">
        <f>IF(IFERROR(MATCH(Tabelle11[[#Headers],[Hannes_S]],Spielauswertung!$B565:$E565,0),0)=0,S576,INDEX(Spielauswertung!$AB565:$AE565,MATCH(Tabelle11[[#Headers],[Hannes_S]],Spielauswertung!$B565:$E565,0))+S576)</f>
        <v>104.83899184012799</v>
      </c>
      <c r="T577" s="1">
        <f>IF(IFERROR(MATCH(Tabelle11[[#Headers],[Jan_B]],Spielauswertung!$B565:$E565,0),0)=0,T576,INDEX(Spielauswertung!$AB565:$AE565,MATCH(Tabelle11[[#Headers],[Jan_B]],Spielauswertung!$B565:$E565,0))+T576)</f>
        <v>100.2794420429173</v>
      </c>
      <c r="U577" s="1">
        <f>IF(IFERROR(MATCH(Tabelle11[[#Headers],[Jan_Hendrik_B]],Spielauswertung!$B565:$E565,0),0)=0,U576,INDEX(Spielauswertung!$AB565:$AE565,MATCH(Tabelle11[[#Headers],[Jan_Hendrik_B]],Spielauswertung!$B565:$E565,0))+U576)</f>
        <v>100.75492416935522</v>
      </c>
      <c r="V577" s="1">
        <f>IF(IFERROR(MATCH(Tabelle11[[#Headers],[Jens_N]],Spielauswertung!$B565:$E565,0),0)=0,V576,INDEX(Spielauswertung!$AB565:$AE565,MATCH(Tabelle11[[#Headers],[Jens_N]],Spielauswertung!$B565:$E565,0))+V576)</f>
        <v>99.643534710196832</v>
      </c>
      <c r="W577" s="1">
        <f>IF(IFERROR(MATCH(Tabelle11[[#Headers],[Johannes_S]],Spielauswertung!$B565:$E565,0),0)=0,W576,INDEX(Spielauswertung!$AB565:$AE565,MATCH(Tabelle11[[#Headers],[Johannes_S]],Spielauswertung!$B565:$E565,0))+W576)</f>
        <v>102.20284750979505</v>
      </c>
      <c r="X577" s="1">
        <f>IF(IFERROR(MATCH(Tabelle11[[#Headers],[Jonathan_F]],Spielauswertung!$B565:$E565,0),0)=0,X576,INDEX(Spielauswertung!$AB565:$AE565,MATCH(Tabelle11[[#Headers],[Jonathan_F]],Spielauswertung!$B565:$E565,0))+X576)</f>
        <v>98.938308797866256</v>
      </c>
      <c r="Y577" s="1">
        <f>IF(IFERROR(MATCH(Tabelle11[[#Headers],[Julius_P]],Spielauswertung!$B565:$E565,0),0)=0,Y576,INDEX(Spielauswertung!$AB565:$AE565,MATCH(Tabelle11[[#Headers],[Julius_P]],Spielauswertung!$B565:$E565,0))+Y576)</f>
        <v>96.540305101873642</v>
      </c>
      <c r="Z577" s="1">
        <f>IF(IFERROR(MATCH(Tabelle11[[#Headers],[Louis_W]],Spielauswertung!$B565:$E565,0),0)=0,Z576,INDEX(Spielauswertung!$AB565:$AE565,MATCH(Tabelle11[[#Headers],[Louis_W]],Spielauswertung!$B565:$E565,0))+Z576)</f>
        <v>87.497452285475362</v>
      </c>
      <c r="AA577" s="1">
        <f>IF(IFERROR(MATCH(Tabelle11[[#Headers],[Lukas_L]],Spielauswertung!$B565:$E565,0),0)=0,AA576,INDEX(Spielauswertung!$AB565:$AE565,MATCH(Tabelle11[[#Headers],[Lukas_L]],Spielauswertung!$B565:$E565,0))+AA576)</f>
        <v>98.447931341404143</v>
      </c>
      <c r="AB577" s="1">
        <f>IF(IFERROR(MATCH(Tabelle11[[#Headers],[Marcin_S]],Spielauswertung!$B565:$E565,0),0)=0,AB576,INDEX(Spielauswertung!$AB565:$AE565,MATCH(Tabelle11[[#Headers],[Marcin_S]],Spielauswertung!$B565:$E565,0))+AB576)</f>
        <v>85.463329105556824</v>
      </c>
      <c r="AC577" s="1">
        <f>IF(IFERROR(MATCH(Tabelle11[[#Headers],[Marco_K]],Spielauswertung!$B565:$E565,0),0)=0,AC576,INDEX(Spielauswertung!$AB565:$AE565,MATCH(Tabelle11[[#Headers],[Marco_K]],Spielauswertung!$B565:$E565,0))+AC576)</f>
        <v>102.12169819441469</v>
      </c>
      <c r="AD577" s="1">
        <f>IF(IFERROR(MATCH(Tabelle11[[#Headers],[Marius_M]],Spielauswertung!$B565:$E565,0),0)=0,AD576,INDEX(Spielauswertung!$AB565:$AE565,MATCH(Tabelle11[[#Headers],[Marius_M]],Spielauswertung!$B565:$E565,0))+AD576)</f>
        <v>124.54012374585781</v>
      </c>
      <c r="AE577" s="1">
        <f>IF(IFERROR(MATCH(Tabelle11[[#Headers],[Marvin_W]],Spielauswertung!$B565:$E565,0),0)=0,AE576,INDEX(Spielauswertung!$AB565:$AE565,MATCH(Tabelle11[[#Headers],[Marvin_W]],Spielauswertung!$B565:$E565,0))+AE576)</f>
        <v>96.700266280577438</v>
      </c>
      <c r="AF577" s="1">
        <f>IF(IFERROR(MATCH(Tabelle11[[#Headers],[Matthias_H]],Spielauswertung!$B565:$E565,0),0)=0,AF576,INDEX(Spielauswertung!$AB565:$AE565,MATCH(Tabelle11[[#Headers],[Matthias_H]],Spielauswertung!$B565:$E565,0))+AF576)</f>
        <v>105.42130178599372</v>
      </c>
      <c r="AG577" s="1">
        <f>IF(IFERROR(MATCH(Tabelle11[[#Headers],[Michael_D]],Spielauswertung!$B565:$E565,0),0)=0,AG576,INDEX(Spielauswertung!$AB565:$AE565,MATCH(Tabelle11[[#Headers],[Michael_D]],Spielauswertung!$B565:$E565,0))+AG576)</f>
        <v>96.436276170375336</v>
      </c>
      <c r="AH577" s="1">
        <f>IF(IFERROR(MATCH(Tabelle11[[#Headers],[Patrick_S]],Spielauswertung!$B565:$E565,0),0)=0,AH576,INDEX(Spielauswertung!$AB565:$AE565,MATCH(Tabelle11[[#Headers],[Patrick_S]],Spielauswertung!$B565:$E565,0))+AH576)</f>
        <v>98.975330692053802</v>
      </c>
      <c r="AI577" s="1">
        <f>IF(IFERROR(MATCH(Tabelle11[[#Headers],[Rano_M]],Spielauswertung!$B565:$E565,0),0)=0,AI576,INDEX(Spielauswertung!$AB565:$AE565,MATCH(Tabelle11[[#Headers],[Rano_M]],Spielauswertung!$B565:$E565,0))+AI576)</f>
        <v>109.38890657420265</v>
      </c>
      <c r="AJ577" s="1">
        <f>IF(IFERROR(MATCH(Tabelle11[[#Headers],[Rene_N]],Spielauswertung!$B565:$E565,0),0)=0,AJ576,INDEX(Spielauswertung!$AB565:$AE565,MATCH(Tabelle11[[#Headers],[Rene_N]],Spielauswertung!$B565:$E565,0))+AJ576)</f>
        <v>101.06482124619033</v>
      </c>
      <c r="AK577" s="1">
        <f>IF(IFERROR(MATCH(Tabelle11[[#Headers],[Rene_P]],Spielauswertung!$B565:$E565,0),0)=0,AK576,INDEX(Spielauswertung!$AB565:$AE565,MATCH(Tabelle11[[#Headers],[Rene_P]],Spielauswertung!$B565:$E565,0))+AK576)</f>
        <v>88.762543186332877</v>
      </c>
      <c r="AL577" s="1">
        <f>IF(IFERROR(MATCH(Tabelle11[[#Headers],[Richard_D]],Spielauswertung!$B565:$E565,0),0)=0,AL576,INDEX(Spielauswertung!$AB565:$AE565,MATCH(Tabelle11[[#Headers],[Richard_D]],Spielauswertung!$B565:$E565,0))+AL576)</f>
        <v>107.23233592026223</v>
      </c>
      <c r="AM577" s="1">
        <f>IF(IFERROR(MATCH(Tabelle11[[#Headers],[Rodrigo_R]],Spielauswertung!$B565:$E565,0),0)=0,AM576,INDEX(Spielauswertung!$AB565:$AE565,MATCH(Tabelle11[[#Headers],[Rodrigo_R]],Spielauswertung!$B565:$E565,0))+AM576)</f>
        <v>116.7028707921346</v>
      </c>
      <c r="AN577" s="1">
        <f>IF(IFERROR(MATCH(Tabelle11[[#Headers],[Sebastian_A]],Spielauswertung!$B565:$E565,0),0)=0,AN576,INDEX(Spielauswertung!$AB565:$AE565,MATCH(Tabelle11[[#Headers],[Sebastian_A]],Spielauswertung!$B565:$E565,0))+AN576)</f>
        <v>102.89457418671324</v>
      </c>
      <c r="AO577" s="1">
        <f>IF(IFERROR(MATCH(Tabelle11[[#Headers],[Sebastian_St]],Spielauswertung!$B565:$E565,0),0)=0,AO576,INDEX(Spielauswertung!$AB565:$AE565,MATCH(Tabelle11[[#Headers],[Sebastian_St]],Spielauswertung!$B565:$E565,0))+AO576)</f>
        <v>97.749574367408982</v>
      </c>
      <c r="AP577" s="1">
        <f>IF(IFERROR(MATCH(Tabelle11[[#Headers],[Simon_U]],Spielauswertung!$B565:$E565,0),0)=0,AP576,INDEX(Spielauswertung!$AB565:$AE565,MATCH(Tabelle11[[#Headers],[Simon_U]],Spielauswertung!$B565:$E565,0))+AP576)</f>
        <v>99.623054841470903</v>
      </c>
      <c r="AQ577" s="1">
        <f>IF(IFERROR(MATCH(Tabelle11[[#Headers],[Steffen_R]],Spielauswertung!$B565:$E565,0),0)=0,AQ576,INDEX(Spielauswertung!$AB565:$AE565,MATCH(Tabelle11[[#Headers],[Steffen_R]],Spielauswertung!$B565:$E565,0))+AQ576)</f>
        <v>93.247497067190949</v>
      </c>
      <c r="AR577" s="1">
        <f>IF(IFERROR(MATCH(Tabelle11[[#Headers],[Tim_R]],Spielauswertung!$B565:$E565,0),0)=0,AR576,INDEX(Spielauswertung!$AB565:$AE565,MATCH(Tabelle11[[#Headers],[Tim_R]],Spielauswertung!$B565:$E565,0))+AR576)</f>
        <v>103.07503787023374</v>
      </c>
      <c r="AS577" s="1">
        <f>IF(IFERROR(MATCH(Tabelle11[[#Headers],[Tobias_S]],Spielauswertung!$B565:$E565,0),0)=0,AS576,INDEX(Spielauswertung!$AB565:$AE565,MATCH(Tabelle11[[#Headers],[Tobias_S]],Spielauswertung!$B565:$E565,0))+AS576)</f>
        <v>98.6003422659997</v>
      </c>
      <c r="AT577" s="1">
        <f>IF(IFERROR(MATCH(Tabelle11[[#Headers],[Tom_R]],Spielauswertung!$B565:$E565,0),0)=0,AT576,INDEX(Spielauswertung!$AB565:$AE565,MATCH(Tabelle11[[#Headers],[Tom_R]],Spielauswertung!$B565:$E565,0))+AT576)</f>
        <v>112.62344492949197</v>
      </c>
      <c r="AU577" s="1">
        <f>IF(IFERROR(MATCH(Tabelle11[[#Headers],[Ton_L]],Spielauswertung!$B565:$E565,0),0)=0,AU576,INDEX(Spielauswertung!$AB565:$AE565,MATCH(Tabelle11[[#Headers],[Ton_L]],Spielauswertung!$B565:$E565,0))+AU576)</f>
        <v>92.683083360025861</v>
      </c>
      <c r="AV577" s="1">
        <f>IF(IFERROR(MATCH(Tabelle11[[#Headers],[Yixin_G]],Spielauswertung!$B565:$E565,0),0)=0,AV576,INDEX(Spielauswertung!$AB565:$AE565,MATCH(Tabelle11[[#Headers],[Yixin_G]],Spielauswertung!$B565:$E565,0))+AV576)</f>
        <v>99.900323214082661</v>
      </c>
      <c r="AW577" s="1">
        <f>IF(IFERROR(MATCH(Tabelle11[[#Headers],[Spalte36]],Spielauswertung!$B565:$E565,0),0)=0,AW576,INDEX(Spielauswertung!$AB565:$AE565,MATCH(Tabelle11[[#Headers],[Spalte36]],Spielauswertung!$B565:$E565,0))+AW576)</f>
        <v>100</v>
      </c>
      <c r="AX577" s="1">
        <f>IF(IFERROR(MATCH(Tabelle11[[#Headers],[Spalte37]],Spielauswertung!$B565:$E565,0),0)=0,AX576,INDEX(Spielauswertung!$AB565:$AE565,MATCH(Tabelle11[[#Headers],[Spalte37]],Spielauswertung!$B565:$E565,0))+AX576)</f>
        <v>100</v>
      </c>
      <c r="AY577" s="1">
        <f>IF(IFERROR(MATCH(Tabelle11[[#Headers],[Spalte38]],Spielauswertung!$B565:$E565,0),0)=0,AY576,INDEX(Spielauswertung!$AB565:$AE565,MATCH(Tabelle11[[#Headers],[Spalte38]],Spielauswertung!$B565:$E565,0))+AY576)</f>
        <v>100</v>
      </c>
      <c r="AZ577" s="1">
        <f>IF(IFERROR(MATCH(Tabelle11[[#Headers],[Spalte39]],Spielauswertung!$B565:$E565,0),0)=0,AZ576,INDEX(Spielauswertung!$AB565:$AE565,MATCH(Tabelle11[[#Headers],[Spalte39]],Spielauswertung!$B565:$E565,0))+AZ576)</f>
        <v>100</v>
      </c>
      <c r="BA577" s="1">
        <f>IF(IFERROR(MATCH(Tabelle11[[#Headers],[Spalte40]],Spielauswertung!$B565:$E565,0),0)=0,BA576,INDEX(Spielauswertung!$AB565:$AE565,MATCH(Tabelle11[[#Headers],[Spalte40]],Spielauswertung!$B565:$E565,0))+BA576)</f>
        <v>100</v>
      </c>
      <c r="BB577" s="1">
        <f>IF(IFERROR(MATCH(Tabelle11[[#Headers],[Spalte41]],Spielauswertung!$B565:$E565,0),0)=0,BB576,INDEX(Spielauswertung!$AB565:$AE565,MATCH(Tabelle11[[#Headers],[Spalte41]],Spielauswertung!$B565:$E565,0))+BB576)</f>
        <v>100</v>
      </c>
      <c r="BC577" s="1">
        <f>IF(IFERROR(MATCH(Tabelle11[[#Headers],[Spalte42]],Spielauswertung!$B565:$E565,0),0)=0,BC576,INDEX(Spielauswertung!$AB565:$AE565,MATCH(Tabelle11[[#Headers],[Spalte42]],Spielauswertung!$B565:$E565,0))+BC576)</f>
        <v>100</v>
      </c>
      <c r="BD577" s="1">
        <f>IF(IFERROR(MATCH(Tabelle11[[#Headers],[Spalte43]],Spielauswertung!$B565:$E565,0),0)=0,BD576,INDEX(Spielauswertung!$AB565:$AE565,MATCH(Tabelle11[[#Headers],[Spalte43]],Spielauswertung!$B565:$E565,0))+BD576)</f>
        <v>100</v>
      </c>
      <c r="BE577" s="1">
        <f>IF(IFERROR(MATCH(Tabelle11[[#Headers],[Spalte44]],Spielauswertung!$B565:$E565,0),0)=0,BE576,INDEX(Spielauswertung!$AB565:$AE565,MATCH(Tabelle11[[#Headers],[Spalte44]],Spielauswertung!$B565:$E565,0))+BE576)</f>
        <v>100</v>
      </c>
      <c r="BF577" s="1">
        <f>IF(IFERROR(MATCH(Tabelle11[[#Headers],[Spalte45]],Spielauswertung!$B565:$E565,0),0)=0,BF576,INDEX(Spielauswertung!$AB565:$AE565,MATCH(Tabelle11[[#Headers],[Spalte45]],Spielauswertung!$B565:$E565,0))+BF576)</f>
        <v>100</v>
      </c>
      <c r="BG577" s="1">
        <f>IF(IFERROR(MATCH(Tabelle11[[#Headers],[Spalte46]],Spielauswertung!$B565:$E565,0),0)=0,BG576,INDEX(Spielauswertung!$AB565:$AE565,MATCH(Tabelle11[[#Headers],[Spalte46]],Spielauswertung!$B565:$E565,0))+BG576)</f>
        <v>100</v>
      </c>
      <c r="BH577" s="1">
        <f>IF(IFERROR(MATCH(Tabelle11[[#Headers],[Spalte47]],Spielauswertung!$B565:$E565,0),0)=0,BH576,INDEX(Spielauswertung!$AB565:$AE565,MATCH(Tabelle11[[#Headers],[Spalte47]],Spielauswertung!$B565:$E565,0))+BH576)</f>
        <v>100</v>
      </c>
    </row>
    <row r="578" spans="1:60" x14ac:dyDescent="0.25">
      <c r="A578">
        <f t="shared" si="9"/>
        <v>565</v>
      </c>
      <c r="B578" s="1">
        <f>IF(IFERROR(MATCH(Tabelle11[[#Headers],[Aleix_V]],Spielauswertung!$B566:$E566,0),0)=0,B577,INDEX(Spielauswertung!$AB566:$AE566,MATCH(Tabelle11[[#Headers],[Aleix_V]],Spielauswertung!$B566:$E566,0))+B577)</f>
        <v>102.47318019444646</v>
      </c>
      <c r="C578" s="1">
        <f>IF(IFERROR(MATCH(Tabelle11[[#Headers],[Andres_H]],Spielauswertung!$B566:$E566,0),0)=0,C577,INDEX(Spielauswertung!$AB566:$AE566,MATCH(Tabelle11[[#Headers],[Andres_H]],Spielauswertung!$B566:$E566,0))+C577)</f>
        <v>95.535732339111306</v>
      </c>
      <c r="D578" s="1">
        <f>IF(IFERROR(MATCH(Tabelle11[[#Headers],[Anton_K]],Spielauswertung!$B566:$E566,0),0)=0,D577,INDEX(Spielauswertung!$AB566:$AE566,MATCH(Tabelle11[[#Headers],[Anton_K]],Spielauswertung!$B566:$E566,0))+D577)</f>
        <v>99.287728777054667</v>
      </c>
      <c r="E578" s="1">
        <f>IF(IFERROR(MATCH(Tabelle11[[#Headers],[Bastian_G]],Spielauswertung!$B566:$E566,0),0)=0,E577,INDEX(Spielauswertung!$AB566:$AE566,MATCH(Tabelle11[[#Headers],[Bastian_G]],Spielauswertung!$B566:$E566,0))+E577)</f>
        <v>117.49978695184252</v>
      </c>
      <c r="F578" s="1">
        <f>IF(IFERROR(MATCH(Tabelle11[[#Headers],[Ben_S]],Spielauswertung!$B566:$E566,0),0)=0,F577,INDEX(Spielauswertung!$AB566:$AE566,MATCH(Tabelle11[[#Headers],[Ben_S]],Spielauswertung!$B566:$E566,0))+F577)</f>
        <v>95.932799101521084</v>
      </c>
      <c r="G578" s="1">
        <f>IF(IFERROR(MATCH(Tabelle11[[#Headers],[Benedikt_K]],Spielauswertung!$B566:$E566,0),0)=0,G577,INDEX(Spielauswertung!$AB566:$AE566,MATCH(Tabelle11[[#Headers],[Benedikt_K]],Spielauswertung!$B566:$E566,0))+G577)</f>
        <v>101.20264176422626</v>
      </c>
      <c r="H578" s="1">
        <f>IF(IFERROR(MATCH(Tabelle11[[#Headers],[Benedikt_R]],Spielauswertung!$B566:$E566,0),0)=0,H577,INDEX(Spielauswertung!$AB566:$AE566,MATCH(Tabelle11[[#Headers],[Benedikt_R]],Spielauswertung!$B566:$E566,0))+H577)</f>
        <v>102.6264770510757</v>
      </c>
      <c r="I578" s="1">
        <f>IF(IFERROR(MATCH(Tabelle11[[#Headers],[Carsten_H]],Spielauswertung!$B566:$E566,0),0)=0,I577,INDEX(Spielauswertung!$AB566:$AE566,MATCH(Tabelle11[[#Headers],[Carsten_H]],Spielauswertung!$B566:$E566,0))+I577)</f>
        <v>90.817185094326874</v>
      </c>
      <c r="J578" s="1">
        <f>IF(IFERROR(MATCH(Tabelle11[[#Headers],[Christoph_R]],Spielauswertung!$B566:$E566,0),0)=0,J577,INDEX(Spielauswertung!$AB566:$AE566,MATCH(Tabelle11[[#Headers],[Christoph_R]],Spielauswertung!$B566:$E566,0))+J577)</f>
        <v>109.73261611443155</v>
      </c>
      <c r="K578" s="1">
        <f>IF(IFERROR(MATCH(Tabelle11[[#Headers],[Claudius_J]],Spielauswertung!$B566:$E566,0),0)=0,K577,INDEX(Spielauswertung!$AB566:$AE566,MATCH(Tabelle11[[#Headers],[Claudius_J]],Spielauswertung!$B566:$E566,0))+K577)</f>
        <v>106.16590636000029</v>
      </c>
      <c r="L578" s="1">
        <f>IF(IFERROR(MATCH(Tabelle11[[#Headers],[Daniel_D]],Spielauswertung!$B566:$E566,0),0)=0,L577,INDEX(Spielauswertung!$AB566:$AE566,MATCH(Tabelle11[[#Headers],[Daniel_D]],Spielauswertung!$B566:$E566,0))+L577)</f>
        <v>99.990299180470089</v>
      </c>
      <c r="M578" s="1">
        <f>IF(IFERROR(MATCH(Tabelle11[[#Headers],[David_R]],Spielauswertung!$B566:$E566,0),0)=0,M577,INDEX(Spielauswertung!$AB566:$AE566,MATCH(Tabelle11[[#Headers],[David_R]],Spielauswertung!$B566:$E566,0))+M577)</f>
        <v>96.715943522481638</v>
      </c>
      <c r="N578" s="1">
        <f>IF(IFERROR(MATCH(Tabelle11[[#Headers],[Dennis_P]],Spielauswertung!$B566:$E566,0),0)=0,N577,INDEX(Spielauswertung!$AB566:$AE566,MATCH(Tabelle11[[#Headers],[Dennis_P]],Spielauswertung!$B566:$E566,0))+N577)</f>
        <v>100.04773223105254</v>
      </c>
      <c r="O578" s="1">
        <f>IF(IFERROR(MATCH(Tabelle11[[#Headers],[Dennis_R]],Spielauswertung!$B566:$E566,0),0)=0,O577,INDEX(Spielauswertung!$AB566:$AE566,MATCH(Tabelle11[[#Headers],[Dennis_R]],Spielauswertung!$B566:$E566,0))+O577)</f>
        <v>75.131680864937195</v>
      </c>
      <c r="P578" s="1">
        <f>IF(IFERROR(MATCH(Tabelle11[[#Headers],[Detlef_R]],Spielauswertung!$B566:$E566,0),0)=0,P577,INDEX(Spielauswertung!$AB566:$AE566,MATCH(Tabelle11[[#Headers],[Detlef_R]],Spielauswertung!$B566:$E566,0))+P577)</f>
        <v>87.984671797367014</v>
      </c>
      <c r="Q578" s="1">
        <f>IF(IFERROR(MATCH(Tabelle11[[#Headers],[Dmitrij_M]],Spielauswertung!$B566:$E566,0),0)=0,Q577,INDEX(Spielauswertung!$AB566:$AE566,MATCH(Tabelle11[[#Headers],[Dmitrij_M]],Spielauswertung!$B566:$E566,0))+Q577)</f>
        <v>100.69975721846207</v>
      </c>
      <c r="R578" s="1">
        <f>IF(IFERROR(MATCH(Tabelle11[[#Headers],[Fabian_M]],Spielauswertung!$B566:$E566,0),0)=0,R577,INDEX(Spielauswertung!$AB566:$AE566,MATCH(Tabelle11[[#Headers],[Fabian_M]],Spielauswertung!$B566:$E566,0))+R577)</f>
        <v>95.805387841610738</v>
      </c>
      <c r="S578" s="1">
        <f>IF(IFERROR(MATCH(Tabelle11[[#Headers],[Hannes_S]],Spielauswertung!$B566:$E566,0),0)=0,S577,INDEX(Spielauswertung!$AB566:$AE566,MATCH(Tabelle11[[#Headers],[Hannes_S]],Spielauswertung!$B566:$E566,0))+S577)</f>
        <v>104.83899184012799</v>
      </c>
      <c r="T578" s="1">
        <f>IF(IFERROR(MATCH(Tabelle11[[#Headers],[Jan_B]],Spielauswertung!$B566:$E566,0),0)=0,T577,INDEX(Spielauswertung!$AB566:$AE566,MATCH(Tabelle11[[#Headers],[Jan_B]],Spielauswertung!$B566:$E566,0))+T577)</f>
        <v>100.2794420429173</v>
      </c>
      <c r="U578" s="1">
        <f>IF(IFERROR(MATCH(Tabelle11[[#Headers],[Jan_Hendrik_B]],Spielauswertung!$B566:$E566,0),0)=0,U577,INDEX(Spielauswertung!$AB566:$AE566,MATCH(Tabelle11[[#Headers],[Jan_Hendrik_B]],Spielauswertung!$B566:$E566,0))+U577)</f>
        <v>100.75492416935522</v>
      </c>
      <c r="V578" s="1">
        <f>IF(IFERROR(MATCH(Tabelle11[[#Headers],[Jens_N]],Spielauswertung!$B566:$E566,0),0)=0,V577,INDEX(Spielauswertung!$AB566:$AE566,MATCH(Tabelle11[[#Headers],[Jens_N]],Spielauswertung!$B566:$E566,0))+V577)</f>
        <v>99.643534710196832</v>
      </c>
      <c r="W578" s="1">
        <f>IF(IFERROR(MATCH(Tabelle11[[#Headers],[Johannes_S]],Spielauswertung!$B566:$E566,0),0)=0,W577,INDEX(Spielauswertung!$AB566:$AE566,MATCH(Tabelle11[[#Headers],[Johannes_S]],Spielauswertung!$B566:$E566,0))+W577)</f>
        <v>102.20284750979505</v>
      </c>
      <c r="X578" s="1">
        <f>IF(IFERROR(MATCH(Tabelle11[[#Headers],[Jonathan_F]],Spielauswertung!$B566:$E566,0),0)=0,X577,INDEX(Spielauswertung!$AB566:$AE566,MATCH(Tabelle11[[#Headers],[Jonathan_F]],Spielauswertung!$B566:$E566,0))+X577)</f>
        <v>98.938308797866256</v>
      </c>
      <c r="Y578" s="1">
        <f>IF(IFERROR(MATCH(Tabelle11[[#Headers],[Julius_P]],Spielauswertung!$B566:$E566,0),0)=0,Y577,INDEX(Spielauswertung!$AB566:$AE566,MATCH(Tabelle11[[#Headers],[Julius_P]],Spielauswertung!$B566:$E566,0))+Y577)</f>
        <v>96.540305101873642</v>
      </c>
      <c r="Z578" s="1">
        <f>IF(IFERROR(MATCH(Tabelle11[[#Headers],[Louis_W]],Spielauswertung!$B566:$E566,0),0)=0,Z577,INDEX(Spielauswertung!$AB566:$AE566,MATCH(Tabelle11[[#Headers],[Louis_W]],Spielauswertung!$B566:$E566,0))+Z577)</f>
        <v>87.497452285475362</v>
      </c>
      <c r="AA578" s="1">
        <f>IF(IFERROR(MATCH(Tabelle11[[#Headers],[Lukas_L]],Spielauswertung!$B566:$E566,0),0)=0,AA577,INDEX(Spielauswertung!$AB566:$AE566,MATCH(Tabelle11[[#Headers],[Lukas_L]],Spielauswertung!$B566:$E566,0))+AA577)</f>
        <v>98.447931341404143</v>
      </c>
      <c r="AB578" s="1">
        <f>IF(IFERROR(MATCH(Tabelle11[[#Headers],[Marcin_S]],Spielauswertung!$B566:$E566,0),0)=0,AB577,INDEX(Spielauswertung!$AB566:$AE566,MATCH(Tabelle11[[#Headers],[Marcin_S]],Spielauswertung!$B566:$E566,0))+AB577)</f>
        <v>85.463329105556824</v>
      </c>
      <c r="AC578" s="1">
        <f>IF(IFERROR(MATCH(Tabelle11[[#Headers],[Marco_K]],Spielauswertung!$B566:$E566,0),0)=0,AC577,INDEX(Spielauswertung!$AB566:$AE566,MATCH(Tabelle11[[#Headers],[Marco_K]],Spielauswertung!$B566:$E566,0))+AC577)</f>
        <v>102.12169819441469</v>
      </c>
      <c r="AD578" s="1">
        <f>IF(IFERROR(MATCH(Tabelle11[[#Headers],[Marius_M]],Spielauswertung!$B566:$E566,0),0)=0,AD577,INDEX(Spielauswertung!$AB566:$AE566,MATCH(Tabelle11[[#Headers],[Marius_M]],Spielauswertung!$B566:$E566,0))+AD577)</f>
        <v>124.54012374585781</v>
      </c>
      <c r="AE578" s="1">
        <f>IF(IFERROR(MATCH(Tabelle11[[#Headers],[Marvin_W]],Spielauswertung!$B566:$E566,0),0)=0,AE577,INDEX(Spielauswertung!$AB566:$AE566,MATCH(Tabelle11[[#Headers],[Marvin_W]],Spielauswertung!$B566:$E566,0))+AE577)</f>
        <v>96.700266280577438</v>
      </c>
      <c r="AF578" s="1">
        <f>IF(IFERROR(MATCH(Tabelle11[[#Headers],[Matthias_H]],Spielauswertung!$B566:$E566,0),0)=0,AF577,INDEX(Spielauswertung!$AB566:$AE566,MATCH(Tabelle11[[#Headers],[Matthias_H]],Spielauswertung!$B566:$E566,0))+AF577)</f>
        <v>105.42130178599372</v>
      </c>
      <c r="AG578" s="1">
        <f>IF(IFERROR(MATCH(Tabelle11[[#Headers],[Michael_D]],Spielauswertung!$B566:$E566,0),0)=0,AG577,INDEX(Spielauswertung!$AB566:$AE566,MATCH(Tabelle11[[#Headers],[Michael_D]],Spielauswertung!$B566:$E566,0))+AG577)</f>
        <v>96.436276170375336</v>
      </c>
      <c r="AH578" s="1">
        <f>IF(IFERROR(MATCH(Tabelle11[[#Headers],[Patrick_S]],Spielauswertung!$B566:$E566,0),0)=0,AH577,INDEX(Spielauswertung!$AB566:$AE566,MATCH(Tabelle11[[#Headers],[Patrick_S]],Spielauswertung!$B566:$E566,0))+AH577)</f>
        <v>98.975330692053802</v>
      </c>
      <c r="AI578" s="1">
        <f>IF(IFERROR(MATCH(Tabelle11[[#Headers],[Rano_M]],Spielauswertung!$B566:$E566,0),0)=0,AI577,INDEX(Spielauswertung!$AB566:$AE566,MATCH(Tabelle11[[#Headers],[Rano_M]],Spielauswertung!$B566:$E566,0))+AI577)</f>
        <v>109.38890657420265</v>
      </c>
      <c r="AJ578" s="1">
        <f>IF(IFERROR(MATCH(Tabelle11[[#Headers],[Rene_N]],Spielauswertung!$B566:$E566,0),0)=0,AJ577,INDEX(Spielauswertung!$AB566:$AE566,MATCH(Tabelle11[[#Headers],[Rene_N]],Spielauswertung!$B566:$E566,0))+AJ577)</f>
        <v>101.06482124619033</v>
      </c>
      <c r="AK578" s="1">
        <f>IF(IFERROR(MATCH(Tabelle11[[#Headers],[Rene_P]],Spielauswertung!$B566:$E566,0),0)=0,AK577,INDEX(Spielauswertung!$AB566:$AE566,MATCH(Tabelle11[[#Headers],[Rene_P]],Spielauswertung!$B566:$E566,0))+AK577)</f>
        <v>88.762543186332877</v>
      </c>
      <c r="AL578" s="1">
        <f>IF(IFERROR(MATCH(Tabelle11[[#Headers],[Richard_D]],Spielauswertung!$B566:$E566,0),0)=0,AL577,INDEX(Spielauswertung!$AB566:$AE566,MATCH(Tabelle11[[#Headers],[Richard_D]],Spielauswertung!$B566:$E566,0))+AL577)</f>
        <v>107.23233592026223</v>
      </c>
      <c r="AM578" s="1">
        <f>IF(IFERROR(MATCH(Tabelle11[[#Headers],[Rodrigo_R]],Spielauswertung!$B566:$E566,0),0)=0,AM577,INDEX(Spielauswertung!$AB566:$AE566,MATCH(Tabelle11[[#Headers],[Rodrigo_R]],Spielauswertung!$B566:$E566,0))+AM577)</f>
        <v>116.7028707921346</v>
      </c>
      <c r="AN578" s="1">
        <f>IF(IFERROR(MATCH(Tabelle11[[#Headers],[Sebastian_A]],Spielauswertung!$B566:$E566,0),0)=0,AN577,INDEX(Spielauswertung!$AB566:$AE566,MATCH(Tabelle11[[#Headers],[Sebastian_A]],Spielauswertung!$B566:$E566,0))+AN577)</f>
        <v>102.89457418671324</v>
      </c>
      <c r="AO578" s="1">
        <f>IF(IFERROR(MATCH(Tabelle11[[#Headers],[Sebastian_St]],Spielauswertung!$B566:$E566,0),0)=0,AO577,INDEX(Spielauswertung!$AB566:$AE566,MATCH(Tabelle11[[#Headers],[Sebastian_St]],Spielauswertung!$B566:$E566,0))+AO577)</f>
        <v>97.749574367408982</v>
      </c>
      <c r="AP578" s="1">
        <f>IF(IFERROR(MATCH(Tabelle11[[#Headers],[Simon_U]],Spielauswertung!$B566:$E566,0),0)=0,AP577,INDEX(Spielauswertung!$AB566:$AE566,MATCH(Tabelle11[[#Headers],[Simon_U]],Spielauswertung!$B566:$E566,0))+AP577)</f>
        <v>99.623054841470903</v>
      </c>
      <c r="AQ578" s="1">
        <f>IF(IFERROR(MATCH(Tabelle11[[#Headers],[Steffen_R]],Spielauswertung!$B566:$E566,0),0)=0,AQ577,INDEX(Spielauswertung!$AB566:$AE566,MATCH(Tabelle11[[#Headers],[Steffen_R]],Spielauswertung!$B566:$E566,0))+AQ577)</f>
        <v>93.247497067190949</v>
      </c>
      <c r="AR578" s="1">
        <f>IF(IFERROR(MATCH(Tabelle11[[#Headers],[Tim_R]],Spielauswertung!$B566:$E566,0),0)=0,AR577,INDEX(Spielauswertung!$AB566:$AE566,MATCH(Tabelle11[[#Headers],[Tim_R]],Spielauswertung!$B566:$E566,0))+AR577)</f>
        <v>103.07503787023374</v>
      </c>
      <c r="AS578" s="1">
        <f>IF(IFERROR(MATCH(Tabelle11[[#Headers],[Tobias_S]],Spielauswertung!$B566:$E566,0),0)=0,AS577,INDEX(Spielauswertung!$AB566:$AE566,MATCH(Tabelle11[[#Headers],[Tobias_S]],Spielauswertung!$B566:$E566,0))+AS577)</f>
        <v>98.6003422659997</v>
      </c>
      <c r="AT578" s="1">
        <f>IF(IFERROR(MATCH(Tabelle11[[#Headers],[Tom_R]],Spielauswertung!$B566:$E566,0),0)=0,AT577,INDEX(Spielauswertung!$AB566:$AE566,MATCH(Tabelle11[[#Headers],[Tom_R]],Spielauswertung!$B566:$E566,0))+AT577)</f>
        <v>112.62344492949197</v>
      </c>
      <c r="AU578" s="1">
        <f>IF(IFERROR(MATCH(Tabelle11[[#Headers],[Ton_L]],Spielauswertung!$B566:$E566,0),0)=0,AU577,INDEX(Spielauswertung!$AB566:$AE566,MATCH(Tabelle11[[#Headers],[Ton_L]],Spielauswertung!$B566:$E566,0))+AU577)</f>
        <v>92.683083360025861</v>
      </c>
      <c r="AV578" s="1">
        <f>IF(IFERROR(MATCH(Tabelle11[[#Headers],[Yixin_G]],Spielauswertung!$B566:$E566,0),0)=0,AV577,INDEX(Spielauswertung!$AB566:$AE566,MATCH(Tabelle11[[#Headers],[Yixin_G]],Spielauswertung!$B566:$E566,0))+AV577)</f>
        <v>99.900323214082661</v>
      </c>
      <c r="AW578" s="1">
        <f>IF(IFERROR(MATCH(Tabelle11[[#Headers],[Spalte36]],Spielauswertung!$B566:$E566,0),0)=0,AW577,INDEX(Spielauswertung!$AB566:$AE566,MATCH(Tabelle11[[#Headers],[Spalte36]],Spielauswertung!$B566:$E566,0))+AW577)</f>
        <v>100</v>
      </c>
      <c r="AX578" s="1">
        <f>IF(IFERROR(MATCH(Tabelle11[[#Headers],[Spalte37]],Spielauswertung!$B566:$E566,0),0)=0,AX577,INDEX(Spielauswertung!$AB566:$AE566,MATCH(Tabelle11[[#Headers],[Spalte37]],Spielauswertung!$B566:$E566,0))+AX577)</f>
        <v>100</v>
      </c>
      <c r="AY578" s="1">
        <f>IF(IFERROR(MATCH(Tabelle11[[#Headers],[Spalte38]],Spielauswertung!$B566:$E566,0),0)=0,AY577,INDEX(Spielauswertung!$AB566:$AE566,MATCH(Tabelle11[[#Headers],[Spalte38]],Spielauswertung!$B566:$E566,0))+AY577)</f>
        <v>100</v>
      </c>
      <c r="AZ578" s="1">
        <f>IF(IFERROR(MATCH(Tabelle11[[#Headers],[Spalte39]],Spielauswertung!$B566:$E566,0),0)=0,AZ577,INDEX(Spielauswertung!$AB566:$AE566,MATCH(Tabelle11[[#Headers],[Spalte39]],Spielauswertung!$B566:$E566,0))+AZ577)</f>
        <v>100</v>
      </c>
      <c r="BA578" s="1">
        <f>IF(IFERROR(MATCH(Tabelle11[[#Headers],[Spalte40]],Spielauswertung!$B566:$E566,0),0)=0,BA577,INDEX(Spielauswertung!$AB566:$AE566,MATCH(Tabelle11[[#Headers],[Spalte40]],Spielauswertung!$B566:$E566,0))+BA577)</f>
        <v>100</v>
      </c>
      <c r="BB578" s="1">
        <f>IF(IFERROR(MATCH(Tabelle11[[#Headers],[Spalte41]],Spielauswertung!$B566:$E566,0),0)=0,BB577,INDEX(Spielauswertung!$AB566:$AE566,MATCH(Tabelle11[[#Headers],[Spalte41]],Spielauswertung!$B566:$E566,0))+BB577)</f>
        <v>100</v>
      </c>
      <c r="BC578" s="1">
        <f>IF(IFERROR(MATCH(Tabelle11[[#Headers],[Spalte42]],Spielauswertung!$B566:$E566,0),0)=0,BC577,INDEX(Spielauswertung!$AB566:$AE566,MATCH(Tabelle11[[#Headers],[Spalte42]],Spielauswertung!$B566:$E566,0))+BC577)</f>
        <v>100</v>
      </c>
      <c r="BD578" s="1">
        <f>IF(IFERROR(MATCH(Tabelle11[[#Headers],[Spalte43]],Spielauswertung!$B566:$E566,0),0)=0,BD577,INDEX(Spielauswertung!$AB566:$AE566,MATCH(Tabelle11[[#Headers],[Spalte43]],Spielauswertung!$B566:$E566,0))+BD577)</f>
        <v>100</v>
      </c>
      <c r="BE578" s="1">
        <f>IF(IFERROR(MATCH(Tabelle11[[#Headers],[Spalte44]],Spielauswertung!$B566:$E566,0),0)=0,BE577,INDEX(Spielauswertung!$AB566:$AE566,MATCH(Tabelle11[[#Headers],[Spalte44]],Spielauswertung!$B566:$E566,0))+BE577)</f>
        <v>100</v>
      </c>
      <c r="BF578" s="1">
        <f>IF(IFERROR(MATCH(Tabelle11[[#Headers],[Spalte45]],Spielauswertung!$B566:$E566,0),0)=0,BF577,INDEX(Spielauswertung!$AB566:$AE566,MATCH(Tabelle11[[#Headers],[Spalte45]],Spielauswertung!$B566:$E566,0))+BF577)</f>
        <v>100</v>
      </c>
      <c r="BG578" s="1">
        <f>IF(IFERROR(MATCH(Tabelle11[[#Headers],[Spalte46]],Spielauswertung!$B566:$E566,0),0)=0,BG577,INDEX(Spielauswertung!$AB566:$AE566,MATCH(Tabelle11[[#Headers],[Spalte46]],Spielauswertung!$B566:$E566,0))+BG577)</f>
        <v>100</v>
      </c>
      <c r="BH578" s="1">
        <f>IF(IFERROR(MATCH(Tabelle11[[#Headers],[Spalte47]],Spielauswertung!$B566:$E566,0),0)=0,BH577,INDEX(Spielauswertung!$AB566:$AE566,MATCH(Tabelle11[[#Headers],[Spalte47]],Spielauswertung!$B566:$E566,0))+BH577)</f>
        <v>100</v>
      </c>
    </row>
    <row r="579" spans="1:60" x14ac:dyDescent="0.25">
      <c r="A579">
        <f t="shared" si="9"/>
        <v>566</v>
      </c>
      <c r="B579" s="1">
        <f>IF(IFERROR(MATCH(Tabelle11[[#Headers],[Aleix_V]],Spielauswertung!$B567:$E567,0),0)=0,B578,INDEX(Spielauswertung!$AB567:$AE567,MATCH(Tabelle11[[#Headers],[Aleix_V]],Spielauswertung!$B567:$E567,0))+B578)</f>
        <v>102.47318019444646</v>
      </c>
      <c r="C579" s="1">
        <f>IF(IFERROR(MATCH(Tabelle11[[#Headers],[Andres_H]],Spielauswertung!$B567:$E567,0),0)=0,C578,INDEX(Spielauswertung!$AB567:$AE567,MATCH(Tabelle11[[#Headers],[Andres_H]],Spielauswertung!$B567:$E567,0))+C578)</f>
        <v>95.535732339111306</v>
      </c>
      <c r="D579" s="1">
        <f>IF(IFERROR(MATCH(Tabelle11[[#Headers],[Anton_K]],Spielauswertung!$B567:$E567,0),0)=0,D578,INDEX(Spielauswertung!$AB567:$AE567,MATCH(Tabelle11[[#Headers],[Anton_K]],Spielauswertung!$B567:$E567,0))+D578)</f>
        <v>99.287728777054667</v>
      </c>
      <c r="E579" s="1">
        <f>IF(IFERROR(MATCH(Tabelle11[[#Headers],[Bastian_G]],Spielauswertung!$B567:$E567,0),0)=0,E578,INDEX(Spielauswertung!$AB567:$AE567,MATCH(Tabelle11[[#Headers],[Bastian_G]],Spielauswertung!$B567:$E567,0))+E578)</f>
        <v>117.49978695184252</v>
      </c>
      <c r="F579" s="1">
        <f>IF(IFERROR(MATCH(Tabelle11[[#Headers],[Ben_S]],Spielauswertung!$B567:$E567,0),0)=0,F578,INDEX(Spielauswertung!$AB567:$AE567,MATCH(Tabelle11[[#Headers],[Ben_S]],Spielauswertung!$B567:$E567,0))+F578)</f>
        <v>95.932799101521084</v>
      </c>
      <c r="G579" s="1">
        <f>IF(IFERROR(MATCH(Tabelle11[[#Headers],[Benedikt_K]],Spielauswertung!$B567:$E567,0),0)=0,G578,INDEX(Spielauswertung!$AB567:$AE567,MATCH(Tabelle11[[#Headers],[Benedikt_K]],Spielauswertung!$B567:$E567,0))+G578)</f>
        <v>101.20264176422626</v>
      </c>
      <c r="H579" s="1">
        <f>IF(IFERROR(MATCH(Tabelle11[[#Headers],[Benedikt_R]],Spielauswertung!$B567:$E567,0),0)=0,H578,INDEX(Spielauswertung!$AB567:$AE567,MATCH(Tabelle11[[#Headers],[Benedikt_R]],Spielauswertung!$B567:$E567,0))+H578)</f>
        <v>102.6264770510757</v>
      </c>
      <c r="I579" s="1">
        <f>IF(IFERROR(MATCH(Tabelle11[[#Headers],[Carsten_H]],Spielauswertung!$B567:$E567,0),0)=0,I578,INDEX(Spielauswertung!$AB567:$AE567,MATCH(Tabelle11[[#Headers],[Carsten_H]],Spielauswertung!$B567:$E567,0))+I578)</f>
        <v>90.817185094326874</v>
      </c>
      <c r="J579" s="1">
        <f>IF(IFERROR(MATCH(Tabelle11[[#Headers],[Christoph_R]],Spielauswertung!$B567:$E567,0),0)=0,J578,INDEX(Spielauswertung!$AB567:$AE567,MATCH(Tabelle11[[#Headers],[Christoph_R]],Spielauswertung!$B567:$E567,0))+J578)</f>
        <v>109.73261611443155</v>
      </c>
      <c r="K579" s="1">
        <f>IF(IFERROR(MATCH(Tabelle11[[#Headers],[Claudius_J]],Spielauswertung!$B567:$E567,0),0)=0,K578,INDEX(Spielauswertung!$AB567:$AE567,MATCH(Tabelle11[[#Headers],[Claudius_J]],Spielauswertung!$B567:$E567,0))+K578)</f>
        <v>106.16590636000029</v>
      </c>
      <c r="L579" s="1">
        <f>IF(IFERROR(MATCH(Tabelle11[[#Headers],[Daniel_D]],Spielauswertung!$B567:$E567,0),0)=0,L578,INDEX(Spielauswertung!$AB567:$AE567,MATCH(Tabelle11[[#Headers],[Daniel_D]],Spielauswertung!$B567:$E567,0))+L578)</f>
        <v>99.990299180470089</v>
      </c>
      <c r="M579" s="1">
        <f>IF(IFERROR(MATCH(Tabelle11[[#Headers],[David_R]],Spielauswertung!$B567:$E567,0),0)=0,M578,INDEX(Spielauswertung!$AB567:$AE567,MATCH(Tabelle11[[#Headers],[David_R]],Spielauswertung!$B567:$E567,0))+M578)</f>
        <v>96.715943522481638</v>
      </c>
      <c r="N579" s="1">
        <f>IF(IFERROR(MATCH(Tabelle11[[#Headers],[Dennis_P]],Spielauswertung!$B567:$E567,0),0)=0,N578,INDEX(Spielauswertung!$AB567:$AE567,MATCH(Tabelle11[[#Headers],[Dennis_P]],Spielauswertung!$B567:$E567,0))+N578)</f>
        <v>100.04773223105254</v>
      </c>
      <c r="O579" s="1">
        <f>IF(IFERROR(MATCH(Tabelle11[[#Headers],[Dennis_R]],Spielauswertung!$B567:$E567,0),0)=0,O578,INDEX(Spielauswertung!$AB567:$AE567,MATCH(Tabelle11[[#Headers],[Dennis_R]],Spielauswertung!$B567:$E567,0))+O578)</f>
        <v>75.131680864937195</v>
      </c>
      <c r="P579" s="1">
        <f>IF(IFERROR(MATCH(Tabelle11[[#Headers],[Detlef_R]],Spielauswertung!$B567:$E567,0),0)=0,P578,INDEX(Spielauswertung!$AB567:$AE567,MATCH(Tabelle11[[#Headers],[Detlef_R]],Spielauswertung!$B567:$E567,0))+P578)</f>
        <v>87.984671797367014</v>
      </c>
      <c r="Q579" s="1">
        <f>IF(IFERROR(MATCH(Tabelle11[[#Headers],[Dmitrij_M]],Spielauswertung!$B567:$E567,0),0)=0,Q578,INDEX(Spielauswertung!$AB567:$AE567,MATCH(Tabelle11[[#Headers],[Dmitrij_M]],Spielauswertung!$B567:$E567,0))+Q578)</f>
        <v>100.69975721846207</v>
      </c>
      <c r="R579" s="1">
        <f>IF(IFERROR(MATCH(Tabelle11[[#Headers],[Fabian_M]],Spielauswertung!$B567:$E567,0),0)=0,R578,INDEX(Spielauswertung!$AB567:$AE567,MATCH(Tabelle11[[#Headers],[Fabian_M]],Spielauswertung!$B567:$E567,0))+R578)</f>
        <v>95.805387841610738</v>
      </c>
      <c r="S579" s="1">
        <f>IF(IFERROR(MATCH(Tabelle11[[#Headers],[Hannes_S]],Spielauswertung!$B567:$E567,0),0)=0,S578,INDEX(Spielauswertung!$AB567:$AE567,MATCH(Tabelle11[[#Headers],[Hannes_S]],Spielauswertung!$B567:$E567,0))+S578)</f>
        <v>104.83899184012799</v>
      </c>
      <c r="T579" s="1">
        <f>IF(IFERROR(MATCH(Tabelle11[[#Headers],[Jan_B]],Spielauswertung!$B567:$E567,0),0)=0,T578,INDEX(Spielauswertung!$AB567:$AE567,MATCH(Tabelle11[[#Headers],[Jan_B]],Spielauswertung!$B567:$E567,0))+T578)</f>
        <v>100.2794420429173</v>
      </c>
      <c r="U579" s="1">
        <f>IF(IFERROR(MATCH(Tabelle11[[#Headers],[Jan_Hendrik_B]],Spielauswertung!$B567:$E567,0),0)=0,U578,INDEX(Spielauswertung!$AB567:$AE567,MATCH(Tabelle11[[#Headers],[Jan_Hendrik_B]],Spielauswertung!$B567:$E567,0))+U578)</f>
        <v>100.75492416935522</v>
      </c>
      <c r="V579" s="1">
        <f>IF(IFERROR(MATCH(Tabelle11[[#Headers],[Jens_N]],Spielauswertung!$B567:$E567,0),0)=0,V578,INDEX(Spielauswertung!$AB567:$AE567,MATCH(Tabelle11[[#Headers],[Jens_N]],Spielauswertung!$B567:$E567,0))+V578)</f>
        <v>99.643534710196832</v>
      </c>
      <c r="W579" s="1">
        <f>IF(IFERROR(MATCH(Tabelle11[[#Headers],[Johannes_S]],Spielauswertung!$B567:$E567,0),0)=0,W578,INDEX(Spielauswertung!$AB567:$AE567,MATCH(Tabelle11[[#Headers],[Johannes_S]],Spielauswertung!$B567:$E567,0))+W578)</f>
        <v>102.20284750979505</v>
      </c>
      <c r="X579" s="1">
        <f>IF(IFERROR(MATCH(Tabelle11[[#Headers],[Jonathan_F]],Spielauswertung!$B567:$E567,0),0)=0,X578,INDEX(Spielauswertung!$AB567:$AE567,MATCH(Tabelle11[[#Headers],[Jonathan_F]],Spielauswertung!$B567:$E567,0))+X578)</f>
        <v>98.938308797866256</v>
      </c>
      <c r="Y579" s="1">
        <f>IF(IFERROR(MATCH(Tabelle11[[#Headers],[Julius_P]],Spielauswertung!$B567:$E567,0),0)=0,Y578,INDEX(Spielauswertung!$AB567:$AE567,MATCH(Tabelle11[[#Headers],[Julius_P]],Spielauswertung!$B567:$E567,0))+Y578)</f>
        <v>96.540305101873642</v>
      </c>
      <c r="Z579" s="1">
        <f>IF(IFERROR(MATCH(Tabelle11[[#Headers],[Louis_W]],Spielauswertung!$B567:$E567,0),0)=0,Z578,INDEX(Spielauswertung!$AB567:$AE567,MATCH(Tabelle11[[#Headers],[Louis_W]],Spielauswertung!$B567:$E567,0))+Z578)</f>
        <v>87.497452285475362</v>
      </c>
      <c r="AA579" s="1">
        <f>IF(IFERROR(MATCH(Tabelle11[[#Headers],[Lukas_L]],Spielauswertung!$B567:$E567,0),0)=0,AA578,INDEX(Spielauswertung!$AB567:$AE567,MATCH(Tabelle11[[#Headers],[Lukas_L]],Spielauswertung!$B567:$E567,0))+AA578)</f>
        <v>98.447931341404143</v>
      </c>
      <c r="AB579" s="1">
        <f>IF(IFERROR(MATCH(Tabelle11[[#Headers],[Marcin_S]],Spielauswertung!$B567:$E567,0),0)=0,AB578,INDEX(Spielauswertung!$AB567:$AE567,MATCH(Tabelle11[[#Headers],[Marcin_S]],Spielauswertung!$B567:$E567,0))+AB578)</f>
        <v>85.463329105556824</v>
      </c>
      <c r="AC579" s="1">
        <f>IF(IFERROR(MATCH(Tabelle11[[#Headers],[Marco_K]],Spielauswertung!$B567:$E567,0),0)=0,AC578,INDEX(Spielauswertung!$AB567:$AE567,MATCH(Tabelle11[[#Headers],[Marco_K]],Spielauswertung!$B567:$E567,0))+AC578)</f>
        <v>102.12169819441469</v>
      </c>
      <c r="AD579" s="1">
        <f>IF(IFERROR(MATCH(Tabelle11[[#Headers],[Marius_M]],Spielauswertung!$B567:$E567,0),0)=0,AD578,INDEX(Spielauswertung!$AB567:$AE567,MATCH(Tabelle11[[#Headers],[Marius_M]],Spielauswertung!$B567:$E567,0))+AD578)</f>
        <v>124.54012374585781</v>
      </c>
      <c r="AE579" s="1">
        <f>IF(IFERROR(MATCH(Tabelle11[[#Headers],[Marvin_W]],Spielauswertung!$B567:$E567,0),0)=0,AE578,INDEX(Spielauswertung!$AB567:$AE567,MATCH(Tabelle11[[#Headers],[Marvin_W]],Spielauswertung!$B567:$E567,0))+AE578)</f>
        <v>96.700266280577438</v>
      </c>
      <c r="AF579" s="1">
        <f>IF(IFERROR(MATCH(Tabelle11[[#Headers],[Matthias_H]],Spielauswertung!$B567:$E567,0),0)=0,AF578,INDEX(Spielauswertung!$AB567:$AE567,MATCH(Tabelle11[[#Headers],[Matthias_H]],Spielauswertung!$B567:$E567,0))+AF578)</f>
        <v>105.42130178599372</v>
      </c>
      <c r="AG579" s="1">
        <f>IF(IFERROR(MATCH(Tabelle11[[#Headers],[Michael_D]],Spielauswertung!$B567:$E567,0),0)=0,AG578,INDEX(Spielauswertung!$AB567:$AE567,MATCH(Tabelle11[[#Headers],[Michael_D]],Spielauswertung!$B567:$E567,0))+AG578)</f>
        <v>96.436276170375336</v>
      </c>
      <c r="AH579" s="1">
        <f>IF(IFERROR(MATCH(Tabelle11[[#Headers],[Patrick_S]],Spielauswertung!$B567:$E567,0),0)=0,AH578,INDEX(Spielauswertung!$AB567:$AE567,MATCH(Tabelle11[[#Headers],[Patrick_S]],Spielauswertung!$B567:$E567,0))+AH578)</f>
        <v>98.975330692053802</v>
      </c>
      <c r="AI579" s="1">
        <f>IF(IFERROR(MATCH(Tabelle11[[#Headers],[Rano_M]],Spielauswertung!$B567:$E567,0),0)=0,AI578,INDEX(Spielauswertung!$AB567:$AE567,MATCH(Tabelle11[[#Headers],[Rano_M]],Spielauswertung!$B567:$E567,0))+AI578)</f>
        <v>109.38890657420265</v>
      </c>
      <c r="AJ579" s="1">
        <f>IF(IFERROR(MATCH(Tabelle11[[#Headers],[Rene_N]],Spielauswertung!$B567:$E567,0),0)=0,AJ578,INDEX(Spielauswertung!$AB567:$AE567,MATCH(Tabelle11[[#Headers],[Rene_N]],Spielauswertung!$B567:$E567,0))+AJ578)</f>
        <v>101.06482124619033</v>
      </c>
      <c r="AK579" s="1">
        <f>IF(IFERROR(MATCH(Tabelle11[[#Headers],[Rene_P]],Spielauswertung!$B567:$E567,0),0)=0,AK578,INDEX(Spielauswertung!$AB567:$AE567,MATCH(Tabelle11[[#Headers],[Rene_P]],Spielauswertung!$B567:$E567,0))+AK578)</f>
        <v>88.762543186332877</v>
      </c>
      <c r="AL579" s="1">
        <f>IF(IFERROR(MATCH(Tabelle11[[#Headers],[Richard_D]],Spielauswertung!$B567:$E567,0),0)=0,AL578,INDEX(Spielauswertung!$AB567:$AE567,MATCH(Tabelle11[[#Headers],[Richard_D]],Spielauswertung!$B567:$E567,0))+AL578)</f>
        <v>107.23233592026223</v>
      </c>
      <c r="AM579" s="1">
        <f>IF(IFERROR(MATCH(Tabelle11[[#Headers],[Rodrigo_R]],Spielauswertung!$B567:$E567,0),0)=0,AM578,INDEX(Spielauswertung!$AB567:$AE567,MATCH(Tabelle11[[#Headers],[Rodrigo_R]],Spielauswertung!$B567:$E567,0))+AM578)</f>
        <v>116.7028707921346</v>
      </c>
      <c r="AN579" s="1">
        <f>IF(IFERROR(MATCH(Tabelle11[[#Headers],[Sebastian_A]],Spielauswertung!$B567:$E567,0),0)=0,AN578,INDEX(Spielauswertung!$AB567:$AE567,MATCH(Tabelle11[[#Headers],[Sebastian_A]],Spielauswertung!$B567:$E567,0))+AN578)</f>
        <v>102.89457418671324</v>
      </c>
      <c r="AO579" s="1">
        <f>IF(IFERROR(MATCH(Tabelle11[[#Headers],[Sebastian_St]],Spielauswertung!$B567:$E567,0),0)=0,AO578,INDEX(Spielauswertung!$AB567:$AE567,MATCH(Tabelle11[[#Headers],[Sebastian_St]],Spielauswertung!$B567:$E567,0))+AO578)</f>
        <v>97.749574367408982</v>
      </c>
      <c r="AP579" s="1">
        <f>IF(IFERROR(MATCH(Tabelle11[[#Headers],[Simon_U]],Spielauswertung!$B567:$E567,0),0)=0,AP578,INDEX(Spielauswertung!$AB567:$AE567,MATCH(Tabelle11[[#Headers],[Simon_U]],Spielauswertung!$B567:$E567,0))+AP578)</f>
        <v>99.623054841470903</v>
      </c>
      <c r="AQ579" s="1">
        <f>IF(IFERROR(MATCH(Tabelle11[[#Headers],[Steffen_R]],Spielauswertung!$B567:$E567,0),0)=0,AQ578,INDEX(Spielauswertung!$AB567:$AE567,MATCH(Tabelle11[[#Headers],[Steffen_R]],Spielauswertung!$B567:$E567,0))+AQ578)</f>
        <v>93.247497067190949</v>
      </c>
      <c r="AR579" s="1">
        <f>IF(IFERROR(MATCH(Tabelle11[[#Headers],[Tim_R]],Spielauswertung!$B567:$E567,0),0)=0,AR578,INDEX(Spielauswertung!$AB567:$AE567,MATCH(Tabelle11[[#Headers],[Tim_R]],Spielauswertung!$B567:$E567,0))+AR578)</f>
        <v>103.07503787023374</v>
      </c>
      <c r="AS579" s="1">
        <f>IF(IFERROR(MATCH(Tabelle11[[#Headers],[Tobias_S]],Spielauswertung!$B567:$E567,0),0)=0,AS578,INDEX(Spielauswertung!$AB567:$AE567,MATCH(Tabelle11[[#Headers],[Tobias_S]],Spielauswertung!$B567:$E567,0))+AS578)</f>
        <v>98.6003422659997</v>
      </c>
      <c r="AT579" s="1">
        <f>IF(IFERROR(MATCH(Tabelle11[[#Headers],[Tom_R]],Spielauswertung!$B567:$E567,0),0)=0,AT578,INDEX(Spielauswertung!$AB567:$AE567,MATCH(Tabelle11[[#Headers],[Tom_R]],Spielauswertung!$B567:$E567,0))+AT578)</f>
        <v>112.62344492949197</v>
      </c>
      <c r="AU579" s="1">
        <f>IF(IFERROR(MATCH(Tabelle11[[#Headers],[Ton_L]],Spielauswertung!$B567:$E567,0),0)=0,AU578,INDEX(Spielauswertung!$AB567:$AE567,MATCH(Tabelle11[[#Headers],[Ton_L]],Spielauswertung!$B567:$E567,0))+AU578)</f>
        <v>92.683083360025861</v>
      </c>
      <c r="AV579" s="1">
        <f>IF(IFERROR(MATCH(Tabelle11[[#Headers],[Yixin_G]],Spielauswertung!$B567:$E567,0),0)=0,AV578,INDEX(Spielauswertung!$AB567:$AE567,MATCH(Tabelle11[[#Headers],[Yixin_G]],Spielauswertung!$B567:$E567,0))+AV578)</f>
        <v>99.900323214082661</v>
      </c>
      <c r="AW579" s="1">
        <f>IF(IFERROR(MATCH(Tabelle11[[#Headers],[Spalte36]],Spielauswertung!$B567:$E567,0),0)=0,AW578,INDEX(Spielauswertung!$AB567:$AE567,MATCH(Tabelle11[[#Headers],[Spalte36]],Spielauswertung!$B567:$E567,0))+AW578)</f>
        <v>100</v>
      </c>
      <c r="AX579" s="1">
        <f>IF(IFERROR(MATCH(Tabelle11[[#Headers],[Spalte37]],Spielauswertung!$B567:$E567,0),0)=0,AX578,INDEX(Spielauswertung!$AB567:$AE567,MATCH(Tabelle11[[#Headers],[Spalte37]],Spielauswertung!$B567:$E567,0))+AX578)</f>
        <v>100</v>
      </c>
      <c r="AY579" s="1">
        <f>IF(IFERROR(MATCH(Tabelle11[[#Headers],[Spalte38]],Spielauswertung!$B567:$E567,0),0)=0,AY578,INDEX(Spielauswertung!$AB567:$AE567,MATCH(Tabelle11[[#Headers],[Spalte38]],Spielauswertung!$B567:$E567,0))+AY578)</f>
        <v>100</v>
      </c>
      <c r="AZ579" s="1">
        <f>IF(IFERROR(MATCH(Tabelle11[[#Headers],[Spalte39]],Spielauswertung!$B567:$E567,0),0)=0,AZ578,INDEX(Spielauswertung!$AB567:$AE567,MATCH(Tabelle11[[#Headers],[Spalte39]],Spielauswertung!$B567:$E567,0))+AZ578)</f>
        <v>100</v>
      </c>
      <c r="BA579" s="1">
        <f>IF(IFERROR(MATCH(Tabelle11[[#Headers],[Spalte40]],Spielauswertung!$B567:$E567,0),0)=0,BA578,INDEX(Spielauswertung!$AB567:$AE567,MATCH(Tabelle11[[#Headers],[Spalte40]],Spielauswertung!$B567:$E567,0))+BA578)</f>
        <v>100</v>
      </c>
      <c r="BB579" s="1">
        <f>IF(IFERROR(MATCH(Tabelle11[[#Headers],[Spalte41]],Spielauswertung!$B567:$E567,0),0)=0,BB578,INDEX(Spielauswertung!$AB567:$AE567,MATCH(Tabelle11[[#Headers],[Spalte41]],Spielauswertung!$B567:$E567,0))+BB578)</f>
        <v>100</v>
      </c>
      <c r="BC579" s="1">
        <f>IF(IFERROR(MATCH(Tabelle11[[#Headers],[Spalte42]],Spielauswertung!$B567:$E567,0),0)=0,BC578,INDEX(Spielauswertung!$AB567:$AE567,MATCH(Tabelle11[[#Headers],[Spalte42]],Spielauswertung!$B567:$E567,0))+BC578)</f>
        <v>100</v>
      </c>
      <c r="BD579" s="1">
        <f>IF(IFERROR(MATCH(Tabelle11[[#Headers],[Spalte43]],Spielauswertung!$B567:$E567,0),0)=0,BD578,INDEX(Spielauswertung!$AB567:$AE567,MATCH(Tabelle11[[#Headers],[Spalte43]],Spielauswertung!$B567:$E567,0))+BD578)</f>
        <v>100</v>
      </c>
      <c r="BE579" s="1">
        <f>IF(IFERROR(MATCH(Tabelle11[[#Headers],[Spalte44]],Spielauswertung!$B567:$E567,0),0)=0,BE578,INDEX(Spielauswertung!$AB567:$AE567,MATCH(Tabelle11[[#Headers],[Spalte44]],Spielauswertung!$B567:$E567,0))+BE578)</f>
        <v>100</v>
      </c>
      <c r="BF579" s="1">
        <f>IF(IFERROR(MATCH(Tabelle11[[#Headers],[Spalte45]],Spielauswertung!$B567:$E567,0),0)=0,BF578,INDEX(Spielauswertung!$AB567:$AE567,MATCH(Tabelle11[[#Headers],[Spalte45]],Spielauswertung!$B567:$E567,0))+BF578)</f>
        <v>100</v>
      </c>
      <c r="BG579" s="1">
        <f>IF(IFERROR(MATCH(Tabelle11[[#Headers],[Spalte46]],Spielauswertung!$B567:$E567,0),0)=0,BG578,INDEX(Spielauswertung!$AB567:$AE567,MATCH(Tabelle11[[#Headers],[Spalte46]],Spielauswertung!$B567:$E567,0))+BG578)</f>
        <v>100</v>
      </c>
      <c r="BH579" s="1">
        <f>IF(IFERROR(MATCH(Tabelle11[[#Headers],[Spalte47]],Spielauswertung!$B567:$E567,0),0)=0,BH578,INDEX(Spielauswertung!$AB567:$AE567,MATCH(Tabelle11[[#Headers],[Spalte47]],Spielauswertung!$B567:$E567,0))+BH578)</f>
        <v>100</v>
      </c>
    </row>
    <row r="580" spans="1:60" x14ac:dyDescent="0.25">
      <c r="A580">
        <f t="shared" si="9"/>
        <v>567</v>
      </c>
      <c r="B580" s="1">
        <f>IF(IFERROR(MATCH(Tabelle11[[#Headers],[Aleix_V]],Spielauswertung!$B568:$E568,0),0)=0,B579,INDEX(Spielauswertung!$AB568:$AE568,MATCH(Tabelle11[[#Headers],[Aleix_V]],Spielauswertung!$B568:$E568,0))+B579)</f>
        <v>102.47318019444646</v>
      </c>
      <c r="C580" s="1">
        <f>IF(IFERROR(MATCH(Tabelle11[[#Headers],[Andres_H]],Spielauswertung!$B568:$E568,0),0)=0,C579,INDEX(Spielauswertung!$AB568:$AE568,MATCH(Tabelle11[[#Headers],[Andres_H]],Spielauswertung!$B568:$E568,0))+C579)</f>
        <v>95.535732339111306</v>
      </c>
      <c r="D580" s="1">
        <f>IF(IFERROR(MATCH(Tabelle11[[#Headers],[Anton_K]],Spielauswertung!$B568:$E568,0),0)=0,D579,INDEX(Spielauswertung!$AB568:$AE568,MATCH(Tabelle11[[#Headers],[Anton_K]],Spielauswertung!$B568:$E568,0))+D579)</f>
        <v>99.287728777054667</v>
      </c>
      <c r="E580" s="1">
        <f>IF(IFERROR(MATCH(Tabelle11[[#Headers],[Bastian_G]],Spielauswertung!$B568:$E568,0),0)=0,E579,INDEX(Spielauswertung!$AB568:$AE568,MATCH(Tabelle11[[#Headers],[Bastian_G]],Spielauswertung!$B568:$E568,0))+E579)</f>
        <v>117.49978695184252</v>
      </c>
      <c r="F580" s="1">
        <f>IF(IFERROR(MATCH(Tabelle11[[#Headers],[Ben_S]],Spielauswertung!$B568:$E568,0),0)=0,F579,INDEX(Spielauswertung!$AB568:$AE568,MATCH(Tabelle11[[#Headers],[Ben_S]],Spielauswertung!$B568:$E568,0))+F579)</f>
        <v>95.932799101521084</v>
      </c>
      <c r="G580" s="1">
        <f>IF(IFERROR(MATCH(Tabelle11[[#Headers],[Benedikt_K]],Spielauswertung!$B568:$E568,0),0)=0,G579,INDEX(Spielauswertung!$AB568:$AE568,MATCH(Tabelle11[[#Headers],[Benedikt_K]],Spielauswertung!$B568:$E568,0))+G579)</f>
        <v>101.20264176422626</v>
      </c>
      <c r="H580" s="1">
        <f>IF(IFERROR(MATCH(Tabelle11[[#Headers],[Benedikt_R]],Spielauswertung!$B568:$E568,0),0)=0,H579,INDEX(Spielauswertung!$AB568:$AE568,MATCH(Tabelle11[[#Headers],[Benedikt_R]],Spielauswertung!$B568:$E568,0))+H579)</f>
        <v>102.6264770510757</v>
      </c>
      <c r="I580" s="1">
        <f>IF(IFERROR(MATCH(Tabelle11[[#Headers],[Carsten_H]],Spielauswertung!$B568:$E568,0),0)=0,I579,INDEX(Spielauswertung!$AB568:$AE568,MATCH(Tabelle11[[#Headers],[Carsten_H]],Spielauswertung!$B568:$E568,0))+I579)</f>
        <v>90.817185094326874</v>
      </c>
      <c r="J580" s="1">
        <f>IF(IFERROR(MATCH(Tabelle11[[#Headers],[Christoph_R]],Spielauswertung!$B568:$E568,0),0)=0,J579,INDEX(Spielauswertung!$AB568:$AE568,MATCH(Tabelle11[[#Headers],[Christoph_R]],Spielauswertung!$B568:$E568,0))+J579)</f>
        <v>109.73261611443155</v>
      </c>
      <c r="K580" s="1">
        <f>IF(IFERROR(MATCH(Tabelle11[[#Headers],[Claudius_J]],Spielauswertung!$B568:$E568,0),0)=0,K579,INDEX(Spielauswertung!$AB568:$AE568,MATCH(Tabelle11[[#Headers],[Claudius_J]],Spielauswertung!$B568:$E568,0))+K579)</f>
        <v>106.16590636000029</v>
      </c>
      <c r="L580" s="1">
        <f>IF(IFERROR(MATCH(Tabelle11[[#Headers],[Daniel_D]],Spielauswertung!$B568:$E568,0),0)=0,L579,INDEX(Spielauswertung!$AB568:$AE568,MATCH(Tabelle11[[#Headers],[Daniel_D]],Spielauswertung!$B568:$E568,0))+L579)</f>
        <v>99.990299180470089</v>
      </c>
      <c r="M580" s="1">
        <f>IF(IFERROR(MATCH(Tabelle11[[#Headers],[David_R]],Spielauswertung!$B568:$E568,0),0)=0,M579,INDEX(Spielauswertung!$AB568:$AE568,MATCH(Tabelle11[[#Headers],[David_R]],Spielauswertung!$B568:$E568,0))+M579)</f>
        <v>96.715943522481638</v>
      </c>
      <c r="N580" s="1">
        <f>IF(IFERROR(MATCH(Tabelle11[[#Headers],[Dennis_P]],Spielauswertung!$B568:$E568,0),0)=0,N579,INDEX(Spielauswertung!$AB568:$AE568,MATCH(Tabelle11[[#Headers],[Dennis_P]],Spielauswertung!$B568:$E568,0))+N579)</f>
        <v>100.04773223105254</v>
      </c>
      <c r="O580" s="1">
        <f>IF(IFERROR(MATCH(Tabelle11[[#Headers],[Dennis_R]],Spielauswertung!$B568:$E568,0),0)=0,O579,INDEX(Spielauswertung!$AB568:$AE568,MATCH(Tabelle11[[#Headers],[Dennis_R]],Spielauswertung!$B568:$E568,0))+O579)</f>
        <v>75.131680864937195</v>
      </c>
      <c r="P580" s="1">
        <f>IF(IFERROR(MATCH(Tabelle11[[#Headers],[Detlef_R]],Spielauswertung!$B568:$E568,0),0)=0,P579,INDEX(Spielauswertung!$AB568:$AE568,MATCH(Tabelle11[[#Headers],[Detlef_R]],Spielauswertung!$B568:$E568,0))+P579)</f>
        <v>87.984671797367014</v>
      </c>
      <c r="Q580" s="1">
        <f>IF(IFERROR(MATCH(Tabelle11[[#Headers],[Dmitrij_M]],Spielauswertung!$B568:$E568,0),0)=0,Q579,INDEX(Spielauswertung!$AB568:$AE568,MATCH(Tabelle11[[#Headers],[Dmitrij_M]],Spielauswertung!$B568:$E568,0))+Q579)</f>
        <v>100.69975721846207</v>
      </c>
      <c r="R580" s="1">
        <f>IF(IFERROR(MATCH(Tabelle11[[#Headers],[Fabian_M]],Spielauswertung!$B568:$E568,0),0)=0,R579,INDEX(Spielauswertung!$AB568:$AE568,MATCH(Tabelle11[[#Headers],[Fabian_M]],Spielauswertung!$B568:$E568,0))+R579)</f>
        <v>95.805387841610738</v>
      </c>
      <c r="S580" s="1">
        <f>IF(IFERROR(MATCH(Tabelle11[[#Headers],[Hannes_S]],Spielauswertung!$B568:$E568,0),0)=0,S579,INDEX(Spielauswertung!$AB568:$AE568,MATCH(Tabelle11[[#Headers],[Hannes_S]],Spielauswertung!$B568:$E568,0))+S579)</f>
        <v>104.83899184012799</v>
      </c>
      <c r="T580" s="1">
        <f>IF(IFERROR(MATCH(Tabelle11[[#Headers],[Jan_B]],Spielauswertung!$B568:$E568,0),0)=0,T579,INDEX(Spielauswertung!$AB568:$AE568,MATCH(Tabelle11[[#Headers],[Jan_B]],Spielauswertung!$B568:$E568,0))+T579)</f>
        <v>100.2794420429173</v>
      </c>
      <c r="U580" s="1">
        <f>IF(IFERROR(MATCH(Tabelle11[[#Headers],[Jan_Hendrik_B]],Spielauswertung!$B568:$E568,0),0)=0,U579,INDEX(Spielauswertung!$AB568:$AE568,MATCH(Tabelle11[[#Headers],[Jan_Hendrik_B]],Spielauswertung!$B568:$E568,0))+U579)</f>
        <v>100.75492416935522</v>
      </c>
      <c r="V580" s="1">
        <f>IF(IFERROR(MATCH(Tabelle11[[#Headers],[Jens_N]],Spielauswertung!$B568:$E568,0),0)=0,V579,INDEX(Spielauswertung!$AB568:$AE568,MATCH(Tabelle11[[#Headers],[Jens_N]],Spielauswertung!$B568:$E568,0))+V579)</f>
        <v>99.643534710196832</v>
      </c>
      <c r="W580" s="1">
        <f>IF(IFERROR(MATCH(Tabelle11[[#Headers],[Johannes_S]],Spielauswertung!$B568:$E568,0),0)=0,W579,INDEX(Spielauswertung!$AB568:$AE568,MATCH(Tabelle11[[#Headers],[Johannes_S]],Spielauswertung!$B568:$E568,0))+W579)</f>
        <v>102.20284750979505</v>
      </c>
      <c r="X580" s="1">
        <f>IF(IFERROR(MATCH(Tabelle11[[#Headers],[Jonathan_F]],Spielauswertung!$B568:$E568,0),0)=0,X579,INDEX(Spielauswertung!$AB568:$AE568,MATCH(Tabelle11[[#Headers],[Jonathan_F]],Spielauswertung!$B568:$E568,0))+X579)</f>
        <v>98.938308797866256</v>
      </c>
      <c r="Y580" s="1">
        <f>IF(IFERROR(MATCH(Tabelle11[[#Headers],[Julius_P]],Spielauswertung!$B568:$E568,0),0)=0,Y579,INDEX(Spielauswertung!$AB568:$AE568,MATCH(Tabelle11[[#Headers],[Julius_P]],Spielauswertung!$B568:$E568,0))+Y579)</f>
        <v>96.540305101873642</v>
      </c>
      <c r="Z580" s="1">
        <f>IF(IFERROR(MATCH(Tabelle11[[#Headers],[Louis_W]],Spielauswertung!$B568:$E568,0),0)=0,Z579,INDEX(Spielauswertung!$AB568:$AE568,MATCH(Tabelle11[[#Headers],[Louis_W]],Spielauswertung!$B568:$E568,0))+Z579)</f>
        <v>87.497452285475362</v>
      </c>
      <c r="AA580" s="1">
        <f>IF(IFERROR(MATCH(Tabelle11[[#Headers],[Lukas_L]],Spielauswertung!$B568:$E568,0),0)=0,AA579,INDEX(Spielauswertung!$AB568:$AE568,MATCH(Tabelle11[[#Headers],[Lukas_L]],Spielauswertung!$B568:$E568,0))+AA579)</f>
        <v>98.447931341404143</v>
      </c>
      <c r="AB580" s="1">
        <f>IF(IFERROR(MATCH(Tabelle11[[#Headers],[Marcin_S]],Spielauswertung!$B568:$E568,0),0)=0,AB579,INDEX(Spielauswertung!$AB568:$AE568,MATCH(Tabelle11[[#Headers],[Marcin_S]],Spielauswertung!$B568:$E568,0))+AB579)</f>
        <v>85.463329105556824</v>
      </c>
      <c r="AC580" s="1">
        <f>IF(IFERROR(MATCH(Tabelle11[[#Headers],[Marco_K]],Spielauswertung!$B568:$E568,0),0)=0,AC579,INDEX(Spielauswertung!$AB568:$AE568,MATCH(Tabelle11[[#Headers],[Marco_K]],Spielauswertung!$B568:$E568,0))+AC579)</f>
        <v>102.12169819441469</v>
      </c>
      <c r="AD580" s="1">
        <f>IF(IFERROR(MATCH(Tabelle11[[#Headers],[Marius_M]],Spielauswertung!$B568:$E568,0),0)=0,AD579,INDEX(Spielauswertung!$AB568:$AE568,MATCH(Tabelle11[[#Headers],[Marius_M]],Spielauswertung!$B568:$E568,0))+AD579)</f>
        <v>124.54012374585781</v>
      </c>
      <c r="AE580" s="1">
        <f>IF(IFERROR(MATCH(Tabelle11[[#Headers],[Marvin_W]],Spielauswertung!$B568:$E568,0),0)=0,AE579,INDEX(Spielauswertung!$AB568:$AE568,MATCH(Tabelle11[[#Headers],[Marvin_W]],Spielauswertung!$B568:$E568,0))+AE579)</f>
        <v>96.700266280577438</v>
      </c>
      <c r="AF580" s="1">
        <f>IF(IFERROR(MATCH(Tabelle11[[#Headers],[Matthias_H]],Spielauswertung!$B568:$E568,0),0)=0,AF579,INDEX(Spielauswertung!$AB568:$AE568,MATCH(Tabelle11[[#Headers],[Matthias_H]],Spielauswertung!$B568:$E568,0))+AF579)</f>
        <v>105.42130178599372</v>
      </c>
      <c r="AG580" s="1">
        <f>IF(IFERROR(MATCH(Tabelle11[[#Headers],[Michael_D]],Spielauswertung!$B568:$E568,0),0)=0,AG579,INDEX(Spielauswertung!$AB568:$AE568,MATCH(Tabelle11[[#Headers],[Michael_D]],Spielauswertung!$B568:$E568,0))+AG579)</f>
        <v>96.436276170375336</v>
      </c>
      <c r="AH580" s="1">
        <f>IF(IFERROR(MATCH(Tabelle11[[#Headers],[Patrick_S]],Spielauswertung!$B568:$E568,0),0)=0,AH579,INDEX(Spielauswertung!$AB568:$AE568,MATCH(Tabelle11[[#Headers],[Patrick_S]],Spielauswertung!$B568:$E568,0))+AH579)</f>
        <v>98.975330692053802</v>
      </c>
      <c r="AI580" s="1">
        <f>IF(IFERROR(MATCH(Tabelle11[[#Headers],[Rano_M]],Spielauswertung!$B568:$E568,0),0)=0,AI579,INDEX(Spielauswertung!$AB568:$AE568,MATCH(Tabelle11[[#Headers],[Rano_M]],Spielauswertung!$B568:$E568,0))+AI579)</f>
        <v>109.38890657420265</v>
      </c>
      <c r="AJ580" s="1">
        <f>IF(IFERROR(MATCH(Tabelle11[[#Headers],[Rene_N]],Spielauswertung!$B568:$E568,0),0)=0,AJ579,INDEX(Spielauswertung!$AB568:$AE568,MATCH(Tabelle11[[#Headers],[Rene_N]],Spielauswertung!$B568:$E568,0))+AJ579)</f>
        <v>101.06482124619033</v>
      </c>
      <c r="AK580" s="1">
        <f>IF(IFERROR(MATCH(Tabelle11[[#Headers],[Rene_P]],Spielauswertung!$B568:$E568,0),0)=0,AK579,INDEX(Spielauswertung!$AB568:$AE568,MATCH(Tabelle11[[#Headers],[Rene_P]],Spielauswertung!$B568:$E568,0))+AK579)</f>
        <v>88.762543186332877</v>
      </c>
      <c r="AL580" s="1">
        <f>IF(IFERROR(MATCH(Tabelle11[[#Headers],[Richard_D]],Spielauswertung!$B568:$E568,0),0)=0,AL579,INDEX(Spielauswertung!$AB568:$AE568,MATCH(Tabelle11[[#Headers],[Richard_D]],Spielauswertung!$B568:$E568,0))+AL579)</f>
        <v>107.23233592026223</v>
      </c>
      <c r="AM580" s="1">
        <f>IF(IFERROR(MATCH(Tabelle11[[#Headers],[Rodrigo_R]],Spielauswertung!$B568:$E568,0),0)=0,AM579,INDEX(Spielauswertung!$AB568:$AE568,MATCH(Tabelle11[[#Headers],[Rodrigo_R]],Spielauswertung!$B568:$E568,0))+AM579)</f>
        <v>116.7028707921346</v>
      </c>
      <c r="AN580" s="1">
        <f>IF(IFERROR(MATCH(Tabelle11[[#Headers],[Sebastian_A]],Spielauswertung!$B568:$E568,0),0)=0,AN579,INDEX(Spielauswertung!$AB568:$AE568,MATCH(Tabelle11[[#Headers],[Sebastian_A]],Spielauswertung!$B568:$E568,0))+AN579)</f>
        <v>102.89457418671324</v>
      </c>
      <c r="AO580" s="1">
        <f>IF(IFERROR(MATCH(Tabelle11[[#Headers],[Sebastian_St]],Spielauswertung!$B568:$E568,0),0)=0,AO579,INDEX(Spielauswertung!$AB568:$AE568,MATCH(Tabelle11[[#Headers],[Sebastian_St]],Spielauswertung!$B568:$E568,0))+AO579)</f>
        <v>97.749574367408982</v>
      </c>
      <c r="AP580" s="1">
        <f>IF(IFERROR(MATCH(Tabelle11[[#Headers],[Simon_U]],Spielauswertung!$B568:$E568,0),0)=0,AP579,INDEX(Spielauswertung!$AB568:$AE568,MATCH(Tabelle11[[#Headers],[Simon_U]],Spielauswertung!$B568:$E568,0))+AP579)</f>
        <v>99.623054841470903</v>
      </c>
      <c r="AQ580" s="1">
        <f>IF(IFERROR(MATCH(Tabelle11[[#Headers],[Steffen_R]],Spielauswertung!$B568:$E568,0),0)=0,AQ579,INDEX(Spielauswertung!$AB568:$AE568,MATCH(Tabelle11[[#Headers],[Steffen_R]],Spielauswertung!$B568:$E568,0))+AQ579)</f>
        <v>93.247497067190949</v>
      </c>
      <c r="AR580" s="1">
        <f>IF(IFERROR(MATCH(Tabelle11[[#Headers],[Tim_R]],Spielauswertung!$B568:$E568,0),0)=0,AR579,INDEX(Spielauswertung!$AB568:$AE568,MATCH(Tabelle11[[#Headers],[Tim_R]],Spielauswertung!$B568:$E568,0))+AR579)</f>
        <v>103.07503787023374</v>
      </c>
      <c r="AS580" s="1">
        <f>IF(IFERROR(MATCH(Tabelle11[[#Headers],[Tobias_S]],Spielauswertung!$B568:$E568,0),0)=0,AS579,INDEX(Spielauswertung!$AB568:$AE568,MATCH(Tabelle11[[#Headers],[Tobias_S]],Spielauswertung!$B568:$E568,0))+AS579)</f>
        <v>98.6003422659997</v>
      </c>
      <c r="AT580" s="1">
        <f>IF(IFERROR(MATCH(Tabelle11[[#Headers],[Tom_R]],Spielauswertung!$B568:$E568,0),0)=0,AT579,INDEX(Spielauswertung!$AB568:$AE568,MATCH(Tabelle11[[#Headers],[Tom_R]],Spielauswertung!$B568:$E568,0))+AT579)</f>
        <v>112.62344492949197</v>
      </c>
      <c r="AU580" s="1">
        <f>IF(IFERROR(MATCH(Tabelle11[[#Headers],[Ton_L]],Spielauswertung!$B568:$E568,0),0)=0,AU579,INDEX(Spielauswertung!$AB568:$AE568,MATCH(Tabelle11[[#Headers],[Ton_L]],Spielauswertung!$B568:$E568,0))+AU579)</f>
        <v>92.683083360025861</v>
      </c>
      <c r="AV580" s="1">
        <f>IF(IFERROR(MATCH(Tabelle11[[#Headers],[Yixin_G]],Spielauswertung!$B568:$E568,0),0)=0,AV579,INDEX(Spielauswertung!$AB568:$AE568,MATCH(Tabelle11[[#Headers],[Yixin_G]],Spielauswertung!$B568:$E568,0))+AV579)</f>
        <v>99.900323214082661</v>
      </c>
      <c r="AW580" s="1">
        <f>IF(IFERROR(MATCH(Tabelle11[[#Headers],[Spalte36]],Spielauswertung!$B568:$E568,0),0)=0,AW579,INDEX(Spielauswertung!$AB568:$AE568,MATCH(Tabelle11[[#Headers],[Spalte36]],Spielauswertung!$B568:$E568,0))+AW579)</f>
        <v>100</v>
      </c>
      <c r="AX580" s="1">
        <f>IF(IFERROR(MATCH(Tabelle11[[#Headers],[Spalte37]],Spielauswertung!$B568:$E568,0),0)=0,AX579,INDEX(Spielauswertung!$AB568:$AE568,MATCH(Tabelle11[[#Headers],[Spalte37]],Spielauswertung!$B568:$E568,0))+AX579)</f>
        <v>100</v>
      </c>
      <c r="AY580" s="1">
        <f>IF(IFERROR(MATCH(Tabelle11[[#Headers],[Spalte38]],Spielauswertung!$B568:$E568,0),0)=0,AY579,INDEX(Spielauswertung!$AB568:$AE568,MATCH(Tabelle11[[#Headers],[Spalte38]],Spielauswertung!$B568:$E568,0))+AY579)</f>
        <v>100</v>
      </c>
      <c r="AZ580" s="1">
        <f>IF(IFERROR(MATCH(Tabelle11[[#Headers],[Spalte39]],Spielauswertung!$B568:$E568,0),0)=0,AZ579,INDEX(Spielauswertung!$AB568:$AE568,MATCH(Tabelle11[[#Headers],[Spalte39]],Spielauswertung!$B568:$E568,0))+AZ579)</f>
        <v>100</v>
      </c>
      <c r="BA580" s="1">
        <f>IF(IFERROR(MATCH(Tabelle11[[#Headers],[Spalte40]],Spielauswertung!$B568:$E568,0),0)=0,BA579,INDEX(Spielauswertung!$AB568:$AE568,MATCH(Tabelle11[[#Headers],[Spalte40]],Spielauswertung!$B568:$E568,0))+BA579)</f>
        <v>100</v>
      </c>
      <c r="BB580" s="1">
        <f>IF(IFERROR(MATCH(Tabelle11[[#Headers],[Spalte41]],Spielauswertung!$B568:$E568,0),0)=0,BB579,INDEX(Spielauswertung!$AB568:$AE568,MATCH(Tabelle11[[#Headers],[Spalte41]],Spielauswertung!$B568:$E568,0))+BB579)</f>
        <v>100</v>
      </c>
      <c r="BC580" s="1">
        <f>IF(IFERROR(MATCH(Tabelle11[[#Headers],[Spalte42]],Spielauswertung!$B568:$E568,0),0)=0,BC579,INDEX(Spielauswertung!$AB568:$AE568,MATCH(Tabelle11[[#Headers],[Spalte42]],Spielauswertung!$B568:$E568,0))+BC579)</f>
        <v>100</v>
      </c>
      <c r="BD580" s="1">
        <f>IF(IFERROR(MATCH(Tabelle11[[#Headers],[Spalte43]],Spielauswertung!$B568:$E568,0),0)=0,BD579,INDEX(Spielauswertung!$AB568:$AE568,MATCH(Tabelle11[[#Headers],[Spalte43]],Spielauswertung!$B568:$E568,0))+BD579)</f>
        <v>100</v>
      </c>
      <c r="BE580" s="1">
        <f>IF(IFERROR(MATCH(Tabelle11[[#Headers],[Spalte44]],Spielauswertung!$B568:$E568,0),0)=0,BE579,INDEX(Spielauswertung!$AB568:$AE568,MATCH(Tabelle11[[#Headers],[Spalte44]],Spielauswertung!$B568:$E568,0))+BE579)</f>
        <v>100</v>
      </c>
      <c r="BF580" s="1">
        <f>IF(IFERROR(MATCH(Tabelle11[[#Headers],[Spalte45]],Spielauswertung!$B568:$E568,0),0)=0,BF579,INDEX(Spielauswertung!$AB568:$AE568,MATCH(Tabelle11[[#Headers],[Spalte45]],Spielauswertung!$B568:$E568,0))+BF579)</f>
        <v>100</v>
      </c>
      <c r="BG580" s="1">
        <f>IF(IFERROR(MATCH(Tabelle11[[#Headers],[Spalte46]],Spielauswertung!$B568:$E568,0),0)=0,BG579,INDEX(Spielauswertung!$AB568:$AE568,MATCH(Tabelle11[[#Headers],[Spalte46]],Spielauswertung!$B568:$E568,0))+BG579)</f>
        <v>100</v>
      </c>
      <c r="BH580" s="1">
        <f>IF(IFERROR(MATCH(Tabelle11[[#Headers],[Spalte47]],Spielauswertung!$B568:$E568,0),0)=0,BH579,INDEX(Spielauswertung!$AB568:$AE568,MATCH(Tabelle11[[#Headers],[Spalte47]],Spielauswertung!$B568:$E568,0))+BH579)</f>
        <v>100</v>
      </c>
    </row>
    <row r="581" spans="1:60" x14ac:dyDescent="0.25">
      <c r="A581">
        <f t="shared" si="9"/>
        <v>568</v>
      </c>
      <c r="B581" s="1">
        <f>IF(IFERROR(MATCH(Tabelle11[[#Headers],[Aleix_V]],Spielauswertung!$B569:$E569,0),0)=0,B580,INDEX(Spielauswertung!$AB569:$AE569,MATCH(Tabelle11[[#Headers],[Aleix_V]],Spielauswertung!$B569:$E569,0))+B580)</f>
        <v>102.47318019444646</v>
      </c>
      <c r="C581" s="1">
        <f>IF(IFERROR(MATCH(Tabelle11[[#Headers],[Andres_H]],Spielauswertung!$B569:$E569,0),0)=0,C580,INDEX(Spielauswertung!$AB569:$AE569,MATCH(Tabelle11[[#Headers],[Andres_H]],Spielauswertung!$B569:$E569,0))+C580)</f>
        <v>95.535732339111306</v>
      </c>
      <c r="D581" s="1">
        <f>IF(IFERROR(MATCH(Tabelle11[[#Headers],[Anton_K]],Spielauswertung!$B569:$E569,0),0)=0,D580,INDEX(Spielauswertung!$AB569:$AE569,MATCH(Tabelle11[[#Headers],[Anton_K]],Spielauswertung!$B569:$E569,0))+D580)</f>
        <v>99.287728777054667</v>
      </c>
      <c r="E581" s="1">
        <f>IF(IFERROR(MATCH(Tabelle11[[#Headers],[Bastian_G]],Spielauswertung!$B569:$E569,0),0)=0,E580,INDEX(Spielauswertung!$AB569:$AE569,MATCH(Tabelle11[[#Headers],[Bastian_G]],Spielauswertung!$B569:$E569,0))+E580)</f>
        <v>117.49978695184252</v>
      </c>
      <c r="F581" s="1">
        <f>IF(IFERROR(MATCH(Tabelle11[[#Headers],[Ben_S]],Spielauswertung!$B569:$E569,0),0)=0,F580,INDEX(Spielauswertung!$AB569:$AE569,MATCH(Tabelle11[[#Headers],[Ben_S]],Spielauswertung!$B569:$E569,0))+F580)</f>
        <v>95.932799101521084</v>
      </c>
      <c r="G581" s="1">
        <f>IF(IFERROR(MATCH(Tabelle11[[#Headers],[Benedikt_K]],Spielauswertung!$B569:$E569,0),0)=0,G580,INDEX(Spielauswertung!$AB569:$AE569,MATCH(Tabelle11[[#Headers],[Benedikt_K]],Spielauswertung!$B569:$E569,0))+G580)</f>
        <v>101.20264176422626</v>
      </c>
      <c r="H581" s="1">
        <f>IF(IFERROR(MATCH(Tabelle11[[#Headers],[Benedikt_R]],Spielauswertung!$B569:$E569,0),0)=0,H580,INDEX(Spielauswertung!$AB569:$AE569,MATCH(Tabelle11[[#Headers],[Benedikt_R]],Spielauswertung!$B569:$E569,0))+H580)</f>
        <v>102.6264770510757</v>
      </c>
      <c r="I581" s="1">
        <f>IF(IFERROR(MATCH(Tabelle11[[#Headers],[Carsten_H]],Spielauswertung!$B569:$E569,0),0)=0,I580,INDEX(Spielauswertung!$AB569:$AE569,MATCH(Tabelle11[[#Headers],[Carsten_H]],Spielauswertung!$B569:$E569,0))+I580)</f>
        <v>90.817185094326874</v>
      </c>
      <c r="J581" s="1">
        <f>IF(IFERROR(MATCH(Tabelle11[[#Headers],[Christoph_R]],Spielauswertung!$B569:$E569,0),0)=0,J580,INDEX(Spielauswertung!$AB569:$AE569,MATCH(Tabelle11[[#Headers],[Christoph_R]],Spielauswertung!$B569:$E569,0))+J580)</f>
        <v>109.73261611443155</v>
      </c>
      <c r="K581" s="1">
        <f>IF(IFERROR(MATCH(Tabelle11[[#Headers],[Claudius_J]],Spielauswertung!$B569:$E569,0),0)=0,K580,INDEX(Spielauswertung!$AB569:$AE569,MATCH(Tabelle11[[#Headers],[Claudius_J]],Spielauswertung!$B569:$E569,0))+K580)</f>
        <v>106.16590636000029</v>
      </c>
      <c r="L581" s="1">
        <f>IF(IFERROR(MATCH(Tabelle11[[#Headers],[Daniel_D]],Spielauswertung!$B569:$E569,0),0)=0,L580,INDEX(Spielauswertung!$AB569:$AE569,MATCH(Tabelle11[[#Headers],[Daniel_D]],Spielauswertung!$B569:$E569,0))+L580)</f>
        <v>99.990299180470089</v>
      </c>
      <c r="M581" s="1">
        <f>IF(IFERROR(MATCH(Tabelle11[[#Headers],[David_R]],Spielauswertung!$B569:$E569,0),0)=0,M580,INDEX(Spielauswertung!$AB569:$AE569,MATCH(Tabelle11[[#Headers],[David_R]],Spielauswertung!$B569:$E569,0))+M580)</f>
        <v>96.715943522481638</v>
      </c>
      <c r="N581" s="1">
        <f>IF(IFERROR(MATCH(Tabelle11[[#Headers],[Dennis_P]],Spielauswertung!$B569:$E569,0),0)=0,N580,INDEX(Spielauswertung!$AB569:$AE569,MATCH(Tabelle11[[#Headers],[Dennis_P]],Spielauswertung!$B569:$E569,0))+N580)</f>
        <v>100.04773223105254</v>
      </c>
      <c r="O581" s="1">
        <f>IF(IFERROR(MATCH(Tabelle11[[#Headers],[Dennis_R]],Spielauswertung!$B569:$E569,0),0)=0,O580,INDEX(Spielauswertung!$AB569:$AE569,MATCH(Tabelle11[[#Headers],[Dennis_R]],Spielauswertung!$B569:$E569,0))+O580)</f>
        <v>75.131680864937195</v>
      </c>
      <c r="P581" s="1">
        <f>IF(IFERROR(MATCH(Tabelle11[[#Headers],[Detlef_R]],Spielauswertung!$B569:$E569,0),0)=0,P580,INDEX(Spielauswertung!$AB569:$AE569,MATCH(Tabelle11[[#Headers],[Detlef_R]],Spielauswertung!$B569:$E569,0))+P580)</f>
        <v>87.984671797367014</v>
      </c>
      <c r="Q581" s="1">
        <f>IF(IFERROR(MATCH(Tabelle11[[#Headers],[Dmitrij_M]],Spielauswertung!$B569:$E569,0),0)=0,Q580,INDEX(Spielauswertung!$AB569:$AE569,MATCH(Tabelle11[[#Headers],[Dmitrij_M]],Spielauswertung!$B569:$E569,0))+Q580)</f>
        <v>100.69975721846207</v>
      </c>
      <c r="R581" s="1">
        <f>IF(IFERROR(MATCH(Tabelle11[[#Headers],[Fabian_M]],Spielauswertung!$B569:$E569,0),0)=0,R580,INDEX(Spielauswertung!$AB569:$AE569,MATCH(Tabelle11[[#Headers],[Fabian_M]],Spielauswertung!$B569:$E569,0))+R580)</f>
        <v>95.805387841610738</v>
      </c>
      <c r="S581" s="1">
        <f>IF(IFERROR(MATCH(Tabelle11[[#Headers],[Hannes_S]],Spielauswertung!$B569:$E569,0),0)=0,S580,INDEX(Spielauswertung!$AB569:$AE569,MATCH(Tabelle11[[#Headers],[Hannes_S]],Spielauswertung!$B569:$E569,0))+S580)</f>
        <v>104.83899184012799</v>
      </c>
      <c r="T581" s="1">
        <f>IF(IFERROR(MATCH(Tabelle11[[#Headers],[Jan_B]],Spielauswertung!$B569:$E569,0),0)=0,T580,INDEX(Spielauswertung!$AB569:$AE569,MATCH(Tabelle11[[#Headers],[Jan_B]],Spielauswertung!$B569:$E569,0))+T580)</f>
        <v>100.2794420429173</v>
      </c>
      <c r="U581" s="1">
        <f>IF(IFERROR(MATCH(Tabelle11[[#Headers],[Jan_Hendrik_B]],Spielauswertung!$B569:$E569,0),0)=0,U580,INDEX(Spielauswertung!$AB569:$AE569,MATCH(Tabelle11[[#Headers],[Jan_Hendrik_B]],Spielauswertung!$B569:$E569,0))+U580)</f>
        <v>100.75492416935522</v>
      </c>
      <c r="V581" s="1">
        <f>IF(IFERROR(MATCH(Tabelle11[[#Headers],[Jens_N]],Spielauswertung!$B569:$E569,0),0)=0,V580,INDEX(Spielauswertung!$AB569:$AE569,MATCH(Tabelle11[[#Headers],[Jens_N]],Spielauswertung!$B569:$E569,0))+V580)</f>
        <v>99.643534710196832</v>
      </c>
      <c r="W581" s="1">
        <f>IF(IFERROR(MATCH(Tabelle11[[#Headers],[Johannes_S]],Spielauswertung!$B569:$E569,0),0)=0,W580,INDEX(Spielauswertung!$AB569:$AE569,MATCH(Tabelle11[[#Headers],[Johannes_S]],Spielauswertung!$B569:$E569,0))+W580)</f>
        <v>102.20284750979505</v>
      </c>
      <c r="X581" s="1">
        <f>IF(IFERROR(MATCH(Tabelle11[[#Headers],[Jonathan_F]],Spielauswertung!$B569:$E569,0),0)=0,X580,INDEX(Spielauswertung!$AB569:$AE569,MATCH(Tabelle11[[#Headers],[Jonathan_F]],Spielauswertung!$B569:$E569,0))+X580)</f>
        <v>98.938308797866256</v>
      </c>
      <c r="Y581" s="1">
        <f>IF(IFERROR(MATCH(Tabelle11[[#Headers],[Julius_P]],Spielauswertung!$B569:$E569,0),0)=0,Y580,INDEX(Spielauswertung!$AB569:$AE569,MATCH(Tabelle11[[#Headers],[Julius_P]],Spielauswertung!$B569:$E569,0))+Y580)</f>
        <v>96.540305101873642</v>
      </c>
      <c r="Z581" s="1">
        <f>IF(IFERROR(MATCH(Tabelle11[[#Headers],[Louis_W]],Spielauswertung!$B569:$E569,0),0)=0,Z580,INDEX(Spielauswertung!$AB569:$AE569,MATCH(Tabelle11[[#Headers],[Louis_W]],Spielauswertung!$B569:$E569,0))+Z580)</f>
        <v>87.497452285475362</v>
      </c>
      <c r="AA581" s="1">
        <f>IF(IFERROR(MATCH(Tabelle11[[#Headers],[Lukas_L]],Spielauswertung!$B569:$E569,0),0)=0,AA580,INDEX(Spielauswertung!$AB569:$AE569,MATCH(Tabelle11[[#Headers],[Lukas_L]],Spielauswertung!$B569:$E569,0))+AA580)</f>
        <v>98.447931341404143</v>
      </c>
      <c r="AB581" s="1">
        <f>IF(IFERROR(MATCH(Tabelle11[[#Headers],[Marcin_S]],Spielauswertung!$B569:$E569,0),0)=0,AB580,INDEX(Spielauswertung!$AB569:$AE569,MATCH(Tabelle11[[#Headers],[Marcin_S]],Spielauswertung!$B569:$E569,0))+AB580)</f>
        <v>85.463329105556824</v>
      </c>
      <c r="AC581" s="1">
        <f>IF(IFERROR(MATCH(Tabelle11[[#Headers],[Marco_K]],Spielauswertung!$B569:$E569,0),0)=0,AC580,INDEX(Spielauswertung!$AB569:$AE569,MATCH(Tabelle11[[#Headers],[Marco_K]],Spielauswertung!$B569:$E569,0))+AC580)</f>
        <v>102.12169819441469</v>
      </c>
      <c r="AD581" s="1">
        <f>IF(IFERROR(MATCH(Tabelle11[[#Headers],[Marius_M]],Spielauswertung!$B569:$E569,0),0)=0,AD580,INDEX(Spielauswertung!$AB569:$AE569,MATCH(Tabelle11[[#Headers],[Marius_M]],Spielauswertung!$B569:$E569,0))+AD580)</f>
        <v>124.54012374585781</v>
      </c>
      <c r="AE581" s="1">
        <f>IF(IFERROR(MATCH(Tabelle11[[#Headers],[Marvin_W]],Spielauswertung!$B569:$E569,0),0)=0,AE580,INDEX(Spielauswertung!$AB569:$AE569,MATCH(Tabelle11[[#Headers],[Marvin_W]],Spielauswertung!$B569:$E569,0))+AE580)</f>
        <v>96.700266280577438</v>
      </c>
      <c r="AF581" s="1">
        <f>IF(IFERROR(MATCH(Tabelle11[[#Headers],[Matthias_H]],Spielauswertung!$B569:$E569,0),0)=0,AF580,INDEX(Spielauswertung!$AB569:$AE569,MATCH(Tabelle11[[#Headers],[Matthias_H]],Spielauswertung!$B569:$E569,0))+AF580)</f>
        <v>105.42130178599372</v>
      </c>
      <c r="AG581" s="1">
        <f>IF(IFERROR(MATCH(Tabelle11[[#Headers],[Michael_D]],Spielauswertung!$B569:$E569,0),0)=0,AG580,INDEX(Spielauswertung!$AB569:$AE569,MATCH(Tabelle11[[#Headers],[Michael_D]],Spielauswertung!$B569:$E569,0))+AG580)</f>
        <v>96.436276170375336</v>
      </c>
      <c r="AH581" s="1">
        <f>IF(IFERROR(MATCH(Tabelle11[[#Headers],[Patrick_S]],Spielauswertung!$B569:$E569,0),0)=0,AH580,INDEX(Spielauswertung!$AB569:$AE569,MATCH(Tabelle11[[#Headers],[Patrick_S]],Spielauswertung!$B569:$E569,0))+AH580)</f>
        <v>98.975330692053802</v>
      </c>
      <c r="AI581" s="1">
        <f>IF(IFERROR(MATCH(Tabelle11[[#Headers],[Rano_M]],Spielauswertung!$B569:$E569,0),0)=0,AI580,INDEX(Spielauswertung!$AB569:$AE569,MATCH(Tabelle11[[#Headers],[Rano_M]],Spielauswertung!$B569:$E569,0))+AI580)</f>
        <v>109.38890657420265</v>
      </c>
      <c r="AJ581" s="1">
        <f>IF(IFERROR(MATCH(Tabelle11[[#Headers],[Rene_N]],Spielauswertung!$B569:$E569,0),0)=0,AJ580,INDEX(Spielauswertung!$AB569:$AE569,MATCH(Tabelle11[[#Headers],[Rene_N]],Spielauswertung!$B569:$E569,0))+AJ580)</f>
        <v>101.06482124619033</v>
      </c>
      <c r="AK581" s="1">
        <f>IF(IFERROR(MATCH(Tabelle11[[#Headers],[Rene_P]],Spielauswertung!$B569:$E569,0),0)=0,AK580,INDEX(Spielauswertung!$AB569:$AE569,MATCH(Tabelle11[[#Headers],[Rene_P]],Spielauswertung!$B569:$E569,0))+AK580)</f>
        <v>88.762543186332877</v>
      </c>
      <c r="AL581" s="1">
        <f>IF(IFERROR(MATCH(Tabelle11[[#Headers],[Richard_D]],Spielauswertung!$B569:$E569,0),0)=0,AL580,INDEX(Spielauswertung!$AB569:$AE569,MATCH(Tabelle11[[#Headers],[Richard_D]],Spielauswertung!$B569:$E569,0))+AL580)</f>
        <v>107.23233592026223</v>
      </c>
      <c r="AM581" s="1">
        <f>IF(IFERROR(MATCH(Tabelle11[[#Headers],[Rodrigo_R]],Spielauswertung!$B569:$E569,0),0)=0,AM580,INDEX(Spielauswertung!$AB569:$AE569,MATCH(Tabelle11[[#Headers],[Rodrigo_R]],Spielauswertung!$B569:$E569,0))+AM580)</f>
        <v>116.7028707921346</v>
      </c>
      <c r="AN581" s="1">
        <f>IF(IFERROR(MATCH(Tabelle11[[#Headers],[Sebastian_A]],Spielauswertung!$B569:$E569,0),0)=0,AN580,INDEX(Spielauswertung!$AB569:$AE569,MATCH(Tabelle11[[#Headers],[Sebastian_A]],Spielauswertung!$B569:$E569,0))+AN580)</f>
        <v>102.89457418671324</v>
      </c>
      <c r="AO581" s="1">
        <f>IF(IFERROR(MATCH(Tabelle11[[#Headers],[Sebastian_St]],Spielauswertung!$B569:$E569,0),0)=0,AO580,INDEX(Spielauswertung!$AB569:$AE569,MATCH(Tabelle11[[#Headers],[Sebastian_St]],Spielauswertung!$B569:$E569,0))+AO580)</f>
        <v>97.749574367408982</v>
      </c>
      <c r="AP581" s="1">
        <f>IF(IFERROR(MATCH(Tabelle11[[#Headers],[Simon_U]],Spielauswertung!$B569:$E569,0),0)=0,AP580,INDEX(Spielauswertung!$AB569:$AE569,MATCH(Tabelle11[[#Headers],[Simon_U]],Spielauswertung!$B569:$E569,0))+AP580)</f>
        <v>99.623054841470903</v>
      </c>
      <c r="AQ581" s="1">
        <f>IF(IFERROR(MATCH(Tabelle11[[#Headers],[Steffen_R]],Spielauswertung!$B569:$E569,0),0)=0,AQ580,INDEX(Spielauswertung!$AB569:$AE569,MATCH(Tabelle11[[#Headers],[Steffen_R]],Spielauswertung!$B569:$E569,0))+AQ580)</f>
        <v>93.247497067190949</v>
      </c>
      <c r="AR581" s="1">
        <f>IF(IFERROR(MATCH(Tabelle11[[#Headers],[Tim_R]],Spielauswertung!$B569:$E569,0),0)=0,AR580,INDEX(Spielauswertung!$AB569:$AE569,MATCH(Tabelle11[[#Headers],[Tim_R]],Spielauswertung!$B569:$E569,0))+AR580)</f>
        <v>103.07503787023374</v>
      </c>
      <c r="AS581" s="1">
        <f>IF(IFERROR(MATCH(Tabelle11[[#Headers],[Tobias_S]],Spielauswertung!$B569:$E569,0),0)=0,AS580,INDEX(Spielauswertung!$AB569:$AE569,MATCH(Tabelle11[[#Headers],[Tobias_S]],Spielauswertung!$B569:$E569,0))+AS580)</f>
        <v>98.6003422659997</v>
      </c>
      <c r="AT581" s="1">
        <f>IF(IFERROR(MATCH(Tabelle11[[#Headers],[Tom_R]],Spielauswertung!$B569:$E569,0),0)=0,AT580,INDEX(Spielauswertung!$AB569:$AE569,MATCH(Tabelle11[[#Headers],[Tom_R]],Spielauswertung!$B569:$E569,0))+AT580)</f>
        <v>112.62344492949197</v>
      </c>
      <c r="AU581" s="1">
        <f>IF(IFERROR(MATCH(Tabelle11[[#Headers],[Ton_L]],Spielauswertung!$B569:$E569,0),0)=0,AU580,INDEX(Spielauswertung!$AB569:$AE569,MATCH(Tabelle11[[#Headers],[Ton_L]],Spielauswertung!$B569:$E569,0))+AU580)</f>
        <v>92.683083360025861</v>
      </c>
      <c r="AV581" s="1">
        <f>IF(IFERROR(MATCH(Tabelle11[[#Headers],[Yixin_G]],Spielauswertung!$B569:$E569,0),0)=0,AV580,INDEX(Spielauswertung!$AB569:$AE569,MATCH(Tabelle11[[#Headers],[Yixin_G]],Spielauswertung!$B569:$E569,0))+AV580)</f>
        <v>99.900323214082661</v>
      </c>
      <c r="AW581" s="1">
        <f>IF(IFERROR(MATCH(Tabelle11[[#Headers],[Spalte36]],Spielauswertung!$B569:$E569,0),0)=0,AW580,INDEX(Spielauswertung!$AB569:$AE569,MATCH(Tabelle11[[#Headers],[Spalte36]],Spielauswertung!$B569:$E569,0))+AW580)</f>
        <v>100</v>
      </c>
      <c r="AX581" s="1">
        <f>IF(IFERROR(MATCH(Tabelle11[[#Headers],[Spalte37]],Spielauswertung!$B569:$E569,0),0)=0,AX580,INDEX(Spielauswertung!$AB569:$AE569,MATCH(Tabelle11[[#Headers],[Spalte37]],Spielauswertung!$B569:$E569,0))+AX580)</f>
        <v>100</v>
      </c>
      <c r="AY581" s="1">
        <f>IF(IFERROR(MATCH(Tabelle11[[#Headers],[Spalte38]],Spielauswertung!$B569:$E569,0),0)=0,AY580,INDEX(Spielauswertung!$AB569:$AE569,MATCH(Tabelle11[[#Headers],[Spalte38]],Spielauswertung!$B569:$E569,0))+AY580)</f>
        <v>100</v>
      </c>
      <c r="AZ581" s="1">
        <f>IF(IFERROR(MATCH(Tabelle11[[#Headers],[Spalte39]],Spielauswertung!$B569:$E569,0),0)=0,AZ580,INDEX(Spielauswertung!$AB569:$AE569,MATCH(Tabelle11[[#Headers],[Spalte39]],Spielauswertung!$B569:$E569,0))+AZ580)</f>
        <v>100</v>
      </c>
      <c r="BA581" s="1">
        <f>IF(IFERROR(MATCH(Tabelle11[[#Headers],[Spalte40]],Spielauswertung!$B569:$E569,0),0)=0,BA580,INDEX(Spielauswertung!$AB569:$AE569,MATCH(Tabelle11[[#Headers],[Spalte40]],Spielauswertung!$B569:$E569,0))+BA580)</f>
        <v>100</v>
      </c>
      <c r="BB581" s="1">
        <f>IF(IFERROR(MATCH(Tabelle11[[#Headers],[Spalte41]],Spielauswertung!$B569:$E569,0),0)=0,BB580,INDEX(Spielauswertung!$AB569:$AE569,MATCH(Tabelle11[[#Headers],[Spalte41]],Spielauswertung!$B569:$E569,0))+BB580)</f>
        <v>100</v>
      </c>
      <c r="BC581" s="1">
        <f>IF(IFERROR(MATCH(Tabelle11[[#Headers],[Spalte42]],Spielauswertung!$B569:$E569,0),0)=0,BC580,INDEX(Spielauswertung!$AB569:$AE569,MATCH(Tabelle11[[#Headers],[Spalte42]],Spielauswertung!$B569:$E569,0))+BC580)</f>
        <v>100</v>
      </c>
      <c r="BD581" s="1">
        <f>IF(IFERROR(MATCH(Tabelle11[[#Headers],[Spalte43]],Spielauswertung!$B569:$E569,0),0)=0,BD580,INDEX(Spielauswertung!$AB569:$AE569,MATCH(Tabelle11[[#Headers],[Spalte43]],Spielauswertung!$B569:$E569,0))+BD580)</f>
        <v>100</v>
      </c>
      <c r="BE581" s="1">
        <f>IF(IFERROR(MATCH(Tabelle11[[#Headers],[Spalte44]],Spielauswertung!$B569:$E569,0),0)=0,BE580,INDEX(Spielauswertung!$AB569:$AE569,MATCH(Tabelle11[[#Headers],[Spalte44]],Spielauswertung!$B569:$E569,0))+BE580)</f>
        <v>100</v>
      </c>
      <c r="BF581" s="1">
        <f>IF(IFERROR(MATCH(Tabelle11[[#Headers],[Spalte45]],Spielauswertung!$B569:$E569,0),0)=0,BF580,INDEX(Spielauswertung!$AB569:$AE569,MATCH(Tabelle11[[#Headers],[Spalte45]],Spielauswertung!$B569:$E569,0))+BF580)</f>
        <v>100</v>
      </c>
      <c r="BG581" s="1">
        <f>IF(IFERROR(MATCH(Tabelle11[[#Headers],[Spalte46]],Spielauswertung!$B569:$E569,0),0)=0,BG580,INDEX(Spielauswertung!$AB569:$AE569,MATCH(Tabelle11[[#Headers],[Spalte46]],Spielauswertung!$B569:$E569,0))+BG580)</f>
        <v>100</v>
      </c>
      <c r="BH581" s="1">
        <f>IF(IFERROR(MATCH(Tabelle11[[#Headers],[Spalte47]],Spielauswertung!$B569:$E569,0),0)=0,BH580,INDEX(Spielauswertung!$AB569:$AE569,MATCH(Tabelle11[[#Headers],[Spalte47]],Spielauswertung!$B569:$E569,0))+BH580)</f>
        <v>100</v>
      </c>
    </row>
    <row r="582" spans="1:60" x14ac:dyDescent="0.25">
      <c r="A582">
        <f t="shared" si="9"/>
        <v>569</v>
      </c>
      <c r="B582" s="1">
        <f>IF(IFERROR(MATCH(Tabelle11[[#Headers],[Aleix_V]],Spielauswertung!$B570:$E570,0),0)=0,B581,INDEX(Spielauswertung!$AB570:$AE570,MATCH(Tabelle11[[#Headers],[Aleix_V]],Spielauswertung!$B570:$E570,0))+B581)</f>
        <v>102.47318019444646</v>
      </c>
      <c r="C582" s="1">
        <f>IF(IFERROR(MATCH(Tabelle11[[#Headers],[Andres_H]],Spielauswertung!$B570:$E570,0),0)=0,C581,INDEX(Spielauswertung!$AB570:$AE570,MATCH(Tabelle11[[#Headers],[Andres_H]],Spielauswertung!$B570:$E570,0))+C581)</f>
        <v>95.535732339111306</v>
      </c>
      <c r="D582" s="1">
        <f>IF(IFERROR(MATCH(Tabelle11[[#Headers],[Anton_K]],Spielauswertung!$B570:$E570,0),0)=0,D581,INDEX(Spielauswertung!$AB570:$AE570,MATCH(Tabelle11[[#Headers],[Anton_K]],Spielauswertung!$B570:$E570,0))+D581)</f>
        <v>99.287728777054667</v>
      </c>
      <c r="E582" s="1">
        <f>IF(IFERROR(MATCH(Tabelle11[[#Headers],[Bastian_G]],Spielauswertung!$B570:$E570,0),0)=0,E581,INDEX(Spielauswertung!$AB570:$AE570,MATCH(Tabelle11[[#Headers],[Bastian_G]],Spielauswertung!$B570:$E570,0))+E581)</f>
        <v>117.49978695184252</v>
      </c>
      <c r="F582" s="1">
        <f>IF(IFERROR(MATCH(Tabelle11[[#Headers],[Ben_S]],Spielauswertung!$B570:$E570,0),0)=0,F581,INDEX(Spielauswertung!$AB570:$AE570,MATCH(Tabelle11[[#Headers],[Ben_S]],Spielauswertung!$B570:$E570,0))+F581)</f>
        <v>95.932799101521084</v>
      </c>
      <c r="G582" s="1">
        <f>IF(IFERROR(MATCH(Tabelle11[[#Headers],[Benedikt_K]],Spielauswertung!$B570:$E570,0),0)=0,G581,INDEX(Spielauswertung!$AB570:$AE570,MATCH(Tabelle11[[#Headers],[Benedikt_K]],Spielauswertung!$B570:$E570,0))+G581)</f>
        <v>101.20264176422626</v>
      </c>
      <c r="H582" s="1">
        <f>IF(IFERROR(MATCH(Tabelle11[[#Headers],[Benedikt_R]],Spielauswertung!$B570:$E570,0),0)=0,H581,INDEX(Spielauswertung!$AB570:$AE570,MATCH(Tabelle11[[#Headers],[Benedikt_R]],Spielauswertung!$B570:$E570,0))+H581)</f>
        <v>102.6264770510757</v>
      </c>
      <c r="I582" s="1">
        <f>IF(IFERROR(MATCH(Tabelle11[[#Headers],[Carsten_H]],Spielauswertung!$B570:$E570,0),0)=0,I581,INDEX(Spielauswertung!$AB570:$AE570,MATCH(Tabelle11[[#Headers],[Carsten_H]],Spielauswertung!$B570:$E570,0))+I581)</f>
        <v>90.817185094326874</v>
      </c>
      <c r="J582" s="1">
        <f>IF(IFERROR(MATCH(Tabelle11[[#Headers],[Christoph_R]],Spielauswertung!$B570:$E570,0),0)=0,J581,INDEX(Spielauswertung!$AB570:$AE570,MATCH(Tabelle11[[#Headers],[Christoph_R]],Spielauswertung!$B570:$E570,0))+J581)</f>
        <v>109.73261611443155</v>
      </c>
      <c r="K582" s="1">
        <f>IF(IFERROR(MATCH(Tabelle11[[#Headers],[Claudius_J]],Spielauswertung!$B570:$E570,0),0)=0,K581,INDEX(Spielauswertung!$AB570:$AE570,MATCH(Tabelle11[[#Headers],[Claudius_J]],Spielauswertung!$B570:$E570,0))+K581)</f>
        <v>106.16590636000029</v>
      </c>
      <c r="L582" s="1">
        <f>IF(IFERROR(MATCH(Tabelle11[[#Headers],[Daniel_D]],Spielauswertung!$B570:$E570,0),0)=0,L581,INDEX(Spielauswertung!$AB570:$AE570,MATCH(Tabelle11[[#Headers],[Daniel_D]],Spielauswertung!$B570:$E570,0))+L581)</f>
        <v>99.990299180470089</v>
      </c>
      <c r="M582" s="1">
        <f>IF(IFERROR(MATCH(Tabelle11[[#Headers],[David_R]],Spielauswertung!$B570:$E570,0),0)=0,M581,INDEX(Spielauswertung!$AB570:$AE570,MATCH(Tabelle11[[#Headers],[David_R]],Spielauswertung!$B570:$E570,0))+M581)</f>
        <v>96.715943522481638</v>
      </c>
      <c r="N582" s="1">
        <f>IF(IFERROR(MATCH(Tabelle11[[#Headers],[Dennis_P]],Spielauswertung!$B570:$E570,0),0)=0,N581,INDEX(Spielauswertung!$AB570:$AE570,MATCH(Tabelle11[[#Headers],[Dennis_P]],Spielauswertung!$B570:$E570,0))+N581)</f>
        <v>100.04773223105254</v>
      </c>
      <c r="O582" s="1">
        <f>IF(IFERROR(MATCH(Tabelle11[[#Headers],[Dennis_R]],Spielauswertung!$B570:$E570,0),0)=0,O581,INDEX(Spielauswertung!$AB570:$AE570,MATCH(Tabelle11[[#Headers],[Dennis_R]],Spielauswertung!$B570:$E570,0))+O581)</f>
        <v>75.131680864937195</v>
      </c>
      <c r="P582" s="1">
        <f>IF(IFERROR(MATCH(Tabelle11[[#Headers],[Detlef_R]],Spielauswertung!$B570:$E570,0),0)=0,P581,INDEX(Spielauswertung!$AB570:$AE570,MATCH(Tabelle11[[#Headers],[Detlef_R]],Spielauswertung!$B570:$E570,0))+P581)</f>
        <v>87.984671797367014</v>
      </c>
      <c r="Q582" s="1">
        <f>IF(IFERROR(MATCH(Tabelle11[[#Headers],[Dmitrij_M]],Spielauswertung!$B570:$E570,0),0)=0,Q581,INDEX(Spielauswertung!$AB570:$AE570,MATCH(Tabelle11[[#Headers],[Dmitrij_M]],Spielauswertung!$B570:$E570,0))+Q581)</f>
        <v>100.69975721846207</v>
      </c>
      <c r="R582" s="1">
        <f>IF(IFERROR(MATCH(Tabelle11[[#Headers],[Fabian_M]],Spielauswertung!$B570:$E570,0),0)=0,R581,INDEX(Spielauswertung!$AB570:$AE570,MATCH(Tabelle11[[#Headers],[Fabian_M]],Spielauswertung!$B570:$E570,0))+R581)</f>
        <v>95.805387841610738</v>
      </c>
      <c r="S582" s="1">
        <f>IF(IFERROR(MATCH(Tabelle11[[#Headers],[Hannes_S]],Spielauswertung!$B570:$E570,0),0)=0,S581,INDEX(Spielauswertung!$AB570:$AE570,MATCH(Tabelle11[[#Headers],[Hannes_S]],Spielauswertung!$B570:$E570,0))+S581)</f>
        <v>104.83899184012799</v>
      </c>
      <c r="T582" s="1">
        <f>IF(IFERROR(MATCH(Tabelle11[[#Headers],[Jan_B]],Spielauswertung!$B570:$E570,0),0)=0,T581,INDEX(Spielauswertung!$AB570:$AE570,MATCH(Tabelle11[[#Headers],[Jan_B]],Spielauswertung!$B570:$E570,0))+T581)</f>
        <v>100.2794420429173</v>
      </c>
      <c r="U582" s="1">
        <f>IF(IFERROR(MATCH(Tabelle11[[#Headers],[Jan_Hendrik_B]],Spielauswertung!$B570:$E570,0),0)=0,U581,INDEX(Spielauswertung!$AB570:$AE570,MATCH(Tabelle11[[#Headers],[Jan_Hendrik_B]],Spielauswertung!$B570:$E570,0))+U581)</f>
        <v>100.75492416935522</v>
      </c>
      <c r="V582" s="1">
        <f>IF(IFERROR(MATCH(Tabelle11[[#Headers],[Jens_N]],Spielauswertung!$B570:$E570,0),0)=0,V581,INDEX(Spielauswertung!$AB570:$AE570,MATCH(Tabelle11[[#Headers],[Jens_N]],Spielauswertung!$B570:$E570,0))+V581)</f>
        <v>99.643534710196832</v>
      </c>
      <c r="W582" s="1">
        <f>IF(IFERROR(MATCH(Tabelle11[[#Headers],[Johannes_S]],Spielauswertung!$B570:$E570,0),0)=0,W581,INDEX(Spielauswertung!$AB570:$AE570,MATCH(Tabelle11[[#Headers],[Johannes_S]],Spielauswertung!$B570:$E570,0))+W581)</f>
        <v>102.20284750979505</v>
      </c>
      <c r="X582" s="1">
        <f>IF(IFERROR(MATCH(Tabelle11[[#Headers],[Jonathan_F]],Spielauswertung!$B570:$E570,0),0)=0,X581,INDEX(Spielauswertung!$AB570:$AE570,MATCH(Tabelle11[[#Headers],[Jonathan_F]],Spielauswertung!$B570:$E570,0))+X581)</f>
        <v>98.938308797866256</v>
      </c>
      <c r="Y582" s="1">
        <f>IF(IFERROR(MATCH(Tabelle11[[#Headers],[Julius_P]],Spielauswertung!$B570:$E570,0),0)=0,Y581,INDEX(Spielauswertung!$AB570:$AE570,MATCH(Tabelle11[[#Headers],[Julius_P]],Spielauswertung!$B570:$E570,0))+Y581)</f>
        <v>96.540305101873642</v>
      </c>
      <c r="Z582" s="1">
        <f>IF(IFERROR(MATCH(Tabelle11[[#Headers],[Louis_W]],Spielauswertung!$B570:$E570,0),0)=0,Z581,INDEX(Spielauswertung!$AB570:$AE570,MATCH(Tabelle11[[#Headers],[Louis_W]],Spielauswertung!$B570:$E570,0))+Z581)</f>
        <v>87.497452285475362</v>
      </c>
      <c r="AA582" s="1">
        <f>IF(IFERROR(MATCH(Tabelle11[[#Headers],[Lukas_L]],Spielauswertung!$B570:$E570,0),0)=0,AA581,INDEX(Spielauswertung!$AB570:$AE570,MATCH(Tabelle11[[#Headers],[Lukas_L]],Spielauswertung!$B570:$E570,0))+AA581)</f>
        <v>98.447931341404143</v>
      </c>
      <c r="AB582" s="1">
        <f>IF(IFERROR(MATCH(Tabelle11[[#Headers],[Marcin_S]],Spielauswertung!$B570:$E570,0),0)=0,AB581,INDEX(Spielauswertung!$AB570:$AE570,MATCH(Tabelle11[[#Headers],[Marcin_S]],Spielauswertung!$B570:$E570,0))+AB581)</f>
        <v>85.463329105556824</v>
      </c>
      <c r="AC582" s="1">
        <f>IF(IFERROR(MATCH(Tabelle11[[#Headers],[Marco_K]],Spielauswertung!$B570:$E570,0),0)=0,AC581,INDEX(Spielauswertung!$AB570:$AE570,MATCH(Tabelle11[[#Headers],[Marco_K]],Spielauswertung!$B570:$E570,0))+AC581)</f>
        <v>102.12169819441469</v>
      </c>
      <c r="AD582" s="1">
        <f>IF(IFERROR(MATCH(Tabelle11[[#Headers],[Marius_M]],Spielauswertung!$B570:$E570,0),0)=0,AD581,INDEX(Spielauswertung!$AB570:$AE570,MATCH(Tabelle11[[#Headers],[Marius_M]],Spielauswertung!$B570:$E570,0))+AD581)</f>
        <v>124.54012374585781</v>
      </c>
      <c r="AE582" s="1">
        <f>IF(IFERROR(MATCH(Tabelle11[[#Headers],[Marvin_W]],Spielauswertung!$B570:$E570,0),0)=0,AE581,INDEX(Spielauswertung!$AB570:$AE570,MATCH(Tabelle11[[#Headers],[Marvin_W]],Spielauswertung!$B570:$E570,0))+AE581)</f>
        <v>96.700266280577438</v>
      </c>
      <c r="AF582" s="1">
        <f>IF(IFERROR(MATCH(Tabelle11[[#Headers],[Matthias_H]],Spielauswertung!$B570:$E570,0),0)=0,AF581,INDEX(Spielauswertung!$AB570:$AE570,MATCH(Tabelle11[[#Headers],[Matthias_H]],Spielauswertung!$B570:$E570,0))+AF581)</f>
        <v>105.42130178599372</v>
      </c>
      <c r="AG582" s="1">
        <f>IF(IFERROR(MATCH(Tabelle11[[#Headers],[Michael_D]],Spielauswertung!$B570:$E570,0),0)=0,AG581,INDEX(Spielauswertung!$AB570:$AE570,MATCH(Tabelle11[[#Headers],[Michael_D]],Spielauswertung!$B570:$E570,0))+AG581)</f>
        <v>96.436276170375336</v>
      </c>
      <c r="AH582" s="1">
        <f>IF(IFERROR(MATCH(Tabelle11[[#Headers],[Patrick_S]],Spielauswertung!$B570:$E570,0),0)=0,AH581,INDEX(Spielauswertung!$AB570:$AE570,MATCH(Tabelle11[[#Headers],[Patrick_S]],Spielauswertung!$B570:$E570,0))+AH581)</f>
        <v>98.975330692053802</v>
      </c>
      <c r="AI582" s="1">
        <f>IF(IFERROR(MATCH(Tabelle11[[#Headers],[Rano_M]],Spielauswertung!$B570:$E570,0),0)=0,AI581,INDEX(Spielauswertung!$AB570:$AE570,MATCH(Tabelle11[[#Headers],[Rano_M]],Spielauswertung!$B570:$E570,0))+AI581)</f>
        <v>109.38890657420265</v>
      </c>
      <c r="AJ582" s="1">
        <f>IF(IFERROR(MATCH(Tabelle11[[#Headers],[Rene_N]],Spielauswertung!$B570:$E570,0),0)=0,AJ581,INDEX(Spielauswertung!$AB570:$AE570,MATCH(Tabelle11[[#Headers],[Rene_N]],Spielauswertung!$B570:$E570,0))+AJ581)</f>
        <v>101.06482124619033</v>
      </c>
      <c r="AK582" s="1">
        <f>IF(IFERROR(MATCH(Tabelle11[[#Headers],[Rene_P]],Spielauswertung!$B570:$E570,0),0)=0,AK581,INDEX(Spielauswertung!$AB570:$AE570,MATCH(Tabelle11[[#Headers],[Rene_P]],Spielauswertung!$B570:$E570,0))+AK581)</f>
        <v>88.762543186332877</v>
      </c>
      <c r="AL582" s="1">
        <f>IF(IFERROR(MATCH(Tabelle11[[#Headers],[Richard_D]],Spielauswertung!$B570:$E570,0),0)=0,AL581,INDEX(Spielauswertung!$AB570:$AE570,MATCH(Tabelle11[[#Headers],[Richard_D]],Spielauswertung!$B570:$E570,0))+AL581)</f>
        <v>107.23233592026223</v>
      </c>
      <c r="AM582" s="1">
        <f>IF(IFERROR(MATCH(Tabelle11[[#Headers],[Rodrigo_R]],Spielauswertung!$B570:$E570,0),0)=0,AM581,INDEX(Spielauswertung!$AB570:$AE570,MATCH(Tabelle11[[#Headers],[Rodrigo_R]],Spielauswertung!$B570:$E570,0))+AM581)</f>
        <v>116.7028707921346</v>
      </c>
      <c r="AN582" s="1">
        <f>IF(IFERROR(MATCH(Tabelle11[[#Headers],[Sebastian_A]],Spielauswertung!$B570:$E570,0),0)=0,AN581,INDEX(Spielauswertung!$AB570:$AE570,MATCH(Tabelle11[[#Headers],[Sebastian_A]],Spielauswertung!$B570:$E570,0))+AN581)</f>
        <v>102.89457418671324</v>
      </c>
      <c r="AO582" s="1">
        <f>IF(IFERROR(MATCH(Tabelle11[[#Headers],[Sebastian_St]],Spielauswertung!$B570:$E570,0),0)=0,AO581,INDEX(Spielauswertung!$AB570:$AE570,MATCH(Tabelle11[[#Headers],[Sebastian_St]],Spielauswertung!$B570:$E570,0))+AO581)</f>
        <v>97.749574367408982</v>
      </c>
      <c r="AP582" s="1">
        <f>IF(IFERROR(MATCH(Tabelle11[[#Headers],[Simon_U]],Spielauswertung!$B570:$E570,0),0)=0,AP581,INDEX(Spielauswertung!$AB570:$AE570,MATCH(Tabelle11[[#Headers],[Simon_U]],Spielauswertung!$B570:$E570,0))+AP581)</f>
        <v>99.623054841470903</v>
      </c>
      <c r="AQ582" s="1">
        <f>IF(IFERROR(MATCH(Tabelle11[[#Headers],[Steffen_R]],Spielauswertung!$B570:$E570,0),0)=0,AQ581,INDEX(Spielauswertung!$AB570:$AE570,MATCH(Tabelle11[[#Headers],[Steffen_R]],Spielauswertung!$B570:$E570,0))+AQ581)</f>
        <v>93.247497067190949</v>
      </c>
      <c r="AR582" s="1">
        <f>IF(IFERROR(MATCH(Tabelle11[[#Headers],[Tim_R]],Spielauswertung!$B570:$E570,0),0)=0,AR581,INDEX(Spielauswertung!$AB570:$AE570,MATCH(Tabelle11[[#Headers],[Tim_R]],Spielauswertung!$B570:$E570,0))+AR581)</f>
        <v>103.07503787023374</v>
      </c>
      <c r="AS582" s="1">
        <f>IF(IFERROR(MATCH(Tabelle11[[#Headers],[Tobias_S]],Spielauswertung!$B570:$E570,0),0)=0,AS581,INDEX(Spielauswertung!$AB570:$AE570,MATCH(Tabelle11[[#Headers],[Tobias_S]],Spielauswertung!$B570:$E570,0))+AS581)</f>
        <v>98.6003422659997</v>
      </c>
      <c r="AT582" s="1">
        <f>IF(IFERROR(MATCH(Tabelle11[[#Headers],[Tom_R]],Spielauswertung!$B570:$E570,0),0)=0,AT581,INDEX(Spielauswertung!$AB570:$AE570,MATCH(Tabelle11[[#Headers],[Tom_R]],Spielauswertung!$B570:$E570,0))+AT581)</f>
        <v>112.62344492949197</v>
      </c>
      <c r="AU582" s="1">
        <f>IF(IFERROR(MATCH(Tabelle11[[#Headers],[Ton_L]],Spielauswertung!$B570:$E570,0),0)=0,AU581,INDEX(Spielauswertung!$AB570:$AE570,MATCH(Tabelle11[[#Headers],[Ton_L]],Spielauswertung!$B570:$E570,0))+AU581)</f>
        <v>92.683083360025861</v>
      </c>
      <c r="AV582" s="1">
        <f>IF(IFERROR(MATCH(Tabelle11[[#Headers],[Yixin_G]],Spielauswertung!$B570:$E570,0),0)=0,AV581,INDEX(Spielauswertung!$AB570:$AE570,MATCH(Tabelle11[[#Headers],[Yixin_G]],Spielauswertung!$B570:$E570,0))+AV581)</f>
        <v>99.900323214082661</v>
      </c>
      <c r="AW582" s="1">
        <f>IF(IFERROR(MATCH(Tabelle11[[#Headers],[Spalte36]],Spielauswertung!$B570:$E570,0),0)=0,AW581,INDEX(Spielauswertung!$AB570:$AE570,MATCH(Tabelle11[[#Headers],[Spalte36]],Spielauswertung!$B570:$E570,0))+AW581)</f>
        <v>100</v>
      </c>
      <c r="AX582" s="1">
        <f>IF(IFERROR(MATCH(Tabelle11[[#Headers],[Spalte37]],Spielauswertung!$B570:$E570,0),0)=0,AX581,INDEX(Spielauswertung!$AB570:$AE570,MATCH(Tabelle11[[#Headers],[Spalte37]],Spielauswertung!$B570:$E570,0))+AX581)</f>
        <v>100</v>
      </c>
      <c r="AY582" s="1">
        <f>IF(IFERROR(MATCH(Tabelle11[[#Headers],[Spalte38]],Spielauswertung!$B570:$E570,0),0)=0,AY581,INDEX(Spielauswertung!$AB570:$AE570,MATCH(Tabelle11[[#Headers],[Spalte38]],Spielauswertung!$B570:$E570,0))+AY581)</f>
        <v>100</v>
      </c>
      <c r="AZ582" s="1">
        <f>IF(IFERROR(MATCH(Tabelle11[[#Headers],[Spalte39]],Spielauswertung!$B570:$E570,0),0)=0,AZ581,INDEX(Spielauswertung!$AB570:$AE570,MATCH(Tabelle11[[#Headers],[Spalte39]],Spielauswertung!$B570:$E570,0))+AZ581)</f>
        <v>100</v>
      </c>
      <c r="BA582" s="1">
        <f>IF(IFERROR(MATCH(Tabelle11[[#Headers],[Spalte40]],Spielauswertung!$B570:$E570,0),0)=0,BA581,INDEX(Spielauswertung!$AB570:$AE570,MATCH(Tabelle11[[#Headers],[Spalte40]],Spielauswertung!$B570:$E570,0))+BA581)</f>
        <v>100</v>
      </c>
      <c r="BB582" s="1">
        <f>IF(IFERROR(MATCH(Tabelle11[[#Headers],[Spalte41]],Spielauswertung!$B570:$E570,0),0)=0,BB581,INDEX(Spielauswertung!$AB570:$AE570,MATCH(Tabelle11[[#Headers],[Spalte41]],Spielauswertung!$B570:$E570,0))+BB581)</f>
        <v>100</v>
      </c>
      <c r="BC582" s="1">
        <f>IF(IFERROR(MATCH(Tabelle11[[#Headers],[Spalte42]],Spielauswertung!$B570:$E570,0),0)=0,BC581,INDEX(Spielauswertung!$AB570:$AE570,MATCH(Tabelle11[[#Headers],[Spalte42]],Spielauswertung!$B570:$E570,0))+BC581)</f>
        <v>100</v>
      </c>
      <c r="BD582" s="1">
        <f>IF(IFERROR(MATCH(Tabelle11[[#Headers],[Spalte43]],Spielauswertung!$B570:$E570,0),0)=0,BD581,INDEX(Spielauswertung!$AB570:$AE570,MATCH(Tabelle11[[#Headers],[Spalte43]],Spielauswertung!$B570:$E570,0))+BD581)</f>
        <v>100</v>
      </c>
      <c r="BE582" s="1">
        <f>IF(IFERROR(MATCH(Tabelle11[[#Headers],[Spalte44]],Spielauswertung!$B570:$E570,0),0)=0,BE581,INDEX(Spielauswertung!$AB570:$AE570,MATCH(Tabelle11[[#Headers],[Spalte44]],Spielauswertung!$B570:$E570,0))+BE581)</f>
        <v>100</v>
      </c>
      <c r="BF582" s="1">
        <f>IF(IFERROR(MATCH(Tabelle11[[#Headers],[Spalte45]],Spielauswertung!$B570:$E570,0),0)=0,BF581,INDEX(Spielauswertung!$AB570:$AE570,MATCH(Tabelle11[[#Headers],[Spalte45]],Spielauswertung!$B570:$E570,0))+BF581)</f>
        <v>100</v>
      </c>
      <c r="BG582" s="1">
        <f>IF(IFERROR(MATCH(Tabelle11[[#Headers],[Spalte46]],Spielauswertung!$B570:$E570,0),0)=0,BG581,INDEX(Spielauswertung!$AB570:$AE570,MATCH(Tabelle11[[#Headers],[Spalte46]],Spielauswertung!$B570:$E570,0))+BG581)</f>
        <v>100</v>
      </c>
      <c r="BH582" s="1">
        <f>IF(IFERROR(MATCH(Tabelle11[[#Headers],[Spalte47]],Spielauswertung!$B570:$E570,0),0)=0,BH581,INDEX(Spielauswertung!$AB570:$AE570,MATCH(Tabelle11[[#Headers],[Spalte47]],Spielauswertung!$B570:$E570,0))+BH581)</f>
        <v>100</v>
      </c>
    </row>
    <row r="583" spans="1:60" x14ac:dyDescent="0.25">
      <c r="A583">
        <f t="shared" si="9"/>
        <v>570</v>
      </c>
      <c r="B583" s="1">
        <f>IF(IFERROR(MATCH(Tabelle11[[#Headers],[Aleix_V]],Spielauswertung!$B571:$E571,0),0)=0,B582,INDEX(Spielauswertung!$AB571:$AE571,MATCH(Tabelle11[[#Headers],[Aleix_V]],Spielauswertung!$B571:$E571,0))+B582)</f>
        <v>102.47318019444646</v>
      </c>
      <c r="C583" s="1">
        <f>IF(IFERROR(MATCH(Tabelle11[[#Headers],[Andres_H]],Spielauswertung!$B571:$E571,0),0)=0,C582,INDEX(Spielauswertung!$AB571:$AE571,MATCH(Tabelle11[[#Headers],[Andres_H]],Spielauswertung!$B571:$E571,0))+C582)</f>
        <v>95.535732339111306</v>
      </c>
      <c r="D583" s="1">
        <f>IF(IFERROR(MATCH(Tabelle11[[#Headers],[Anton_K]],Spielauswertung!$B571:$E571,0),0)=0,D582,INDEX(Spielauswertung!$AB571:$AE571,MATCH(Tabelle11[[#Headers],[Anton_K]],Spielauswertung!$B571:$E571,0))+D582)</f>
        <v>99.287728777054667</v>
      </c>
      <c r="E583" s="1">
        <f>IF(IFERROR(MATCH(Tabelle11[[#Headers],[Bastian_G]],Spielauswertung!$B571:$E571,0),0)=0,E582,INDEX(Spielauswertung!$AB571:$AE571,MATCH(Tabelle11[[#Headers],[Bastian_G]],Spielauswertung!$B571:$E571,0))+E582)</f>
        <v>117.49978695184252</v>
      </c>
      <c r="F583" s="1">
        <f>IF(IFERROR(MATCH(Tabelle11[[#Headers],[Ben_S]],Spielauswertung!$B571:$E571,0),0)=0,F582,INDEX(Spielauswertung!$AB571:$AE571,MATCH(Tabelle11[[#Headers],[Ben_S]],Spielauswertung!$B571:$E571,0))+F582)</f>
        <v>95.932799101521084</v>
      </c>
      <c r="G583" s="1">
        <f>IF(IFERROR(MATCH(Tabelle11[[#Headers],[Benedikt_K]],Spielauswertung!$B571:$E571,0),0)=0,G582,INDEX(Spielauswertung!$AB571:$AE571,MATCH(Tabelle11[[#Headers],[Benedikt_K]],Spielauswertung!$B571:$E571,0))+G582)</f>
        <v>101.20264176422626</v>
      </c>
      <c r="H583" s="1">
        <f>IF(IFERROR(MATCH(Tabelle11[[#Headers],[Benedikt_R]],Spielauswertung!$B571:$E571,0),0)=0,H582,INDEX(Spielauswertung!$AB571:$AE571,MATCH(Tabelle11[[#Headers],[Benedikt_R]],Spielauswertung!$B571:$E571,0))+H582)</f>
        <v>102.6264770510757</v>
      </c>
      <c r="I583" s="1">
        <f>IF(IFERROR(MATCH(Tabelle11[[#Headers],[Carsten_H]],Spielauswertung!$B571:$E571,0),0)=0,I582,INDEX(Spielauswertung!$AB571:$AE571,MATCH(Tabelle11[[#Headers],[Carsten_H]],Spielauswertung!$B571:$E571,0))+I582)</f>
        <v>90.817185094326874</v>
      </c>
      <c r="J583" s="1">
        <f>IF(IFERROR(MATCH(Tabelle11[[#Headers],[Christoph_R]],Spielauswertung!$B571:$E571,0),0)=0,J582,INDEX(Spielauswertung!$AB571:$AE571,MATCH(Tabelle11[[#Headers],[Christoph_R]],Spielauswertung!$B571:$E571,0))+J582)</f>
        <v>109.73261611443155</v>
      </c>
      <c r="K583" s="1">
        <f>IF(IFERROR(MATCH(Tabelle11[[#Headers],[Claudius_J]],Spielauswertung!$B571:$E571,0),0)=0,K582,INDEX(Spielauswertung!$AB571:$AE571,MATCH(Tabelle11[[#Headers],[Claudius_J]],Spielauswertung!$B571:$E571,0))+K582)</f>
        <v>106.16590636000029</v>
      </c>
      <c r="L583" s="1">
        <f>IF(IFERROR(MATCH(Tabelle11[[#Headers],[Daniel_D]],Spielauswertung!$B571:$E571,0),0)=0,L582,INDEX(Spielauswertung!$AB571:$AE571,MATCH(Tabelle11[[#Headers],[Daniel_D]],Spielauswertung!$B571:$E571,0))+L582)</f>
        <v>99.990299180470089</v>
      </c>
      <c r="M583" s="1">
        <f>IF(IFERROR(MATCH(Tabelle11[[#Headers],[David_R]],Spielauswertung!$B571:$E571,0),0)=0,M582,INDEX(Spielauswertung!$AB571:$AE571,MATCH(Tabelle11[[#Headers],[David_R]],Spielauswertung!$B571:$E571,0))+M582)</f>
        <v>96.715943522481638</v>
      </c>
      <c r="N583" s="1">
        <f>IF(IFERROR(MATCH(Tabelle11[[#Headers],[Dennis_P]],Spielauswertung!$B571:$E571,0),0)=0,N582,INDEX(Spielauswertung!$AB571:$AE571,MATCH(Tabelle11[[#Headers],[Dennis_P]],Spielauswertung!$B571:$E571,0))+N582)</f>
        <v>100.04773223105254</v>
      </c>
      <c r="O583" s="1">
        <f>IF(IFERROR(MATCH(Tabelle11[[#Headers],[Dennis_R]],Spielauswertung!$B571:$E571,0),0)=0,O582,INDEX(Spielauswertung!$AB571:$AE571,MATCH(Tabelle11[[#Headers],[Dennis_R]],Spielauswertung!$B571:$E571,0))+O582)</f>
        <v>75.131680864937195</v>
      </c>
      <c r="P583" s="1">
        <f>IF(IFERROR(MATCH(Tabelle11[[#Headers],[Detlef_R]],Spielauswertung!$B571:$E571,0),0)=0,P582,INDEX(Spielauswertung!$AB571:$AE571,MATCH(Tabelle11[[#Headers],[Detlef_R]],Spielauswertung!$B571:$E571,0))+P582)</f>
        <v>87.984671797367014</v>
      </c>
      <c r="Q583" s="1">
        <f>IF(IFERROR(MATCH(Tabelle11[[#Headers],[Dmitrij_M]],Spielauswertung!$B571:$E571,0),0)=0,Q582,INDEX(Spielauswertung!$AB571:$AE571,MATCH(Tabelle11[[#Headers],[Dmitrij_M]],Spielauswertung!$B571:$E571,0))+Q582)</f>
        <v>100.69975721846207</v>
      </c>
      <c r="R583" s="1">
        <f>IF(IFERROR(MATCH(Tabelle11[[#Headers],[Fabian_M]],Spielauswertung!$B571:$E571,0),0)=0,R582,INDEX(Spielauswertung!$AB571:$AE571,MATCH(Tabelle11[[#Headers],[Fabian_M]],Spielauswertung!$B571:$E571,0))+R582)</f>
        <v>95.805387841610738</v>
      </c>
      <c r="S583" s="1">
        <f>IF(IFERROR(MATCH(Tabelle11[[#Headers],[Hannes_S]],Spielauswertung!$B571:$E571,0),0)=0,S582,INDEX(Spielauswertung!$AB571:$AE571,MATCH(Tabelle11[[#Headers],[Hannes_S]],Spielauswertung!$B571:$E571,0))+S582)</f>
        <v>104.83899184012799</v>
      </c>
      <c r="T583" s="1">
        <f>IF(IFERROR(MATCH(Tabelle11[[#Headers],[Jan_B]],Spielauswertung!$B571:$E571,0),0)=0,T582,INDEX(Spielauswertung!$AB571:$AE571,MATCH(Tabelle11[[#Headers],[Jan_B]],Spielauswertung!$B571:$E571,0))+T582)</f>
        <v>100.2794420429173</v>
      </c>
      <c r="U583" s="1">
        <f>IF(IFERROR(MATCH(Tabelle11[[#Headers],[Jan_Hendrik_B]],Spielauswertung!$B571:$E571,0),0)=0,U582,INDEX(Spielauswertung!$AB571:$AE571,MATCH(Tabelle11[[#Headers],[Jan_Hendrik_B]],Spielauswertung!$B571:$E571,0))+U582)</f>
        <v>100.75492416935522</v>
      </c>
      <c r="V583" s="1">
        <f>IF(IFERROR(MATCH(Tabelle11[[#Headers],[Jens_N]],Spielauswertung!$B571:$E571,0),0)=0,V582,INDEX(Spielauswertung!$AB571:$AE571,MATCH(Tabelle11[[#Headers],[Jens_N]],Spielauswertung!$B571:$E571,0))+V582)</f>
        <v>99.643534710196832</v>
      </c>
      <c r="W583" s="1">
        <f>IF(IFERROR(MATCH(Tabelle11[[#Headers],[Johannes_S]],Spielauswertung!$B571:$E571,0),0)=0,W582,INDEX(Spielauswertung!$AB571:$AE571,MATCH(Tabelle11[[#Headers],[Johannes_S]],Spielauswertung!$B571:$E571,0))+W582)</f>
        <v>102.20284750979505</v>
      </c>
      <c r="X583" s="1">
        <f>IF(IFERROR(MATCH(Tabelle11[[#Headers],[Jonathan_F]],Spielauswertung!$B571:$E571,0),0)=0,X582,INDEX(Spielauswertung!$AB571:$AE571,MATCH(Tabelle11[[#Headers],[Jonathan_F]],Spielauswertung!$B571:$E571,0))+X582)</f>
        <v>98.938308797866256</v>
      </c>
      <c r="Y583" s="1">
        <f>IF(IFERROR(MATCH(Tabelle11[[#Headers],[Julius_P]],Spielauswertung!$B571:$E571,0),0)=0,Y582,INDEX(Spielauswertung!$AB571:$AE571,MATCH(Tabelle11[[#Headers],[Julius_P]],Spielauswertung!$B571:$E571,0))+Y582)</f>
        <v>96.540305101873642</v>
      </c>
      <c r="Z583" s="1">
        <f>IF(IFERROR(MATCH(Tabelle11[[#Headers],[Louis_W]],Spielauswertung!$B571:$E571,0),0)=0,Z582,INDEX(Spielauswertung!$AB571:$AE571,MATCH(Tabelle11[[#Headers],[Louis_W]],Spielauswertung!$B571:$E571,0))+Z582)</f>
        <v>87.497452285475362</v>
      </c>
      <c r="AA583" s="1">
        <f>IF(IFERROR(MATCH(Tabelle11[[#Headers],[Lukas_L]],Spielauswertung!$B571:$E571,0),0)=0,AA582,INDEX(Spielauswertung!$AB571:$AE571,MATCH(Tabelle11[[#Headers],[Lukas_L]],Spielauswertung!$B571:$E571,0))+AA582)</f>
        <v>98.447931341404143</v>
      </c>
      <c r="AB583" s="1">
        <f>IF(IFERROR(MATCH(Tabelle11[[#Headers],[Marcin_S]],Spielauswertung!$B571:$E571,0),0)=0,AB582,INDEX(Spielauswertung!$AB571:$AE571,MATCH(Tabelle11[[#Headers],[Marcin_S]],Spielauswertung!$B571:$E571,0))+AB582)</f>
        <v>85.463329105556824</v>
      </c>
      <c r="AC583" s="1">
        <f>IF(IFERROR(MATCH(Tabelle11[[#Headers],[Marco_K]],Spielauswertung!$B571:$E571,0),0)=0,AC582,INDEX(Spielauswertung!$AB571:$AE571,MATCH(Tabelle11[[#Headers],[Marco_K]],Spielauswertung!$B571:$E571,0))+AC582)</f>
        <v>102.12169819441469</v>
      </c>
      <c r="AD583" s="1">
        <f>IF(IFERROR(MATCH(Tabelle11[[#Headers],[Marius_M]],Spielauswertung!$B571:$E571,0),0)=0,AD582,INDEX(Spielauswertung!$AB571:$AE571,MATCH(Tabelle11[[#Headers],[Marius_M]],Spielauswertung!$B571:$E571,0))+AD582)</f>
        <v>124.54012374585781</v>
      </c>
      <c r="AE583" s="1">
        <f>IF(IFERROR(MATCH(Tabelle11[[#Headers],[Marvin_W]],Spielauswertung!$B571:$E571,0),0)=0,AE582,INDEX(Spielauswertung!$AB571:$AE571,MATCH(Tabelle11[[#Headers],[Marvin_W]],Spielauswertung!$B571:$E571,0))+AE582)</f>
        <v>96.700266280577438</v>
      </c>
      <c r="AF583" s="1">
        <f>IF(IFERROR(MATCH(Tabelle11[[#Headers],[Matthias_H]],Spielauswertung!$B571:$E571,0),0)=0,AF582,INDEX(Spielauswertung!$AB571:$AE571,MATCH(Tabelle11[[#Headers],[Matthias_H]],Spielauswertung!$B571:$E571,0))+AF582)</f>
        <v>105.42130178599372</v>
      </c>
      <c r="AG583" s="1">
        <f>IF(IFERROR(MATCH(Tabelle11[[#Headers],[Michael_D]],Spielauswertung!$B571:$E571,0),0)=0,AG582,INDEX(Spielauswertung!$AB571:$AE571,MATCH(Tabelle11[[#Headers],[Michael_D]],Spielauswertung!$B571:$E571,0))+AG582)</f>
        <v>96.436276170375336</v>
      </c>
      <c r="AH583" s="1">
        <f>IF(IFERROR(MATCH(Tabelle11[[#Headers],[Patrick_S]],Spielauswertung!$B571:$E571,0),0)=0,AH582,INDEX(Spielauswertung!$AB571:$AE571,MATCH(Tabelle11[[#Headers],[Patrick_S]],Spielauswertung!$B571:$E571,0))+AH582)</f>
        <v>98.975330692053802</v>
      </c>
      <c r="AI583" s="1">
        <f>IF(IFERROR(MATCH(Tabelle11[[#Headers],[Rano_M]],Spielauswertung!$B571:$E571,0),0)=0,AI582,INDEX(Spielauswertung!$AB571:$AE571,MATCH(Tabelle11[[#Headers],[Rano_M]],Spielauswertung!$B571:$E571,0))+AI582)</f>
        <v>109.38890657420265</v>
      </c>
      <c r="AJ583" s="1">
        <f>IF(IFERROR(MATCH(Tabelle11[[#Headers],[Rene_N]],Spielauswertung!$B571:$E571,0),0)=0,AJ582,INDEX(Spielauswertung!$AB571:$AE571,MATCH(Tabelle11[[#Headers],[Rene_N]],Spielauswertung!$B571:$E571,0))+AJ582)</f>
        <v>101.06482124619033</v>
      </c>
      <c r="AK583" s="1">
        <f>IF(IFERROR(MATCH(Tabelle11[[#Headers],[Rene_P]],Spielauswertung!$B571:$E571,0),0)=0,AK582,INDEX(Spielauswertung!$AB571:$AE571,MATCH(Tabelle11[[#Headers],[Rene_P]],Spielauswertung!$B571:$E571,0))+AK582)</f>
        <v>88.762543186332877</v>
      </c>
      <c r="AL583" s="1">
        <f>IF(IFERROR(MATCH(Tabelle11[[#Headers],[Richard_D]],Spielauswertung!$B571:$E571,0),0)=0,AL582,INDEX(Spielauswertung!$AB571:$AE571,MATCH(Tabelle11[[#Headers],[Richard_D]],Spielauswertung!$B571:$E571,0))+AL582)</f>
        <v>107.23233592026223</v>
      </c>
      <c r="AM583" s="1">
        <f>IF(IFERROR(MATCH(Tabelle11[[#Headers],[Rodrigo_R]],Spielauswertung!$B571:$E571,0),0)=0,AM582,INDEX(Spielauswertung!$AB571:$AE571,MATCH(Tabelle11[[#Headers],[Rodrigo_R]],Spielauswertung!$B571:$E571,0))+AM582)</f>
        <v>116.7028707921346</v>
      </c>
      <c r="AN583" s="1">
        <f>IF(IFERROR(MATCH(Tabelle11[[#Headers],[Sebastian_A]],Spielauswertung!$B571:$E571,0),0)=0,AN582,INDEX(Spielauswertung!$AB571:$AE571,MATCH(Tabelle11[[#Headers],[Sebastian_A]],Spielauswertung!$B571:$E571,0))+AN582)</f>
        <v>102.89457418671324</v>
      </c>
      <c r="AO583" s="1">
        <f>IF(IFERROR(MATCH(Tabelle11[[#Headers],[Sebastian_St]],Spielauswertung!$B571:$E571,0),0)=0,AO582,INDEX(Spielauswertung!$AB571:$AE571,MATCH(Tabelle11[[#Headers],[Sebastian_St]],Spielauswertung!$B571:$E571,0))+AO582)</f>
        <v>97.749574367408982</v>
      </c>
      <c r="AP583" s="1">
        <f>IF(IFERROR(MATCH(Tabelle11[[#Headers],[Simon_U]],Spielauswertung!$B571:$E571,0),0)=0,AP582,INDEX(Spielauswertung!$AB571:$AE571,MATCH(Tabelle11[[#Headers],[Simon_U]],Spielauswertung!$B571:$E571,0))+AP582)</f>
        <v>99.623054841470903</v>
      </c>
      <c r="AQ583" s="1">
        <f>IF(IFERROR(MATCH(Tabelle11[[#Headers],[Steffen_R]],Spielauswertung!$B571:$E571,0),0)=0,AQ582,INDEX(Spielauswertung!$AB571:$AE571,MATCH(Tabelle11[[#Headers],[Steffen_R]],Spielauswertung!$B571:$E571,0))+AQ582)</f>
        <v>93.247497067190949</v>
      </c>
      <c r="AR583" s="1">
        <f>IF(IFERROR(MATCH(Tabelle11[[#Headers],[Tim_R]],Spielauswertung!$B571:$E571,0),0)=0,AR582,INDEX(Spielauswertung!$AB571:$AE571,MATCH(Tabelle11[[#Headers],[Tim_R]],Spielauswertung!$B571:$E571,0))+AR582)</f>
        <v>103.07503787023374</v>
      </c>
      <c r="AS583" s="1">
        <f>IF(IFERROR(MATCH(Tabelle11[[#Headers],[Tobias_S]],Spielauswertung!$B571:$E571,0),0)=0,AS582,INDEX(Spielauswertung!$AB571:$AE571,MATCH(Tabelle11[[#Headers],[Tobias_S]],Spielauswertung!$B571:$E571,0))+AS582)</f>
        <v>98.6003422659997</v>
      </c>
      <c r="AT583" s="1">
        <f>IF(IFERROR(MATCH(Tabelle11[[#Headers],[Tom_R]],Spielauswertung!$B571:$E571,0),0)=0,AT582,INDEX(Spielauswertung!$AB571:$AE571,MATCH(Tabelle11[[#Headers],[Tom_R]],Spielauswertung!$B571:$E571,0))+AT582)</f>
        <v>112.62344492949197</v>
      </c>
      <c r="AU583" s="1">
        <f>IF(IFERROR(MATCH(Tabelle11[[#Headers],[Ton_L]],Spielauswertung!$B571:$E571,0),0)=0,AU582,INDEX(Spielauswertung!$AB571:$AE571,MATCH(Tabelle11[[#Headers],[Ton_L]],Spielauswertung!$B571:$E571,0))+AU582)</f>
        <v>92.683083360025861</v>
      </c>
      <c r="AV583" s="1">
        <f>IF(IFERROR(MATCH(Tabelle11[[#Headers],[Yixin_G]],Spielauswertung!$B571:$E571,0),0)=0,AV582,INDEX(Spielauswertung!$AB571:$AE571,MATCH(Tabelle11[[#Headers],[Yixin_G]],Spielauswertung!$B571:$E571,0))+AV582)</f>
        <v>99.900323214082661</v>
      </c>
      <c r="AW583" s="1">
        <f>IF(IFERROR(MATCH(Tabelle11[[#Headers],[Spalte36]],Spielauswertung!$B571:$E571,0),0)=0,AW582,INDEX(Spielauswertung!$AB571:$AE571,MATCH(Tabelle11[[#Headers],[Spalte36]],Spielauswertung!$B571:$E571,0))+AW582)</f>
        <v>100</v>
      </c>
      <c r="AX583" s="1">
        <f>IF(IFERROR(MATCH(Tabelle11[[#Headers],[Spalte37]],Spielauswertung!$B571:$E571,0),0)=0,AX582,INDEX(Spielauswertung!$AB571:$AE571,MATCH(Tabelle11[[#Headers],[Spalte37]],Spielauswertung!$B571:$E571,0))+AX582)</f>
        <v>100</v>
      </c>
      <c r="AY583" s="1">
        <f>IF(IFERROR(MATCH(Tabelle11[[#Headers],[Spalte38]],Spielauswertung!$B571:$E571,0),0)=0,AY582,INDEX(Spielauswertung!$AB571:$AE571,MATCH(Tabelle11[[#Headers],[Spalte38]],Spielauswertung!$B571:$E571,0))+AY582)</f>
        <v>100</v>
      </c>
      <c r="AZ583" s="1">
        <f>IF(IFERROR(MATCH(Tabelle11[[#Headers],[Spalte39]],Spielauswertung!$B571:$E571,0),0)=0,AZ582,INDEX(Spielauswertung!$AB571:$AE571,MATCH(Tabelle11[[#Headers],[Spalte39]],Spielauswertung!$B571:$E571,0))+AZ582)</f>
        <v>100</v>
      </c>
      <c r="BA583" s="1">
        <f>IF(IFERROR(MATCH(Tabelle11[[#Headers],[Spalte40]],Spielauswertung!$B571:$E571,0),0)=0,BA582,INDEX(Spielauswertung!$AB571:$AE571,MATCH(Tabelle11[[#Headers],[Spalte40]],Spielauswertung!$B571:$E571,0))+BA582)</f>
        <v>100</v>
      </c>
      <c r="BB583" s="1">
        <f>IF(IFERROR(MATCH(Tabelle11[[#Headers],[Spalte41]],Spielauswertung!$B571:$E571,0),0)=0,BB582,INDEX(Spielauswertung!$AB571:$AE571,MATCH(Tabelle11[[#Headers],[Spalte41]],Spielauswertung!$B571:$E571,0))+BB582)</f>
        <v>100</v>
      </c>
      <c r="BC583" s="1">
        <f>IF(IFERROR(MATCH(Tabelle11[[#Headers],[Spalte42]],Spielauswertung!$B571:$E571,0),0)=0,BC582,INDEX(Spielauswertung!$AB571:$AE571,MATCH(Tabelle11[[#Headers],[Spalte42]],Spielauswertung!$B571:$E571,0))+BC582)</f>
        <v>100</v>
      </c>
      <c r="BD583" s="1">
        <f>IF(IFERROR(MATCH(Tabelle11[[#Headers],[Spalte43]],Spielauswertung!$B571:$E571,0),0)=0,BD582,INDEX(Spielauswertung!$AB571:$AE571,MATCH(Tabelle11[[#Headers],[Spalte43]],Spielauswertung!$B571:$E571,0))+BD582)</f>
        <v>100</v>
      </c>
      <c r="BE583" s="1">
        <f>IF(IFERROR(MATCH(Tabelle11[[#Headers],[Spalte44]],Spielauswertung!$B571:$E571,0),0)=0,BE582,INDEX(Spielauswertung!$AB571:$AE571,MATCH(Tabelle11[[#Headers],[Spalte44]],Spielauswertung!$B571:$E571,0))+BE582)</f>
        <v>100</v>
      </c>
      <c r="BF583" s="1">
        <f>IF(IFERROR(MATCH(Tabelle11[[#Headers],[Spalte45]],Spielauswertung!$B571:$E571,0),0)=0,BF582,INDEX(Spielauswertung!$AB571:$AE571,MATCH(Tabelle11[[#Headers],[Spalte45]],Spielauswertung!$B571:$E571,0))+BF582)</f>
        <v>100</v>
      </c>
      <c r="BG583" s="1">
        <f>IF(IFERROR(MATCH(Tabelle11[[#Headers],[Spalte46]],Spielauswertung!$B571:$E571,0),0)=0,BG582,INDEX(Spielauswertung!$AB571:$AE571,MATCH(Tabelle11[[#Headers],[Spalte46]],Spielauswertung!$B571:$E571,0))+BG582)</f>
        <v>100</v>
      </c>
      <c r="BH583" s="1">
        <f>IF(IFERROR(MATCH(Tabelle11[[#Headers],[Spalte47]],Spielauswertung!$B571:$E571,0),0)=0,BH582,INDEX(Spielauswertung!$AB571:$AE571,MATCH(Tabelle11[[#Headers],[Spalte47]],Spielauswertung!$B571:$E571,0))+BH582)</f>
        <v>100</v>
      </c>
    </row>
    <row r="584" spans="1:60" x14ac:dyDescent="0.25">
      <c r="A584">
        <f t="shared" si="9"/>
        <v>571</v>
      </c>
      <c r="B584" s="1">
        <f>IF(IFERROR(MATCH(Tabelle11[[#Headers],[Aleix_V]],Spielauswertung!$B572:$E572,0),0)=0,B583,INDEX(Spielauswertung!$AB572:$AE572,MATCH(Tabelle11[[#Headers],[Aleix_V]],Spielauswertung!$B572:$E572,0))+B583)</f>
        <v>102.47318019444646</v>
      </c>
      <c r="C584" s="1">
        <f>IF(IFERROR(MATCH(Tabelle11[[#Headers],[Andres_H]],Spielauswertung!$B572:$E572,0),0)=0,C583,INDEX(Spielauswertung!$AB572:$AE572,MATCH(Tabelle11[[#Headers],[Andres_H]],Spielauswertung!$B572:$E572,0))+C583)</f>
        <v>95.535732339111306</v>
      </c>
      <c r="D584" s="1">
        <f>IF(IFERROR(MATCH(Tabelle11[[#Headers],[Anton_K]],Spielauswertung!$B572:$E572,0),0)=0,D583,INDEX(Spielauswertung!$AB572:$AE572,MATCH(Tabelle11[[#Headers],[Anton_K]],Spielauswertung!$B572:$E572,0))+D583)</f>
        <v>99.287728777054667</v>
      </c>
      <c r="E584" s="1">
        <f>IF(IFERROR(MATCH(Tabelle11[[#Headers],[Bastian_G]],Spielauswertung!$B572:$E572,0),0)=0,E583,INDEX(Spielauswertung!$AB572:$AE572,MATCH(Tabelle11[[#Headers],[Bastian_G]],Spielauswertung!$B572:$E572,0))+E583)</f>
        <v>117.49978695184252</v>
      </c>
      <c r="F584" s="1">
        <f>IF(IFERROR(MATCH(Tabelle11[[#Headers],[Ben_S]],Spielauswertung!$B572:$E572,0),0)=0,F583,INDEX(Spielauswertung!$AB572:$AE572,MATCH(Tabelle11[[#Headers],[Ben_S]],Spielauswertung!$B572:$E572,0))+F583)</f>
        <v>95.932799101521084</v>
      </c>
      <c r="G584" s="1">
        <f>IF(IFERROR(MATCH(Tabelle11[[#Headers],[Benedikt_K]],Spielauswertung!$B572:$E572,0),0)=0,G583,INDEX(Spielauswertung!$AB572:$AE572,MATCH(Tabelle11[[#Headers],[Benedikt_K]],Spielauswertung!$B572:$E572,0))+G583)</f>
        <v>101.20264176422626</v>
      </c>
      <c r="H584" s="1">
        <f>IF(IFERROR(MATCH(Tabelle11[[#Headers],[Benedikt_R]],Spielauswertung!$B572:$E572,0),0)=0,H583,INDEX(Spielauswertung!$AB572:$AE572,MATCH(Tabelle11[[#Headers],[Benedikt_R]],Spielauswertung!$B572:$E572,0))+H583)</f>
        <v>102.6264770510757</v>
      </c>
      <c r="I584" s="1">
        <f>IF(IFERROR(MATCH(Tabelle11[[#Headers],[Carsten_H]],Spielauswertung!$B572:$E572,0),0)=0,I583,INDEX(Spielauswertung!$AB572:$AE572,MATCH(Tabelle11[[#Headers],[Carsten_H]],Spielauswertung!$B572:$E572,0))+I583)</f>
        <v>90.817185094326874</v>
      </c>
      <c r="J584" s="1">
        <f>IF(IFERROR(MATCH(Tabelle11[[#Headers],[Christoph_R]],Spielauswertung!$B572:$E572,0),0)=0,J583,INDEX(Spielauswertung!$AB572:$AE572,MATCH(Tabelle11[[#Headers],[Christoph_R]],Spielauswertung!$B572:$E572,0))+J583)</f>
        <v>109.73261611443155</v>
      </c>
      <c r="K584" s="1">
        <f>IF(IFERROR(MATCH(Tabelle11[[#Headers],[Claudius_J]],Spielauswertung!$B572:$E572,0),0)=0,K583,INDEX(Spielauswertung!$AB572:$AE572,MATCH(Tabelle11[[#Headers],[Claudius_J]],Spielauswertung!$B572:$E572,0))+K583)</f>
        <v>106.16590636000029</v>
      </c>
      <c r="L584" s="1">
        <f>IF(IFERROR(MATCH(Tabelle11[[#Headers],[Daniel_D]],Spielauswertung!$B572:$E572,0),0)=0,L583,INDEX(Spielauswertung!$AB572:$AE572,MATCH(Tabelle11[[#Headers],[Daniel_D]],Spielauswertung!$B572:$E572,0))+L583)</f>
        <v>99.990299180470089</v>
      </c>
      <c r="M584" s="1">
        <f>IF(IFERROR(MATCH(Tabelle11[[#Headers],[David_R]],Spielauswertung!$B572:$E572,0),0)=0,M583,INDEX(Spielauswertung!$AB572:$AE572,MATCH(Tabelle11[[#Headers],[David_R]],Spielauswertung!$B572:$E572,0))+M583)</f>
        <v>96.715943522481638</v>
      </c>
      <c r="N584" s="1">
        <f>IF(IFERROR(MATCH(Tabelle11[[#Headers],[Dennis_P]],Spielauswertung!$B572:$E572,0),0)=0,N583,INDEX(Spielauswertung!$AB572:$AE572,MATCH(Tabelle11[[#Headers],[Dennis_P]],Spielauswertung!$B572:$E572,0))+N583)</f>
        <v>100.04773223105254</v>
      </c>
      <c r="O584" s="1">
        <f>IF(IFERROR(MATCH(Tabelle11[[#Headers],[Dennis_R]],Spielauswertung!$B572:$E572,0),0)=0,O583,INDEX(Spielauswertung!$AB572:$AE572,MATCH(Tabelle11[[#Headers],[Dennis_R]],Spielauswertung!$B572:$E572,0))+O583)</f>
        <v>75.131680864937195</v>
      </c>
      <c r="P584" s="1">
        <f>IF(IFERROR(MATCH(Tabelle11[[#Headers],[Detlef_R]],Spielauswertung!$B572:$E572,0),0)=0,P583,INDEX(Spielauswertung!$AB572:$AE572,MATCH(Tabelle11[[#Headers],[Detlef_R]],Spielauswertung!$B572:$E572,0))+P583)</f>
        <v>87.984671797367014</v>
      </c>
      <c r="Q584" s="1">
        <f>IF(IFERROR(MATCH(Tabelle11[[#Headers],[Dmitrij_M]],Spielauswertung!$B572:$E572,0),0)=0,Q583,INDEX(Spielauswertung!$AB572:$AE572,MATCH(Tabelle11[[#Headers],[Dmitrij_M]],Spielauswertung!$B572:$E572,0))+Q583)</f>
        <v>100.69975721846207</v>
      </c>
      <c r="R584" s="1">
        <f>IF(IFERROR(MATCH(Tabelle11[[#Headers],[Fabian_M]],Spielauswertung!$B572:$E572,0),0)=0,R583,INDEX(Spielauswertung!$AB572:$AE572,MATCH(Tabelle11[[#Headers],[Fabian_M]],Spielauswertung!$B572:$E572,0))+R583)</f>
        <v>95.805387841610738</v>
      </c>
      <c r="S584" s="1">
        <f>IF(IFERROR(MATCH(Tabelle11[[#Headers],[Hannes_S]],Spielauswertung!$B572:$E572,0),0)=0,S583,INDEX(Spielauswertung!$AB572:$AE572,MATCH(Tabelle11[[#Headers],[Hannes_S]],Spielauswertung!$B572:$E572,0))+S583)</f>
        <v>104.83899184012799</v>
      </c>
      <c r="T584" s="1">
        <f>IF(IFERROR(MATCH(Tabelle11[[#Headers],[Jan_B]],Spielauswertung!$B572:$E572,0),0)=0,T583,INDEX(Spielauswertung!$AB572:$AE572,MATCH(Tabelle11[[#Headers],[Jan_B]],Spielauswertung!$B572:$E572,0))+T583)</f>
        <v>100.2794420429173</v>
      </c>
      <c r="U584" s="1">
        <f>IF(IFERROR(MATCH(Tabelle11[[#Headers],[Jan_Hendrik_B]],Spielauswertung!$B572:$E572,0),0)=0,U583,INDEX(Spielauswertung!$AB572:$AE572,MATCH(Tabelle11[[#Headers],[Jan_Hendrik_B]],Spielauswertung!$B572:$E572,0))+U583)</f>
        <v>100.75492416935522</v>
      </c>
      <c r="V584" s="1">
        <f>IF(IFERROR(MATCH(Tabelle11[[#Headers],[Jens_N]],Spielauswertung!$B572:$E572,0),0)=0,V583,INDEX(Spielauswertung!$AB572:$AE572,MATCH(Tabelle11[[#Headers],[Jens_N]],Spielauswertung!$B572:$E572,0))+V583)</f>
        <v>99.643534710196832</v>
      </c>
      <c r="W584" s="1">
        <f>IF(IFERROR(MATCH(Tabelle11[[#Headers],[Johannes_S]],Spielauswertung!$B572:$E572,0),0)=0,W583,INDEX(Spielauswertung!$AB572:$AE572,MATCH(Tabelle11[[#Headers],[Johannes_S]],Spielauswertung!$B572:$E572,0))+W583)</f>
        <v>102.20284750979505</v>
      </c>
      <c r="X584" s="1">
        <f>IF(IFERROR(MATCH(Tabelle11[[#Headers],[Jonathan_F]],Spielauswertung!$B572:$E572,0),0)=0,X583,INDEX(Spielauswertung!$AB572:$AE572,MATCH(Tabelle11[[#Headers],[Jonathan_F]],Spielauswertung!$B572:$E572,0))+X583)</f>
        <v>98.938308797866256</v>
      </c>
      <c r="Y584" s="1">
        <f>IF(IFERROR(MATCH(Tabelle11[[#Headers],[Julius_P]],Spielauswertung!$B572:$E572,0),0)=0,Y583,INDEX(Spielauswertung!$AB572:$AE572,MATCH(Tabelle11[[#Headers],[Julius_P]],Spielauswertung!$B572:$E572,0))+Y583)</f>
        <v>96.540305101873642</v>
      </c>
      <c r="Z584" s="1">
        <f>IF(IFERROR(MATCH(Tabelle11[[#Headers],[Louis_W]],Spielauswertung!$B572:$E572,0),0)=0,Z583,INDEX(Spielauswertung!$AB572:$AE572,MATCH(Tabelle11[[#Headers],[Louis_W]],Spielauswertung!$B572:$E572,0))+Z583)</f>
        <v>87.497452285475362</v>
      </c>
      <c r="AA584" s="1">
        <f>IF(IFERROR(MATCH(Tabelle11[[#Headers],[Lukas_L]],Spielauswertung!$B572:$E572,0),0)=0,AA583,INDEX(Spielauswertung!$AB572:$AE572,MATCH(Tabelle11[[#Headers],[Lukas_L]],Spielauswertung!$B572:$E572,0))+AA583)</f>
        <v>98.447931341404143</v>
      </c>
      <c r="AB584" s="1">
        <f>IF(IFERROR(MATCH(Tabelle11[[#Headers],[Marcin_S]],Spielauswertung!$B572:$E572,0),0)=0,AB583,INDEX(Spielauswertung!$AB572:$AE572,MATCH(Tabelle11[[#Headers],[Marcin_S]],Spielauswertung!$B572:$E572,0))+AB583)</f>
        <v>85.463329105556824</v>
      </c>
      <c r="AC584" s="1">
        <f>IF(IFERROR(MATCH(Tabelle11[[#Headers],[Marco_K]],Spielauswertung!$B572:$E572,0),0)=0,AC583,INDEX(Spielauswertung!$AB572:$AE572,MATCH(Tabelle11[[#Headers],[Marco_K]],Spielauswertung!$B572:$E572,0))+AC583)</f>
        <v>102.12169819441469</v>
      </c>
      <c r="AD584" s="1">
        <f>IF(IFERROR(MATCH(Tabelle11[[#Headers],[Marius_M]],Spielauswertung!$B572:$E572,0),0)=0,AD583,INDEX(Spielauswertung!$AB572:$AE572,MATCH(Tabelle11[[#Headers],[Marius_M]],Spielauswertung!$B572:$E572,0))+AD583)</f>
        <v>124.54012374585781</v>
      </c>
      <c r="AE584" s="1">
        <f>IF(IFERROR(MATCH(Tabelle11[[#Headers],[Marvin_W]],Spielauswertung!$B572:$E572,0),0)=0,AE583,INDEX(Spielauswertung!$AB572:$AE572,MATCH(Tabelle11[[#Headers],[Marvin_W]],Spielauswertung!$B572:$E572,0))+AE583)</f>
        <v>96.700266280577438</v>
      </c>
      <c r="AF584" s="1">
        <f>IF(IFERROR(MATCH(Tabelle11[[#Headers],[Matthias_H]],Spielauswertung!$B572:$E572,0),0)=0,AF583,INDEX(Spielauswertung!$AB572:$AE572,MATCH(Tabelle11[[#Headers],[Matthias_H]],Spielauswertung!$B572:$E572,0))+AF583)</f>
        <v>105.42130178599372</v>
      </c>
      <c r="AG584" s="1">
        <f>IF(IFERROR(MATCH(Tabelle11[[#Headers],[Michael_D]],Spielauswertung!$B572:$E572,0),0)=0,AG583,INDEX(Spielauswertung!$AB572:$AE572,MATCH(Tabelle11[[#Headers],[Michael_D]],Spielauswertung!$B572:$E572,0))+AG583)</f>
        <v>96.436276170375336</v>
      </c>
      <c r="AH584" s="1">
        <f>IF(IFERROR(MATCH(Tabelle11[[#Headers],[Patrick_S]],Spielauswertung!$B572:$E572,0),0)=0,AH583,INDEX(Spielauswertung!$AB572:$AE572,MATCH(Tabelle11[[#Headers],[Patrick_S]],Spielauswertung!$B572:$E572,0))+AH583)</f>
        <v>98.975330692053802</v>
      </c>
      <c r="AI584" s="1">
        <f>IF(IFERROR(MATCH(Tabelle11[[#Headers],[Rano_M]],Spielauswertung!$B572:$E572,0),0)=0,AI583,INDEX(Spielauswertung!$AB572:$AE572,MATCH(Tabelle11[[#Headers],[Rano_M]],Spielauswertung!$B572:$E572,0))+AI583)</f>
        <v>109.38890657420265</v>
      </c>
      <c r="AJ584" s="1">
        <f>IF(IFERROR(MATCH(Tabelle11[[#Headers],[Rene_N]],Spielauswertung!$B572:$E572,0),0)=0,AJ583,INDEX(Spielauswertung!$AB572:$AE572,MATCH(Tabelle11[[#Headers],[Rene_N]],Spielauswertung!$B572:$E572,0))+AJ583)</f>
        <v>101.06482124619033</v>
      </c>
      <c r="AK584" s="1">
        <f>IF(IFERROR(MATCH(Tabelle11[[#Headers],[Rene_P]],Spielauswertung!$B572:$E572,0),0)=0,AK583,INDEX(Spielauswertung!$AB572:$AE572,MATCH(Tabelle11[[#Headers],[Rene_P]],Spielauswertung!$B572:$E572,0))+AK583)</f>
        <v>88.762543186332877</v>
      </c>
      <c r="AL584" s="1">
        <f>IF(IFERROR(MATCH(Tabelle11[[#Headers],[Richard_D]],Spielauswertung!$B572:$E572,0),0)=0,AL583,INDEX(Spielauswertung!$AB572:$AE572,MATCH(Tabelle11[[#Headers],[Richard_D]],Spielauswertung!$B572:$E572,0))+AL583)</f>
        <v>107.23233592026223</v>
      </c>
      <c r="AM584" s="1">
        <f>IF(IFERROR(MATCH(Tabelle11[[#Headers],[Rodrigo_R]],Spielauswertung!$B572:$E572,0),0)=0,AM583,INDEX(Spielauswertung!$AB572:$AE572,MATCH(Tabelle11[[#Headers],[Rodrigo_R]],Spielauswertung!$B572:$E572,0))+AM583)</f>
        <v>116.7028707921346</v>
      </c>
      <c r="AN584" s="1">
        <f>IF(IFERROR(MATCH(Tabelle11[[#Headers],[Sebastian_A]],Spielauswertung!$B572:$E572,0),0)=0,AN583,INDEX(Spielauswertung!$AB572:$AE572,MATCH(Tabelle11[[#Headers],[Sebastian_A]],Spielauswertung!$B572:$E572,0))+AN583)</f>
        <v>102.89457418671324</v>
      </c>
      <c r="AO584" s="1">
        <f>IF(IFERROR(MATCH(Tabelle11[[#Headers],[Sebastian_St]],Spielauswertung!$B572:$E572,0),0)=0,AO583,INDEX(Spielauswertung!$AB572:$AE572,MATCH(Tabelle11[[#Headers],[Sebastian_St]],Spielauswertung!$B572:$E572,0))+AO583)</f>
        <v>97.749574367408982</v>
      </c>
      <c r="AP584" s="1">
        <f>IF(IFERROR(MATCH(Tabelle11[[#Headers],[Simon_U]],Spielauswertung!$B572:$E572,0),0)=0,AP583,INDEX(Spielauswertung!$AB572:$AE572,MATCH(Tabelle11[[#Headers],[Simon_U]],Spielauswertung!$B572:$E572,0))+AP583)</f>
        <v>99.623054841470903</v>
      </c>
      <c r="AQ584" s="1">
        <f>IF(IFERROR(MATCH(Tabelle11[[#Headers],[Steffen_R]],Spielauswertung!$B572:$E572,0),0)=0,AQ583,INDEX(Spielauswertung!$AB572:$AE572,MATCH(Tabelle11[[#Headers],[Steffen_R]],Spielauswertung!$B572:$E572,0))+AQ583)</f>
        <v>93.247497067190949</v>
      </c>
      <c r="AR584" s="1">
        <f>IF(IFERROR(MATCH(Tabelle11[[#Headers],[Tim_R]],Spielauswertung!$B572:$E572,0),0)=0,AR583,INDEX(Spielauswertung!$AB572:$AE572,MATCH(Tabelle11[[#Headers],[Tim_R]],Spielauswertung!$B572:$E572,0))+AR583)</f>
        <v>103.07503787023374</v>
      </c>
      <c r="AS584" s="1">
        <f>IF(IFERROR(MATCH(Tabelle11[[#Headers],[Tobias_S]],Spielauswertung!$B572:$E572,0),0)=0,AS583,INDEX(Spielauswertung!$AB572:$AE572,MATCH(Tabelle11[[#Headers],[Tobias_S]],Spielauswertung!$B572:$E572,0))+AS583)</f>
        <v>98.6003422659997</v>
      </c>
      <c r="AT584" s="1">
        <f>IF(IFERROR(MATCH(Tabelle11[[#Headers],[Tom_R]],Spielauswertung!$B572:$E572,0),0)=0,AT583,INDEX(Spielauswertung!$AB572:$AE572,MATCH(Tabelle11[[#Headers],[Tom_R]],Spielauswertung!$B572:$E572,0))+AT583)</f>
        <v>112.62344492949197</v>
      </c>
      <c r="AU584" s="1">
        <f>IF(IFERROR(MATCH(Tabelle11[[#Headers],[Ton_L]],Spielauswertung!$B572:$E572,0),0)=0,AU583,INDEX(Spielauswertung!$AB572:$AE572,MATCH(Tabelle11[[#Headers],[Ton_L]],Spielauswertung!$B572:$E572,0))+AU583)</f>
        <v>92.683083360025861</v>
      </c>
      <c r="AV584" s="1">
        <f>IF(IFERROR(MATCH(Tabelle11[[#Headers],[Yixin_G]],Spielauswertung!$B572:$E572,0),0)=0,AV583,INDEX(Spielauswertung!$AB572:$AE572,MATCH(Tabelle11[[#Headers],[Yixin_G]],Spielauswertung!$B572:$E572,0))+AV583)</f>
        <v>99.900323214082661</v>
      </c>
      <c r="AW584" s="1">
        <f>IF(IFERROR(MATCH(Tabelle11[[#Headers],[Spalte36]],Spielauswertung!$B572:$E572,0),0)=0,AW583,INDEX(Spielauswertung!$AB572:$AE572,MATCH(Tabelle11[[#Headers],[Spalte36]],Spielauswertung!$B572:$E572,0))+AW583)</f>
        <v>100</v>
      </c>
      <c r="AX584" s="1">
        <f>IF(IFERROR(MATCH(Tabelle11[[#Headers],[Spalte37]],Spielauswertung!$B572:$E572,0),0)=0,AX583,INDEX(Spielauswertung!$AB572:$AE572,MATCH(Tabelle11[[#Headers],[Spalte37]],Spielauswertung!$B572:$E572,0))+AX583)</f>
        <v>100</v>
      </c>
      <c r="AY584" s="1">
        <f>IF(IFERROR(MATCH(Tabelle11[[#Headers],[Spalte38]],Spielauswertung!$B572:$E572,0),0)=0,AY583,INDEX(Spielauswertung!$AB572:$AE572,MATCH(Tabelle11[[#Headers],[Spalte38]],Spielauswertung!$B572:$E572,0))+AY583)</f>
        <v>100</v>
      </c>
      <c r="AZ584" s="1">
        <f>IF(IFERROR(MATCH(Tabelle11[[#Headers],[Spalte39]],Spielauswertung!$B572:$E572,0),0)=0,AZ583,INDEX(Spielauswertung!$AB572:$AE572,MATCH(Tabelle11[[#Headers],[Spalte39]],Spielauswertung!$B572:$E572,0))+AZ583)</f>
        <v>100</v>
      </c>
      <c r="BA584" s="1">
        <f>IF(IFERROR(MATCH(Tabelle11[[#Headers],[Spalte40]],Spielauswertung!$B572:$E572,0),0)=0,BA583,INDEX(Spielauswertung!$AB572:$AE572,MATCH(Tabelle11[[#Headers],[Spalte40]],Spielauswertung!$B572:$E572,0))+BA583)</f>
        <v>100</v>
      </c>
      <c r="BB584" s="1">
        <f>IF(IFERROR(MATCH(Tabelle11[[#Headers],[Spalte41]],Spielauswertung!$B572:$E572,0),0)=0,BB583,INDEX(Spielauswertung!$AB572:$AE572,MATCH(Tabelle11[[#Headers],[Spalte41]],Spielauswertung!$B572:$E572,0))+BB583)</f>
        <v>100</v>
      </c>
      <c r="BC584" s="1">
        <f>IF(IFERROR(MATCH(Tabelle11[[#Headers],[Spalte42]],Spielauswertung!$B572:$E572,0),0)=0,BC583,INDEX(Spielauswertung!$AB572:$AE572,MATCH(Tabelle11[[#Headers],[Spalte42]],Spielauswertung!$B572:$E572,0))+BC583)</f>
        <v>100</v>
      </c>
      <c r="BD584" s="1">
        <f>IF(IFERROR(MATCH(Tabelle11[[#Headers],[Spalte43]],Spielauswertung!$B572:$E572,0),0)=0,BD583,INDEX(Spielauswertung!$AB572:$AE572,MATCH(Tabelle11[[#Headers],[Spalte43]],Spielauswertung!$B572:$E572,0))+BD583)</f>
        <v>100</v>
      </c>
      <c r="BE584" s="1">
        <f>IF(IFERROR(MATCH(Tabelle11[[#Headers],[Spalte44]],Spielauswertung!$B572:$E572,0),0)=0,BE583,INDEX(Spielauswertung!$AB572:$AE572,MATCH(Tabelle11[[#Headers],[Spalte44]],Spielauswertung!$B572:$E572,0))+BE583)</f>
        <v>100</v>
      </c>
      <c r="BF584" s="1">
        <f>IF(IFERROR(MATCH(Tabelle11[[#Headers],[Spalte45]],Spielauswertung!$B572:$E572,0),0)=0,BF583,INDEX(Spielauswertung!$AB572:$AE572,MATCH(Tabelle11[[#Headers],[Spalte45]],Spielauswertung!$B572:$E572,0))+BF583)</f>
        <v>100</v>
      </c>
      <c r="BG584" s="1">
        <f>IF(IFERROR(MATCH(Tabelle11[[#Headers],[Spalte46]],Spielauswertung!$B572:$E572,0),0)=0,BG583,INDEX(Spielauswertung!$AB572:$AE572,MATCH(Tabelle11[[#Headers],[Spalte46]],Spielauswertung!$B572:$E572,0))+BG583)</f>
        <v>100</v>
      </c>
      <c r="BH584" s="1">
        <f>IF(IFERROR(MATCH(Tabelle11[[#Headers],[Spalte47]],Spielauswertung!$B572:$E572,0),0)=0,BH583,INDEX(Spielauswertung!$AB572:$AE572,MATCH(Tabelle11[[#Headers],[Spalte47]],Spielauswertung!$B572:$E572,0))+BH583)</f>
        <v>100</v>
      </c>
    </row>
    <row r="585" spans="1:60" x14ac:dyDescent="0.25">
      <c r="A585">
        <f t="shared" si="9"/>
        <v>572</v>
      </c>
      <c r="B585" s="1">
        <f>IF(IFERROR(MATCH(Tabelle11[[#Headers],[Aleix_V]],Spielauswertung!$B573:$E573,0),0)=0,B584,INDEX(Spielauswertung!$AB573:$AE573,MATCH(Tabelle11[[#Headers],[Aleix_V]],Spielauswertung!$B573:$E573,0))+B584)</f>
        <v>102.47318019444646</v>
      </c>
      <c r="C585" s="1">
        <f>IF(IFERROR(MATCH(Tabelle11[[#Headers],[Andres_H]],Spielauswertung!$B573:$E573,0),0)=0,C584,INDEX(Spielauswertung!$AB573:$AE573,MATCH(Tabelle11[[#Headers],[Andres_H]],Spielauswertung!$B573:$E573,0))+C584)</f>
        <v>95.535732339111306</v>
      </c>
      <c r="D585" s="1">
        <f>IF(IFERROR(MATCH(Tabelle11[[#Headers],[Anton_K]],Spielauswertung!$B573:$E573,0),0)=0,D584,INDEX(Spielauswertung!$AB573:$AE573,MATCH(Tabelle11[[#Headers],[Anton_K]],Spielauswertung!$B573:$E573,0))+D584)</f>
        <v>99.287728777054667</v>
      </c>
      <c r="E585" s="1">
        <f>IF(IFERROR(MATCH(Tabelle11[[#Headers],[Bastian_G]],Spielauswertung!$B573:$E573,0),0)=0,E584,INDEX(Spielauswertung!$AB573:$AE573,MATCH(Tabelle11[[#Headers],[Bastian_G]],Spielauswertung!$B573:$E573,0))+E584)</f>
        <v>117.49978695184252</v>
      </c>
      <c r="F585" s="1">
        <f>IF(IFERROR(MATCH(Tabelle11[[#Headers],[Ben_S]],Spielauswertung!$B573:$E573,0),0)=0,F584,INDEX(Spielauswertung!$AB573:$AE573,MATCH(Tabelle11[[#Headers],[Ben_S]],Spielauswertung!$B573:$E573,0))+F584)</f>
        <v>95.932799101521084</v>
      </c>
      <c r="G585" s="1">
        <f>IF(IFERROR(MATCH(Tabelle11[[#Headers],[Benedikt_K]],Spielauswertung!$B573:$E573,0),0)=0,G584,INDEX(Spielauswertung!$AB573:$AE573,MATCH(Tabelle11[[#Headers],[Benedikt_K]],Spielauswertung!$B573:$E573,0))+G584)</f>
        <v>101.20264176422626</v>
      </c>
      <c r="H585" s="1">
        <f>IF(IFERROR(MATCH(Tabelle11[[#Headers],[Benedikt_R]],Spielauswertung!$B573:$E573,0),0)=0,H584,INDEX(Spielauswertung!$AB573:$AE573,MATCH(Tabelle11[[#Headers],[Benedikt_R]],Spielauswertung!$B573:$E573,0))+H584)</f>
        <v>102.6264770510757</v>
      </c>
      <c r="I585" s="1">
        <f>IF(IFERROR(MATCH(Tabelle11[[#Headers],[Carsten_H]],Spielauswertung!$B573:$E573,0),0)=0,I584,INDEX(Spielauswertung!$AB573:$AE573,MATCH(Tabelle11[[#Headers],[Carsten_H]],Spielauswertung!$B573:$E573,0))+I584)</f>
        <v>90.817185094326874</v>
      </c>
      <c r="J585" s="1">
        <f>IF(IFERROR(MATCH(Tabelle11[[#Headers],[Christoph_R]],Spielauswertung!$B573:$E573,0),0)=0,J584,INDEX(Spielauswertung!$AB573:$AE573,MATCH(Tabelle11[[#Headers],[Christoph_R]],Spielauswertung!$B573:$E573,0))+J584)</f>
        <v>109.73261611443155</v>
      </c>
      <c r="K585" s="1">
        <f>IF(IFERROR(MATCH(Tabelle11[[#Headers],[Claudius_J]],Spielauswertung!$B573:$E573,0),0)=0,K584,INDEX(Spielauswertung!$AB573:$AE573,MATCH(Tabelle11[[#Headers],[Claudius_J]],Spielauswertung!$B573:$E573,0))+K584)</f>
        <v>106.16590636000029</v>
      </c>
      <c r="L585" s="1">
        <f>IF(IFERROR(MATCH(Tabelle11[[#Headers],[Daniel_D]],Spielauswertung!$B573:$E573,0),0)=0,L584,INDEX(Spielauswertung!$AB573:$AE573,MATCH(Tabelle11[[#Headers],[Daniel_D]],Spielauswertung!$B573:$E573,0))+L584)</f>
        <v>99.990299180470089</v>
      </c>
      <c r="M585" s="1">
        <f>IF(IFERROR(MATCH(Tabelle11[[#Headers],[David_R]],Spielauswertung!$B573:$E573,0),0)=0,M584,INDEX(Spielauswertung!$AB573:$AE573,MATCH(Tabelle11[[#Headers],[David_R]],Spielauswertung!$B573:$E573,0))+M584)</f>
        <v>96.715943522481638</v>
      </c>
      <c r="N585" s="1">
        <f>IF(IFERROR(MATCH(Tabelle11[[#Headers],[Dennis_P]],Spielauswertung!$B573:$E573,0),0)=0,N584,INDEX(Spielauswertung!$AB573:$AE573,MATCH(Tabelle11[[#Headers],[Dennis_P]],Spielauswertung!$B573:$E573,0))+N584)</f>
        <v>100.04773223105254</v>
      </c>
      <c r="O585" s="1">
        <f>IF(IFERROR(MATCH(Tabelle11[[#Headers],[Dennis_R]],Spielauswertung!$B573:$E573,0),0)=0,O584,INDEX(Spielauswertung!$AB573:$AE573,MATCH(Tabelle11[[#Headers],[Dennis_R]],Spielauswertung!$B573:$E573,0))+O584)</f>
        <v>75.131680864937195</v>
      </c>
      <c r="P585" s="1">
        <f>IF(IFERROR(MATCH(Tabelle11[[#Headers],[Detlef_R]],Spielauswertung!$B573:$E573,0),0)=0,P584,INDEX(Spielauswertung!$AB573:$AE573,MATCH(Tabelle11[[#Headers],[Detlef_R]],Spielauswertung!$B573:$E573,0))+P584)</f>
        <v>87.984671797367014</v>
      </c>
      <c r="Q585" s="1">
        <f>IF(IFERROR(MATCH(Tabelle11[[#Headers],[Dmitrij_M]],Spielauswertung!$B573:$E573,0),0)=0,Q584,INDEX(Spielauswertung!$AB573:$AE573,MATCH(Tabelle11[[#Headers],[Dmitrij_M]],Spielauswertung!$B573:$E573,0))+Q584)</f>
        <v>100.69975721846207</v>
      </c>
      <c r="R585" s="1">
        <f>IF(IFERROR(MATCH(Tabelle11[[#Headers],[Fabian_M]],Spielauswertung!$B573:$E573,0),0)=0,R584,INDEX(Spielauswertung!$AB573:$AE573,MATCH(Tabelle11[[#Headers],[Fabian_M]],Spielauswertung!$B573:$E573,0))+R584)</f>
        <v>95.805387841610738</v>
      </c>
      <c r="S585" s="1">
        <f>IF(IFERROR(MATCH(Tabelle11[[#Headers],[Hannes_S]],Spielauswertung!$B573:$E573,0),0)=0,S584,INDEX(Spielauswertung!$AB573:$AE573,MATCH(Tabelle11[[#Headers],[Hannes_S]],Spielauswertung!$B573:$E573,0))+S584)</f>
        <v>104.83899184012799</v>
      </c>
      <c r="T585" s="1">
        <f>IF(IFERROR(MATCH(Tabelle11[[#Headers],[Jan_B]],Spielauswertung!$B573:$E573,0),0)=0,T584,INDEX(Spielauswertung!$AB573:$AE573,MATCH(Tabelle11[[#Headers],[Jan_B]],Spielauswertung!$B573:$E573,0))+T584)</f>
        <v>100.2794420429173</v>
      </c>
      <c r="U585" s="1">
        <f>IF(IFERROR(MATCH(Tabelle11[[#Headers],[Jan_Hendrik_B]],Spielauswertung!$B573:$E573,0),0)=0,U584,INDEX(Spielauswertung!$AB573:$AE573,MATCH(Tabelle11[[#Headers],[Jan_Hendrik_B]],Spielauswertung!$B573:$E573,0))+U584)</f>
        <v>100.75492416935522</v>
      </c>
      <c r="V585" s="1">
        <f>IF(IFERROR(MATCH(Tabelle11[[#Headers],[Jens_N]],Spielauswertung!$B573:$E573,0),0)=0,V584,INDEX(Spielauswertung!$AB573:$AE573,MATCH(Tabelle11[[#Headers],[Jens_N]],Spielauswertung!$B573:$E573,0))+V584)</f>
        <v>99.643534710196832</v>
      </c>
      <c r="W585" s="1">
        <f>IF(IFERROR(MATCH(Tabelle11[[#Headers],[Johannes_S]],Spielauswertung!$B573:$E573,0),0)=0,W584,INDEX(Spielauswertung!$AB573:$AE573,MATCH(Tabelle11[[#Headers],[Johannes_S]],Spielauswertung!$B573:$E573,0))+W584)</f>
        <v>102.20284750979505</v>
      </c>
      <c r="X585" s="1">
        <f>IF(IFERROR(MATCH(Tabelle11[[#Headers],[Jonathan_F]],Spielauswertung!$B573:$E573,0),0)=0,X584,INDEX(Spielauswertung!$AB573:$AE573,MATCH(Tabelle11[[#Headers],[Jonathan_F]],Spielauswertung!$B573:$E573,0))+X584)</f>
        <v>98.938308797866256</v>
      </c>
      <c r="Y585" s="1">
        <f>IF(IFERROR(MATCH(Tabelle11[[#Headers],[Julius_P]],Spielauswertung!$B573:$E573,0),0)=0,Y584,INDEX(Spielauswertung!$AB573:$AE573,MATCH(Tabelle11[[#Headers],[Julius_P]],Spielauswertung!$B573:$E573,0))+Y584)</f>
        <v>96.540305101873642</v>
      </c>
      <c r="Z585" s="1">
        <f>IF(IFERROR(MATCH(Tabelle11[[#Headers],[Louis_W]],Spielauswertung!$B573:$E573,0),0)=0,Z584,INDEX(Spielauswertung!$AB573:$AE573,MATCH(Tabelle11[[#Headers],[Louis_W]],Spielauswertung!$B573:$E573,0))+Z584)</f>
        <v>87.497452285475362</v>
      </c>
      <c r="AA585" s="1">
        <f>IF(IFERROR(MATCH(Tabelle11[[#Headers],[Lukas_L]],Spielauswertung!$B573:$E573,0),0)=0,AA584,INDEX(Spielauswertung!$AB573:$AE573,MATCH(Tabelle11[[#Headers],[Lukas_L]],Spielauswertung!$B573:$E573,0))+AA584)</f>
        <v>98.447931341404143</v>
      </c>
      <c r="AB585" s="1">
        <f>IF(IFERROR(MATCH(Tabelle11[[#Headers],[Marcin_S]],Spielauswertung!$B573:$E573,0),0)=0,AB584,INDEX(Spielauswertung!$AB573:$AE573,MATCH(Tabelle11[[#Headers],[Marcin_S]],Spielauswertung!$B573:$E573,0))+AB584)</f>
        <v>85.463329105556824</v>
      </c>
      <c r="AC585" s="1">
        <f>IF(IFERROR(MATCH(Tabelle11[[#Headers],[Marco_K]],Spielauswertung!$B573:$E573,0),0)=0,AC584,INDEX(Spielauswertung!$AB573:$AE573,MATCH(Tabelle11[[#Headers],[Marco_K]],Spielauswertung!$B573:$E573,0))+AC584)</f>
        <v>102.12169819441469</v>
      </c>
      <c r="AD585" s="1">
        <f>IF(IFERROR(MATCH(Tabelle11[[#Headers],[Marius_M]],Spielauswertung!$B573:$E573,0),0)=0,AD584,INDEX(Spielauswertung!$AB573:$AE573,MATCH(Tabelle11[[#Headers],[Marius_M]],Spielauswertung!$B573:$E573,0))+AD584)</f>
        <v>124.54012374585781</v>
      </c>
      <c r="AE585" s="1">
        <f>IF(IFERROR(MATCH(Tabelle11[[#Headers],[Marvin_W]],Spielauswertung!$B573:$E573,0),0)=0,AE584,INDEX(Spielauswertung!$AB573:$AE573,MATCH(Tabelle11[[#Headers],[Marvin_W]],Spielauswertung!$B573:$E573,0))+AE584)</f>
        <v>96.700266280577438</v>
      </c>
      <c r="AF585" s="1">
        <f>IF(IFERROR(MATCH(Tabelle11[[#Headers],[Matthias_H]],Spielauswertung!$B573:$E573,0),0)=0,AF584,INDEX(Spielauswertung!$AB573:$AE573,MATCH(Tabelle11[[#Headers],[Matthias_H]],Spielauswertung!$B573:$E573,0))+AF584)</f>
        <v>105.42130178599372</v>
      </c>
      <c r="AG585" s="1">
        <f>IF(IFERROR(MATCH(Tabelle11[[#Headers],[Michael_D]],Spielauswertung!$B573:$E573,0),0)=0,AG584,INDEX(Spielauswertung!$AB573:$AE573,MATCH(Tabelle11[[#Headers],[Michael_D]],Spielauswertung!$B573:$E573,0))+AG584)</f>
        <v>96.436276170375336</v>
      </c>
      <c r="AH585" s="1">
        <f>IF(IFERROR(MATCH(Tabelle11[[#Headers],[Patrick_S]],Spielauswertung!$B573:$E573,0),0)=0,AH584,INDEX(Spielauswertung!$AB573:$AE573,MATCH(Tabelle11[[#Headers],[Patrick_S]],Spielauswertung!$B573:$E573,0))+AH584)</f>
        <v>98.975330692053802</v>
      </c>
      <c r="AI585" s="1">
        <f>IF(IFERROR(MATCH(Tabelle11[[#Headers],[Rano_M]],Spielauswertung!$B573:$E573,0),0)=0,AI584,INDEX(Spielauswertung!$AB573:$AE573,MATCH(Tabelle11[[#Headers],[Rano_M]],Spielauswertung!$B573:$E573,0))+AI584)</f>
        <v>109.38890657420265</v>
      </c>
      <c r="AJ585" s="1">
        <f>IF(IFERROR(MATCH(Tabelle11[[#Headers],[Rene_N]],Spielauswertung!$B573:$E573,0),0)=0,AJ584,INDEX(Spielauswertung!$AB573:$AE573,MATCH(Tabelle11[[#Headers],[Rene_N]],Spielauswertung!$B573:$E573,0))+AJ584)</f>
        <v>101.06482124619033</v>
      </c>
      <c r="AK585" s="1">
        <f>IF(IFERROR(MATCH(Tabelle11[[#Headers],[Rene_P]],Spielauswertung!$B573:$E573,0),0)=0,AK584,INDEX(Spielauswertung!$AB573:$AE573,MATCH(Tabelle11[[#Headers],[Rene_P]],Spielauswertung!$B573:$E573,0))+AK584)</f>
        <v>88.762543186332877</v>
      </c>
      <c r="AL585" s="1">
        <f>IF(IFERROR(MATCH(Tabelle11[[#Headers],[Richard_D]],Spielauswertung!$B573:$E573,0),0)=0,AL584,INDEX(Spielauswertung!$AB573:$AE573,MATCH(Tabelle11[[#Headers],[Richard_D]],Spielauswertung!$B573:$E573,0))+AL584)</f>
        <v>107.23233592026223</v>
      </c>
      <c r="AM585" s="1">
        <f>IF(IFERROR(MATCH(Tabelle11[[#Headers],[Rodrigo_R]],Spielauswertung!$B573:$E573,0),0)=0,AM584,INDEX(Spielauswertung!$AB573:$AE573,MATCH(Tabelle11[[#Headers],[Rodrigo_R]],Spielauswertung!$B573:$E573,0))+AM584)</f>
        <v>116.7028707921346</v>
      </c>
      <c r="AN585" s="1">
        <f>IF(IFERROR(MATCH(Tabelle11[[#Headers],[Sebastian_A]],Spielauswertung!$B573:$E573,0),0)=0,AN584,INDEX(Spielauswertung!$AB573:$AE573,MATCH(Tabelle11[[#Headers],[Sebastian_A]],Spielauswertung!$B573:$E573,0))+AN584)</f>
        <v>102.89457418671324</v>
      </c>
      <c r="AO585" s="1">
        <f>IF(IFERROR(MATCH(Tabelle11[[#Headers],[Sebastian_St]],Spielauswertung!$B573:$E573,0),0)=0,AO584,INDEX(Spielauswertung!$AB573:$AE573,MATCH(Tabelle11[[#Headers],[Sebastian_St]],Spielauswertung!$B573:$E573,0))+AO584)</f>
        <v>97.749574367408982</v>
      </c>
      <c r="AP585" s="1">
        <f>IF(IFERROR(MATCH(Tabelle11[[#Headers],[Simon_U]],Spielauswertung!$B573:$E573,0),0)=0,AP584,INDEX(Spielauswertung!$AB573:$AE573,MATCH(Tabelle11[[#Headers],[Simon_U]],Spielauswertung!$B573:$E573,0))+AP584)</f>
        <v>99.623054841470903</v>
      </c>
      <c r="AQ585" s="1">
        <f>IF(IFERROR(MATCH(Tabelle11[[#Headers],[Steffen_R]],Spielauswertung!$B573:$E573,0),0)=0,AQ584,INDEX(Spielauswertung!$AB573:$AE573,MATCH(Tabelle11[[#Headers],[Steffen_R]],Spielauswertung!$B573:$E573,0))+AQ584)</f>
        <v>93.247497067190949</v>
      </c>
      <c r="AR585" s="1">
        <f>IF(IFERROR(MATCH(Tabelle11[[#Headers],[Tim_R]],Spielauswertung!$B573:$E573,0),0)=0,AR584,INDEX(Spielauswertung!$AB573:$AE573,MATCH(Tabelle11[[#Headers],[Tim_R]],Spielauswertung!$B573:$E573,0))+AR584)</f>
        <v>103.07503787023374</v>
      </c>
      <c r="AS585" s="1">
        <f>IF(IFERROR(MATCH(Tabelle11[[#Headers],[Tobias_S]],Spielauswertung!$B573:$E573,0),0)=0,AS584,INDEX(Spielauswertung!$AB573:$AE573,MATCH(Tabelle11[[#Headers],[Tobias_S]],Spielauswertung!$B573:$E573,0))+AS584)</f>
        <v>98.6003422659997</v>
      </c>
      <c r="AT585" s="1">
        <f>IF(IFERROR(MATCH(Tabelle11[[#Headers],[Tom_R]],Spielauswertung!$B573:$E573,0),0)=0,AT584,INDEX(Spielauswertung!$AB573:$AE573,MATCH(Tabelle11[[#Headers],[Tom_R]],Spielauswertung!$B573:$E573,0))+AT584)</f>
        <v>112.62344492949197</v>
      </c>
      <c r="AU585" s="1">
        <f>IF(IFERROR(MATCH(Tabelle11[[#Headers],[Ton_L]],Spielauswertung!$B573:$E573,0),0)=0,AU584,INDEX(Spielauswertung!$AB573:$AE573,MATCH(Tabelle11[[#Headers],[Ton_L]],Spielauswertung!$B573:$E573,0))+AU584)</f>
        <v>92.683083360025861</v>
      </c>
      <c r="AV585" s="1">
        <f>IF(IFERROR(MATCH(Tabelle11[[#Headers],[Yixin_G]],Spielauswertung!$B573:$E573,0),0)=0,AV584,INDEX(Spielauswertung!$AB573:$AE573,MATCH(Tabelle11[[#Headers],[Yixin_G]],Spielauswertung!$B573:$E573,0))+AV584)</f>
        <v>99.900323214082661</v>
      </c>
      <c r="AW585" s="1">
        <f>IF(IFERROR(MATCH(Tabelle11[[#Headers],[Spalte36]],Spielauswertung!$B573:$E573,0),0)=0,AW584,INDEX(Spielauswertung!$AB573:$AE573,MATCH(Tabelle11[[#Headers],[Spalte36]],Spielauswertung!$B573:$E573,0))+AW584)</f>
        <v>100</v>
      </c>
      <c r="AX585" s="1">
        <f>IF(IFERROR(MATCH(Tabelle11[[#Headers],[Spalte37]],Spielauswertung!$B573:$E573,0),0)=0,AX584,INDEX(Spielauswertung!$AB573:$AE573,MATCH(Tabelle11[[#Headers],[Spalte37]],Spielauswertung!$B573:$E573,0))+AX584)</f>
        <v>100</v>
      </c>
      <c r="AY585" s="1">
        <f>IF(IFERROR(MATCH(Tabelle11[[#Headers],[Spalte38]],Spielauswertung!$B573:$E573,0),0)=0,AY584,INDEX(Spielauswertung!$AB573:$AE573,MATCH(Tabelle11[[#Headers],[Spalte38]],Spielauswertung!$B573:$E573,0))+AY584)</f>
        <v>100</v>
      </c>
      <c r="AZ585" s="1">
        <f>IF(IFERROR(MATCH(Tabelle11[[#Headers],[Spalte39]],Spielauswertung!$B573:$E573,0),0)=0,AZ584,INDEX(Spielauswertung!$AB573:$AE573,MATCH(Tabelle11[[#Headers],[Spalte39]],Spielauswertung!$B573:$E573,0))+AZ584)</f>
        <v>100</v>
      </c>
      <c r="BA585" s="1">
        <f>IF(IFERROR(MATCH(Tabelle11[[#Headers],[Spalte40]],Spielauswertung!$B573:$E573,0),0)=0,BA584,INDEX(Spielauswertung!$AB573:$AE573,MATCH(Tabelle11[[#Headers],[Spalte40]],Spielauswertung!$B573:$E573,0))+BA584)</f>
        <v>100</v>
      </c>
      <c r="BB585" s="1">
        <f>IF(IFERROR(MATCH(Tabelle11[[#Headers],[Spalte41]],Spielauswertung!$B573:$E573,0),0)=0,BB584,INDEX(Spielauswertung!$AB573:$AE573,MATCH(Tabelle11[[#Headers],[Spalte41]],Spielauswertung!$B573:$E573,0))+BB584)</f>
        <v>100</v>
      </c>
      <c r="BC585" s="1">
        <f>IF(IFERROR(MATCH(Tabelle11[[#Headers],[Spalte42]],Spielauswertung!$B573:$E573,0),0)=0,BC584,INDEX(Spielauswertung!$AB573:$AE573,MATCH(Tabelle11[[#Headers],[Spalte42]],Spielauswertung!$B573:$E573,0))+BC584)</f>
        <v>100</v>
      </c>
      <c r="BD585" s="1">
        <f>IF(IFERROR(MATCH(Tabelle11[[#Headers],[Spalte43]],Spielauswertung!$B573:$E573,0),0)=0,BD584,INDEX(Spielauswertung!$AB573:$AE573,MATCH(Tabelle11[[#Headers],[Spalte43]],Spielauswertung!$B573:$E573,0))+BD584)</f>
        <v>100</v>
      </c>
      <c r="BE585" s="1">
        <f>IF(IFERROR(MATCH(Tabelle11[[#Headers],[Spalte44]],Spielauswertung!$B573:$E573,0),0)=0,BE584,INDEX(Spielauswertung!$AB573:$AE573,MATCH(Tabelle11[[#Headers],[Spalte44]],Spielauswertung!$B573:$E573,0))+BE584)</f>
        <v>100</v>
      </c>
      <c r="BF585" s="1">
        <f>IF(IFERROR(MATCH(Tabelle11[[#Headers],[Spalte45]],Spielauswertung!$B573:$E573,0),0)=0,BF584,INDEX(Spielauswertung!$AB573:$AE573,MATCH(Tabelle11[[#Headers],[Spalte45]],Spielauswertung!$B573:$E573,0))+BF584)</f>
        <v>100</v>
      </c>
      <c r="BG585" s="1">
        <f>IF(IFERROR(MATCH(Tabelle11[[#Headers],[Spalte46]],Spielauswertung!$B573:$E573,0),0)=0,BG584,INDEX(Spielauswertung!$AB573:$AE573,MATCH(Tabelle11[[#Headers],[Spalte46]],Spielauswertung!$B573:$E573,0))+BG584)</f>
        <v>100</v>
      </c>
      <c r="BH585" s="1">
        <f>IF(IFERROR(MATCH(Tabelle11[[#Headers],[Spalte47]],Spielauswertung!$B573:$E573,0),0)=0,BH584,INDEX(Spielauswertung!$AB573:$AE573,MATCH(Tabelle11[[#Headers],[Spalte47]],Spielauswertung!$B573:$E573,0))+BH584)</f>
        <v>100</v>
      </c>
    </row>
    <row r="586" spans="1:60" x14ac:dyDescent="0.25">
      <c r="A586">
        <f t="shared" si="9"/>
        <v>573</v>
      </c>
      <c r="B586" s="1">
        <f>IF(IFERROR(MATCH(Tabelle11[[#Headers],[Aleix_V]],Spielauswertung!$B574:$E574,0),0)=0,B585,INDEX(Spielauswertung!$AB574:$AE574,MATCH(Tabelle11[[#Headers],[Aleix_V]],Spielauswertung!$B574:$E574,0))+B585)</f>
        <v>102.47318019444646</v>
      </c>
      <c r="C586" s="1">
        <f>IF(IFERROR(MATCH(Tabelle11[[#Headers],[Andres_H]],Spielauswertung!$B574:$E574,0),0)=0,C585,INDEX(Spielauswertung!$AB574:$AE574,MATCH(Tabelle11[[#Headers],[Andres_H]],Spielauswertung!$B574:$E574,0))+C585)</f>
        <v>95.535732339111306</v>
      </c>
      <c r="D586" s="1">
        <f>IF(IFERROR(MATCH(Tabelle11[[#Headers],[Anton_K]],Spielauswertung!$B574:$E574,0),0)=0,D585,INDEX(Spielauswertung!$AB574:$AE574,MATCH(Tabelle11[[#Headers],[Anton_K]],Spielauswertung!$B574:$E574,0))+D585)</f>
        <v>99.287728777054667</v>
      </c>
      <c r="E586" s="1">
        <f>IF(IFERROR(MATCH(Tabelle11[[#Headers],[Bastian_G]],Spielauswertung!$B574:$E574,0),0)=0,E585,INDEX(Spielauswertung!$AB574:$AE574,MATCH(Tabelle11[[#Headers],[Bastian_G]],Spielauswertung!$B574:$E574,0))+E585)</f>
        <v>117.49978695184252</v>
      </c>
      <c r="F586" s="1">
        <f>IF(IFERROR(MATCH(Tabelle11[[#Headers],[Ben_S]],Spielauswertung!$B574:$E574,0),0)=0,F585,INDEX(Spielauswertung!$AB574:$AE574,MATCH(Tabelle11[[#Headers],[Ben_S]],Spielauswertung!$B574:$E574,0))+F585)</f>
        <v>95.932799101521084</v>
      </c>
      <c r="G586" s="1">
        <f>IF(IFERROR(MATCH(Tabelle11[[#Headers],[Benedikt_K]],Spielauswertung!$B574:$E574,0),0)=0,G585,INDEX(Spielauswertung!$AB574:$AE574,MATCH(Tabelle11[[#Headers],[Benedikt_K]],Spielauswertung!$B574:$E574,0))+G585)</f>
        <v>101.20264176422626</v>
      </c>
      <c r="H586" s="1">
        <f>IF(IFERROR(MATCH(Tabelle11[[#Headers],[Benedikt_R]],Spielauswertung!$B574:$E574,0),0)=0,H585,INDEX(Spielauswertung!$AB574:$AE574,MATCH(Tabelle11[[#Headers],[Benedikt_R]],Spielauswertung!$B574:$E574,0))+H585)</f>
        <v>102.6264770510757</v>
      </c>
      <c r="I586" s="1">
        <f>IF(IFERROR(MATCH(Tabelle11[[#Headers],[Carsten_H]],Spielauswertung!$B574:$E574,0),0)=0,I585,INDEX(Spielauswertung!$AB574:$AE574,MATCH(Tabelle11[[#Headers],[Carsten_H]],Spielauswertung!$B574:$E574,0))+I585)</f>
        <v>90.817185094326874</v>
      </c>
      <c r="J586" s="1">
        <f>IF(IFERROR(MATCH(Tabelle11[[#Headers],[Christoph_R]],Spielauswertung!$B574:$E574,0),0)=0,J585,INDEX(Spielauswertung!$AB574:$AE574,MATCH(Tabelle11[[#Headers],[Christoph_R]],Spielauswertung!$B574:$E574,0))+J585)</f>
        <v>109.73261611443155</v>
      </c>
      <c r="K586" s="1">
        <f>IF(IFERROR(MATCH(Tabelle11[[#Headers],[Claudius_J]],Spielauswertung!$B574:$E574,0),0)=0,K585,INDEX(Spielauswertung!$AB574:$AE574,MATCH(Tabelle11[[#Headers],[Claudius_J]],Spielauswertung!$B574:$E574,0))+K585)</f>
        <v>106.16590636000029</v>
      </c>
      <c r="L586" s="1">
        <f>IF(IFERROR(MATCH(Tabelle11[[#Headers],[Daniel_D]],Spielauswertung!$B574:$E574,0),0)=0,L585,INDEX(Spielauswertung!$AB574:$AE574,MATCH(Tabelle11[[#Headers],[Daniel_D]],Spielauswertung!$B574:$E574,0))+L585)</f>
        <v>99.990299180470089</v>
      </c>
      <c r="M586" s="1">
        <f>IF(IFERROR(MATCH(Tabelle11[[#Headers],[David_R]],Spielauswertung!$B574:$E574,0),0)=0,M585,INDEX(Spielauswertung!$AB574:$AE574,MATCH(Tabelle11[[#Headers],[David_R]],Spielauswertung!$B574:$E574,0))+M585)</f>
        <v>96.715943522481638</v>
      </c>
      <c r="N586" s="1">
        <f>IF(IFERROR(MATCH(Tabelle11[[#Headers],[Dennis_P]],Spielauswertung!$B574:$E574,0),0)=0,N585,INDEX(Spielauswertung!$AB574:$AE574,MATCH(Tabelle11[[#Headers],[Dennis_P]],Spielauswertung!$B574:$E574,0))+N585)</f>
        <v>100.04773223105254</v>
      </c>
      <c r="O586" s="1">
        <f>IF(IFERROR(MATCH(Tabelle11[[#Headers],[Dennis_R]],Spielauswertung!$B574:$E574,0),0)=0,O585,INDEX(Spielauswertung!$AB574:$AE574,MATCH(Tabelle11[[#Headers],[Dennis_R]],Spielauswertung!$B574:$E574,0))+O585)</f>
        <v>75.131680864937195</v>
      </c>
      <c r="P586" s="1">
        <f>IF(IFERROR(MATCH(Tabelle11[[#Headers],[Detlef_R]],Spielauswertung!$B574:$E574,0),0)=0,P585,INDEX(Spielauswertung!$AB574:$AE574,MATCH(Tabelle11[[#Headers],[Detlef_R]],Spielauswertung!$B574:$E574,0))+P585)</f>
        <v>87.984671797367014</v>
      </c>
      <c r="Q586" s="1">
        <f>IF(IFERROR(MATCH(Tabelle11[[#Headers],[Dmitrij_M]],Spielauswertung!$B574:$E574,0),0)=0,Q585,INDEX(Spielauswertung!$AB574:$AE574,MATCH(Tabelle11[[#Headers],[Dmitrij_M]],Spielauswertung!$B574:$E574,0))+Q585)</f>
        <v>100.69975721846207</v>
      </c>
      <c r="R586" s="1">
        <f>IF(IFERROR(MATCH(Tabelle11[[#Headers],[Fabian_M]],Spielauswertung!$B574:$E574,0),0)=0,R585,INDEX(Spielauswertung!$AB574:$AE574,MATCH(Tabelle11[[#Headers],[Fabian_M]],Spielauswertung!$B574:$E574,0))+R585)</f>
        <v>95.805387841610738</v>
      </c>
      <c r="S586" s="1">
        <f>IF(IFERROR(MATCH(Tabelle11[[#Headers],[Hannes_S]],Spielauswertung!$B574:$E574,0),0)=0,S585,INDEX(Spielauswertung!$AB574:$AE574,MATCH(Tabelle11[[#Headers],[Hannes_S]],Spielauswertung!$B574:$E574,0))+S585)</f>
        <v>104.83899184012799</v>
      </c>
      <c r="T586" s="1">
        <f>IF(IFERROR(MATCH(Tabelle11[[#Headers],[Jan_B]],Spielauswertung!$B574:$E574,0),0)=0,T585,INDEX(Spielauswertung!$AB574:$AE574,MATCH(Tabelle11[[#Headers],[Jan_B]],Spielauswertung!$B574:$E574,0))+T585)</f>
        <v>100.2794420429173</v>
      </c>
      <c r="U586" s="1">
        <f>IF(IFERROR(MATCH(Tabelle11[[#Headers],[Jan_Hendrik_B]],Spielauswertung!$B574:$E574,0),0)=0,U585,INDEX(Spielauswertung!$AB574:$AE574,MATCH(Tabelle11[[#Headers],[Jan_Hendrik_B]],Spielauswertung!$B574:$E574,0))+U585)</f>
        <v>100.75492416935522</v>
      </c>
      <c r="V586" s="1">
        <f>IF(IFERROR(MATCH(Tabelle11[[#Headers],[Jens_N]],Spielauswertung!$B574:$E574,0),0)=0,V585,INDEX(Spielauswertung!$AB574:$AE574,MATCH(Tabelle11[[#Headers],[Jens_N]],Spielauswertung!$B574:$E574,0))+V585)</f>
        <v>99.643534710196832</v>
      </c>
      <c r="W586" s="1">
        <f>IF(IFERROR(MATCH(Tabelle11[[#Headers],[Johannes_S]],Spielauswertung!$B574:$E574,0),0)=0,W585,INDEX(Spielauswertung!$AB574:$AE574,MATCH(Tabelle11[[#Headers],[Johannes_S]],Spielauswertung!$B574:$E574,0))+W585)</f>
        <v>102.20284750979505</v>
      </c>
      <c r="X586" s="1">
        <f>IF(IFERROR(MATCH(Tabelle11[[#Headers],[Jonathan_F]],Spielauswertung!$B574:$E574,0),0)=0,X585,INDEX(Spielauswertung!$AB574:$AE574,MATCH(Tabelle11[[#Headers],[Jonathan_F]],Spielauswertung!$B574:$E574,0))+X585)</f>
        <v>98.938308797866256</v>
      </c>
      <c r="Y586" s="1">
        <f>IF(IFERROR(MATCH(Tabelle11[[#Headers],[Julius_P]],Spielauswertung!$B574:$E574,0),0)=0,Y585,INDEX(Spielauswertung!$AB574:$AE574,MATCH(Tabelle11[[#Headers],[Julius_P]],Spielauswertung!$B574:$E574,0))+Y585)</f>
        <v>96.540305101873642</v>
      </c>
      <c r="Z586" s="1">
        <f>IF(IFERROR(MATCH(Tabelle11[[#Headers],[Louis_W]],Spielauswertung!$B574:$E574,0),0)=0,Z585,INDEX(Spielauswertung!$AB574:$AE574,MATCH(Tabelle11[[#Headers],[Louis_W]],Spielauswertung!$B574:$E574,0))+Z585)</f>
        <v>87.497452285475362</v>
      </c>
      <c r="AA586" s="1">
        <f>IF(IFERROR(MATCH(Tabelle11[[#Headers],[Lukas_L]],Spielauswertung!$B574:$E574,0),0)=0,AA585,INDEX(Spielauswertung!$AB574:$AE574,MATCH(Tabelle11[[#Headers],[Lukas_L]],Spielauswertung!$B574:$E574,0))+AA585)</f>
        <v>98.447931341404143</v>
      </c>
      <c r="AB586" s="1">
        <f>IF(IFERROR(MATCH(Tabelle11[[#Headers],[Marcin_S]],Spielauswertung!$B574:$E574,0),0)=0,AB585,INDEX(Spielauswertung!$AB574:$AE574,MATCH(Tabelle11[[#Headers],[Marcin_S]],Spielauswertung!$B574:$E574,0))+AB585)</f>
        <v>85.463329105556824</v>
      </c>
      <c r="AC586" s="1">
        <f>IF(IFERROR(MATCH(Tabelle11[[#Headers],[Marco_K]],Spielauswertung!$B574:$E574,0),0)=0,AC585,INDEX(Spielauswertung!$AB574:$AE574,MATCH(Tabelle11[[#Headers],[Marco_K]],Spielauswertung!$B574:$E574,0))+AC585)</f>
        <v>102.12169819441469</v>
      </c>
      <c r="AD586" s="1">
        <f>IF(IFERROR(MATCH(Tabelle11[[#Headers],[Marius_M]],Spielauswertung!$B574:$E574,0),0)=0,AD585,INDEX(Spielauswertung!$AB574:$AE574,MATCH(Tabelle11[[#Headers],[Marius_M]],Spielauswertung!$B574:$E574,0))+AD585)</f>
        <v>124.54012374585781</v>
      </c>
      <c r="AE586" s="1">
        <f>IF(IFERROR(MATCH(Tabelle11[[#Headers],[Marvin_W]],Spielauswertung!$B574:$E574,0),0)=0,AE585,INDEX(Spielauswertung!$AB574:$AE574,MATCH(Tabelle11[[#Headers],[Marvin_W]],Spielauswertung!$B574:$E574,0))+AE585)</f>
        <v>96.700266280577438</v>
      </c>
      <c r="AF586" s="1">
        <f>IF(IFERROR(MATCH(Tabelle11[[#Headers],[Matthias_H]],Spielauswertung!$B574:$E574,0),0)=0,AF585,INDEX(Spielauswertung!$AB574:$AE574,MATCH(Tabelle11[[#Headers],[Matthias_H]],Spielauswertung!$B574:$E574,0))+AF585)</f>
        <v>105.42130178599372</v>
      </c>
      <c r="AG586" s="1">
        <f>IF(IFERROR(MATCH(Tabelle11[[#Headers],[Michael_D]],Spielauswertung!$B574:$E574,0),0)=0,AG585,INDEX(Spielauswertung!$AB574:$AE574,MATCH(Tabelle11[[#Headers],[Michael_D]],Spielauswertung!$B574:$E574,0))+AG585)</f>
        <v>96.436276170375336</v>
      </c>
      <c r="AH586" s="1">
        <f>IF(IFERROR(MATCH(Tabelle11[[#Headers],[Patrick_S]],Spielauswertung!$B574:$E574,0),0)=0,AH585,INDEX(Spielauswertung!$AB574:$AE574,MATCH(Tabelle11[[#Headers],[Patrick_S]],Spielauswertung!$B574:$E574,0))+AH585)</f>
        <v>98.975330692053802</v>
      </c>
      <c r="AI586" s="1">
        <f>IF(IFERROR(MATCH(Tabelle11[[#Headers],[Rano_M]],Spielauswertung!$B574:$E574,0),0)=0,AI585,INDEX(Spielauswertung!$AB574:$AE574,MATCH(Tabelle11[[#Headers],[Rano_M]],Spielauswertung!$B574:$E574,0))+AI585)</f>
        <v>109.38890657420265</v>
      </c>
      <c r="AJ586" s="1">
        <f>IF(IFERROR(MATCH(Tabelle11[[#Headers],[Rene_N]],Spielauswertung!$B574:$E574,0),0)=0,AJ585,INDEX(Spielauswertung!$AB574:$AE574,MATCH(Tabelle11[[#Headers],[Rene_N]],Spielauswertung!$B574:$E574,0))+AJ585)</f>
        <v>101.06482124619033</v>
      </c>
      <c r="AK586" s="1">
        <f>IF(IFERROR(MATCH(Tabelle11[[#Headers],[Rene_P]],Spielauswertung!$B574:$E574,0),0)=0,AK585,INDEX(Spielauswertung!$AB574:$AE574,MATCH(Tabelle11[[#Headers],[Rene_P]],Spielauswertung!$B574:$E574,0))+AK585)</f>
        <v>88.762543186332877</v>
      </c>
      <c r="AL586" s="1">
        <f>IF(IFERROR(MATCH(Tabelle11[[#Headers],[Richard_D]],Spielauswertung!$B574:$E574,0),0)=0,AL585,INDEX(Spielauswertung!$AB574:$AE574,MATCH(Tabelle11[[#Headers],[Richard_D]],Spielauswertung!$B574:$E574,0))+AL585)</f>
        <v>107.23233592026223</v>
      </c>
      <c r="AM586" s="1">
        <f>IF(IFERROR(MATCH(Tabelle11[[#Headers],[Rodrigo_R]],Spielauswertung!$B574:$E574,0),0)=0,AM585,INDEX(Spielauswertung!$AB574:$AE574,MATCH(Tabelle11[[#Headers],[Rodrigo_R]],Spielauswertung!$B574:$E574,0))+AM585)</f>
        <v>116.7028707921346</v>
      </c>
      <c r="AN586" s="1">
        <f>IF(IFERROR(MATCH(Tabelle11[[#Headers],[Sebastian_A]],Spielauswertung!$B574:$E574,0),0)=0,AN585,INDEX(Spielauswertung!$AB574:$AE574,MATCH(Tabelle11[[#Headers],[Sebastian_A]],Spielauswertung!$B574:$E574,0))+AN585)</f>
        <v>102.89457418671324</v>
      </c>
      <c r="AO586" s="1">
        <f>IF(IFERROR(MATCH(Tabelle11[[#Headers],[Sebastian_St]],Spielauswertung!$B574:$E574,0),0)=0,AO585,INDEX(Spielauswertung!$AB574:$AE574,MATCH(Tabelle11[[#Headers],[Sebastian_St]],Spielauswertung!$B574:$E574,0))+AO585)</f>
        <v>97.749574367408982</v>
      </c>
      <c r="AP586" s="1">
        <f>IF(IFERROR(MATCH(Tabelle11[[#Headers],[Simon_U]],Spielauswertung!$B574:$E574,0),0)=0,AP585,INDEX(Spielauswertung!$AB574:$AE574,MATCH(Tabelle11[[#Headers],[Simon_U]],Spielauswertung!$B574:$E574,0))+AP585)</f>
        <v>99.623054841470903</v>
      </c>
      <c r="AQ586" s="1">
        <f>IF(IFERROR(MATCH(Tabelle11[[#Headers],[Steffen_R]],Spielauswertung!$B574:$E574,0),0)=0,AQ585,INDEX(Spielauswertung!$AB574:$AE574,MATCH(Tabelle11[[#Headers],[Steffen_R]],Spielauswertung!$B574:$E574,0))+AQ585)</f>
        <v>93.247497067190949</v>
      </c>
      <c r="AR586" s="1">
        <f>IF(IFERROR(MATCH(Tabelle11[[#Headers],[Tim_R]],Spielauswertung!$B574:$E574,0),0)=0,AR585,INDEX(Spielauswertung!$AB574:$AE574,MATCH(Tabelle11[[#Headers],[Tim_R]],Spielauswertung!$B574:$E574,0))+AR585)</f>
        <v>103.07503787023374</v>
      </c>
      <c r="AS586" s="1">
        <f>IF(IFERROR(MATCH(Tabelle11[[#Headers],[Tobias_S]],Spielauswertung!$B574:$E574,0),0)=0,AS585,INDEX(Spielauswertung!$AB574:$AE574,MATCH(Tabelle11[[#Headers],[Tobias_S]],Spielauswertung!$B574:$E574,0))+AS585)</f>
        <v>98.6003422659997</v>
      </c>
      <c r="AT586" s="1">
        <f>IF(IFERROR(MATCH(Tabelle11[[#Headers],[Tom_R]],Spielauswertung!$B574:$E574,0),0)=0,AT585,INDEX(Spielauswertung!$AB574:$AE574,MATCH(Tabelle11[[#Headers],[Tom_R]],Spielauswertung!$B574:$E574,0))+AT585)</f>
        <v>112.62344492949197</v>
      </c>
      <c r="AU586" s="1">
        <f>IF(IFERROR(MATCH(Tabelle11[[#Headers],[Ton_L]],Spielauswertung!$B574:$E574,0),0)=0,AU585,INDEX(Spielauswertung!$AB574:$AE574,MATCH(Tabelle11[[#Headers],[Ton_L]],Spielauswertung!$B574:$E574,0))+AU585)</f>
        <v>92.683083360025861</v>
      </c>
      <c r="AV586" s="1">
        <f>IF(IFERROR(MATCH(Tabelle11[[#Headers],[Yixin_G]],Spielauswertung!$B574:$E574,0),0)=0,AV585,INDEX(Spielauswertung!$AB574:$AE574,MATCH(Tabelle11[[#Headers],[Yixin_G]],Spielauswertung!$B574:$E574,0))+AV585)</f>
        <v>99.900323214082661</v>
      </c>
      <c r="AW586" s="1">
        <f>IF(IFERROR(MATCH(Tabelle11[[#Headers],[Spalte36]],Spielauswertung!$B574:$E574,0),0)=0,AW585,INDEX(Spielauswertung!$AB574:$AE574,MATCH(Tabelle11[[#Headers],[Spalte36]],Spielauswertung!$B574:$E574,0))+AW585)</f>
        <v>100</v>
      </c>
      <c r="AX586" s="1">
        <f>IF(IFERROR(MATCH(Tabelle11[[#Headers],[Spalte37]],Spielauswertung!$B574:$E574,0),0)=0,AX585,INDEX(Spielauswertung!$AB574:$AE574,MATCH(Tabelle11[[#Headers],[Spalte37]],Spielauswertung!$B574:$E574,0))+AX585)</f>
        <v>100</v>
      </c>
      <c r="AY586" s="1">
        <f>IF(IFERROR(MATCH(Tabelle11[[#Headers],[Spalte38]],Spielauswertung!$B574:$E574,0),0)=0,AY585,INDEX(Spielauswertung!$AB574:$AE574,MATCH(Tabelle11[[#Headers],[Spalte38]],Spielauswertung!$B574:$E574,0))+AY585)</f>
        <v>100</v>
      </c>
      <c r="AZ586" s="1">
        <f>IF(IFERROR(MATCH(Tabelle11[[#Headers],[Spalte39]],Spielauswertung!$B574:$E574,0),0)=0,AZ585,INDEX(Spielauswertung!$AB574:$AE574,MATCH(Tabelle11[[#Headers],[Spalte39]],Spielauswertung!$B574:$E574,0))+AZ585)</f>
        <v>100</v>
      </c>
      <c r="BA586" s="1">
        <f>IF(IFERROR(MATCH(Tabelle11[[#Headers],[Spalte40]],Spielauswertung!$B574:$E574,0),0)=0,BA585,INDEX(Spielauswertung!$AB574:$AE574,MATCH(Tabelle11[[#Headers],[Spalte40]],Spielauswertung!$B574:$E574,0))+BA585)</f>
        <v>100</v>
      </c>
      <c r="BB586" s="1">
        <f>IF(IFERROR(MATCH(Tabelle11[[#Headers],[Spalte41]],Spielauswertung!$B574:$E574,0),0)=0,BB585,INDEX(Spielauswertung!$AB574:$AE574,MATCH(Tabelle11[[#Headers],[Spalte41]],Spielauswertung!$B574:$E574,0))+BB585)</f>
        <v>100</v>
      </c>
      <c r="BC586" s="1">
        <f>IF(IFERROR(MATCH(Tabelle11[[#Headers],[Spalte42]],Spielauswertung!$B574:$E574,0),0)=0,BC585,INDEX(Spielauswertung!$AB574:$AE574,MATCH(Tabelle11[[#Headers],[Spalte42]],Spielauswertung!$B574:$E574,0))+BC585)</f>
        <v>100</v>
      </c>
      <c r="BD586" s="1">
        <f>IF(IFERROR(MATCH(Tabelle11[[#Headers],[Spalte43]],Spielauswertung!$B574:$E574,0),0)=0,BD585,INDEX(Spielauswertung!$AB574:$AE574,MATCH(Tabelle11[[#Headers],[Spalte43]],Spielauswertung!$B574:$E574,0))+BD585)</f>
        <v>100</v>
      </c>
      <c r="BE586" s="1">
        <f>IF(IFERROR(MATCH(Tabelle11[[#Headers],[Spalte44]],Spielauswertung!$B574:$E574,0),0)=0,BE585,INDEX(Spielauswertung!$AB574:$AE574,MATCH(Tabelle11[[#Headers],[Spalte44]],Spielauswertung!$B574:$E574,0))+BE585)</f>
        <v>100</v>
      </c>
      <c r="BF586" s="1">
        <f>IF(IFERROR(MATCH(Tabelle11[[#Headers],[Spalte45]],Spielauswertung!$B574:$E574,0),0)=0,BF585,INDEX(Spielauswertung!$AB574:$AE574,MATCH(Tabelle11[[#Headers],[Spalte45]],Spielauswertung!$B574:$E574,0))+BF585)</f>
        <v>100</v>
      </c>
      <c r="BG586" s="1">
        <f>IF(IFERROR(MATCH(Tabelle11[[#Headers],[Spalte46]],Spielauswertung!$B574:$E574,0),0)=0,BG585,INDEX(Spielauswertung!$AB574:$AE574,MATCH(Tabelle11[[#Headers],[Spalte46]],Spielauswertung!$B574:$E574,0))+BG585)</f>
        <v>100</v>
      </c>
      <c r="BH586" s="1">
        <f>IF(IFERROR(MATCH(Tabelle11[[#Headers],[Spalte47]],Spielauswertung!$B574:$E574,0),0)=0,BH585,INDEX(Spielauswertung!$AB574:$AE574,MATCH(Tabelle11[[#Headers],[Spalte47]],Spielauswertung!$B574:$E574,0))+BH585)</f>
        <v>100</v>
      </c>
    </row>
    <row r="587" spans="1:60" x14ac:dyDescent="0.25">
      <c r="A587">
        <f t="shared" si="9"/>
        <v>574</v>
      </c>
      <c r="B587" s="1">
        <f>IF(IFERROR(MATCH(Tabelle11[[#Headers],[Aleix_V]],Spielauswertung!$B575:$E575,0),0)=0,B586,INDEX(Spielauswertung!$AB575:$AE575,MATCH(Tabelle11[[#Headers],[Aleix_V]],Spielauswertung!$B575:$E575,0))+B586)</f>
        <v>102.47318019444646</v>
      </c>
      <c r="C587" s="1">
        <f>IF(IFERROR(MATCH(Tabelle11[[#Headers],[Andres_H]],Spielauswertung!$B575:$E575,0),0)=0,C586,INDEX(Spielauswertung!$AB575:$AE575,MATCH(Tabelle11[[#Headers],[Andres_H]],Spielauswertung!$B575:$E575,0))+C586)</f>
        <v>95.535732339111306</v>
      </c>
      <c r="D587" s="1">
        <f>IF(IFERROR(MATCH(Tabelle11[[#Headers],[Anton_K]],Spielauswertung!$B575:$E575,0),0)=0,D586,INDEX(Spielauswertung!$AB575:$AE575,MATCH(Tabelle11[[#Headers],[Anton_K]],Spielauswertung!$B575:$E575,0))+D586)</f>
        <v>99.287728777054667</v>
      </c>
      <c r="E587" s="1">
        <f>IF(IFERROR(MATCH(Tabelle11[[#Headers],[Bastian_G]],Spielauswertung!$B575:$E575,0),0)=0,E586,INDEX(Spielauswertung!$AB575:$AE575,MATCH(Tabelle11[[#Headers],[Bastian_G]],Spielauswertung!$B575:$E575,0))+E586)</f>
        <v>117.49978695184252</v>
      </c>
      <c r="F587" s="1">
        <f>IF(IFERROR(MATCH(Tabelle11[[#Headers],[Ben_S]],Spielauswertung!$B575:$E575,0),0)=0,F586,INDEX(Spielauswertung!$AB575:$AE575,MATCH(Tabelle11[[#Headers],[Ben_S]],Spielauswertung!$B575:$E575,0))+F586)</f>
        <v>95.932799101521084</v>
      </c>
      <c r="G587" s="1">
        <f>IF(IFERROR(MATCH(Tabelle11[[#Headers],[Benedikt_K]],Spielauswertung!$B575:$E575,0),0)=0,G586,INDEX(Spielauswertung!$AB575:$AE575,MATCH(Tabelle11[[#Headers],[Benedikt_K]],Spielauswertung!$B575:$E575,0))+G586)</f>
        <v>101.20264176422626</v>
      </c>
      <c r="H587" s="1">
        <f>IF(IFERROR(MATCH(Tabelle11[[#Headers],[Benedikt_R]],Spielauswertung!$B575:$E575,0),0)=0,H586,INDEX(Spielauswertung!$AB575:$AE575,MATCH(Tabelle11[[#Headers],[Benedikt_R]],Spielauswertung!$B575:$E575,0))+H586)</f>
        <v>102.6264770510757</v>
      </c>
      <c r="I587" s="1">
        <f>IF(IFERROR(MATCH(Tabelle11[[#Headers],[Carsten_H]],Spielauswertung!$B575:$E575,0),0)=0,I586,INDEX(Spielauswertung!$AB575:$AE575,MATCH(Tabelle11[[#Headers],[Carsten_H]],Spielauswertung!$B575:$E575,0))+I586)</f>
        <v>90.817185094326874</v>
      </c>
      <c r="J587" s="1">
        <f>IF(IFERROR(MATCH(Tabelle11[[#Headers],[Christoph_R]],Spielauswertung!$B575:$E575,0),0)=0,J586,INDEX(Spielauswertung!$AB575:$AE575,MATCH(Tabelle11[[#Headers],[Christoph_R]],Spielauswertung!$B575:$E575,0))+J586)</f>
        <v>109.73261611443155</v>
      </c>
      <c r="K587" s="1">
        <f>IF(IFERROR(MATCH(Tabelle11[[#Headers],[Claudius_J]],Spielauswertung!$B575:$E575,0),0)=0,K586,INDEX(Spielauswertung!$AB575:$AE575,MATCH(Tabelle11[[#Headers],[Claudius_J]],Spielauswertung!$B575:$E575,0))+K586)</f>
        <v>106.16590636000029</v>
      </c>
      <c r="L587" s="1">
        <f>IF(IFERROR(MATCH(Tabelle11[[#Headers],[Daniel_D]],Spielauswertung!$B575:$E575,0),0)=0,L586,INDEX(Spielauswertung!$AB575:$AE575,MATCH(Tabelle11[[#Headers],[Daniel_D]],Spielauswertung!$B575:$E575,0))+L586)</f>
        <v>99.990299180470089</v>
      </c>
      <c r="M587" s="1">
        <f>IF(IFERROR(MATCH(Tabelle11[[#Headers],[David_R]],Spielauswertung!$B575:$E575,0),0)=0,M586,INDEX(Spielauswertung!$AB575:$AE575,MATCH(Tabelle11[[#Headers],[David_R]],Spielauswertung!$B575:$E575,0))+M586)</f>
        <v>96.715943522481638</v>
      </c>
      <c r="N587" s="1">
        <f>IF(IFERROR(MATCH(Tabelle11[[#Headers],[Dennis_P]],Spielauswertung!$B575:$E575,0),0)=0,N586,INDEX(Spielauswertung!$AB575:$AE575,MATCH(Tabelle11[[#Headers],[Dennis_P]],Spielauswertung!$B575:$E575,0))+N586)</f>
        <v>100.04773223105254</v>
      </c>
      <c r="O587" s="1">
        <f>IF(IFERROR(MATCH(Tabelle11[[#Headers],[Dennis_R]],Spielauswertung!$B575:$E575,0),0)=0,O586,INDEX(Spielauswertung!$AB575:$AE575,MATCH(Tabelle11[[#Headers],[Dennis_R]],Spielauswertung!$B575:$E575,0))+O586)</f>
        <v>75.131680864937195</v>
      </c>
      <c r="P587" s="1">
        <f>IF(IFERROR(MATCH(Tabelle11[[#Headers],[Detlef_R]],Spielauswertung!$B575:$E575,0),0)=0,P586,INDEX(Spielauswertung!$AB575:$AE575,MATCH(Tabelle11[[#Headers],[Detlef_R]],Spielauswertung!$B575:$E575,0))+P586)</f>
        <v>87.984671797367014</v>
      </c>
      <c r="Q587" s="1">
        <f>IF(IFERROR(MATCH(Tabelle11[[#Headers],[Dmitrij_M]],Spielauswertung!$B575:$E575,0),0)=0,Q586,INDEX(Spielauswertung!$AB575:$AE575,MATCH(Tabelle11[[#Headers],[Dmitrij_M]],Spielauswertung!$B575:$E575,0))+Q586)</f>
        <v>100.69975721846207</v>
      </c>
      <c r="R587" s="1">
        <f>IF(IFERROR(MATCH(Tabelle11[[#Headers],[Fabian_M]],Spielauswertung!$B575:$E575,0),0)=0,R586,INDEX(Spielauswertung!$AB575:$AE575,MATCH(Tabelle11[[#Headers],[Fabian_M]],Spielauswertung!$B575:$E575,0))+R586)</f>
        <v>95.805387841610738</v>
      </c>
      <c r="S587" s="1">
        <f>IF(IFERROR(MATCH(Tabelle11[[#Headers],[Hannes_S]],Spielauswertung!$B575:$E575,0),0)=0,S586,INDEX(Spielauswertung!$AB575:$AE575,MATCH(Tabelle11[[#Headers],[Hannes_S]],Spielauswertung!$B575:$E575,0))+S586)</f>
        <v>104.83899184012799</v>
      </c>
      <c r="T587" s="1">
        <f>IF(IFERROR(MATCH(Tabelle11[[#Headers],[Jan_B]],Spielauswertung!$B575:$E575,0),0)=0,T586,INDEX(Spielauswertung!$AB575:$AE575,MATCH(Tabelle11[[#Headers],[Jan_B]],Spielauswertung!$B575:$E575,0))+T586)</f>
        <v>100.2794420429173</v>
      </c>
      <c r="U587" s="1">
        <f>IF(IFERROR(MATCH(Tabelle11[[#Headers],[Jan_Hendrik_B]],Spielauswertung!$B575:$E575,0),0)=0,U586,INDEX(Spielauswertung!$AB575:$AE575,MATCH(Tabelle11[[#Headers],[Jan_Hendrik_B]],Spielauswertung!$B575:$E575,0))+U586)</f>
        <v>100.75492416935522</v>
      </c>
      <c r="V587" s="1">
        <f>IF(IFERROR(MATCH(Tabelle11[[#Headers],[Jens_N]],Spielauswertung!$B575:$E575,0),0)=0,V586,INDEX(Spielauswertung!$AB575:$AE575,MATCH(Tabelle11[[#Headers],[Jens_N]],Spielauswertung!$B575:$E575,0))+V586)</f>
        <v>99.643534710196832</v>
      </c>
      <c r="W587" s="1">
        <f>IF(IFERROR(MATCH(Tabelle11[[#Headers],[Johannes_S]],Spielauswertung!$B575:$E575,0),0)=0,W586,INDEX(Spielauswertung!$AB575:$AE575,MATCH(Tabelle11[[#Headers],[Johannes_S]],Spielauswertung!$B575:$E575,0))+W586)</f>
        <v>102.20284750979505</v>
      </c>
      <c r="X587" s="1">
        <f>IF(IFERROR(MATCH(Tabelle11[[#Headers],[Jonathan_F]],Spielauswertung!$B575:$E575,0),0)=0,X586,INDEX(Spielauswertung!$AB575:$AE575,MATCH(Tabelle11[[#Headers],[Jonathan_F]],Spielauswertung!$B575:$E575,0))+X586)</f>
        <v>98.938308797866256</v>
      </c>
      <c r="Y587" s="1">
        <f>IF(IFERROR(MATCH(Tabelle11[[#Headers],[Julius_P]],Spielauswertung!$B575:$E575,0),0)=0,Y586,INDEX(Spielauswertung!$AB575:$AE575,MATCH(Tabelle11[[#Headers],[Julius_P]],Spielauswertung!$B575:$E575,0))+Y586)</f>
        <v>96.540305101873642</v>
      </c>
      <c r="Z587" s="1">
        <f>IF(IFERROR(MATCH(Tabelle11[[#Headers],[Louis_W]],Spielauswertung!$B575:$E575,0),0)=0,Z586,INDEX(Spielauswertung!$AB575:$AE575,MATCH(Tabelle11[[#Headers],[Louis_W]],Spielauswertung!$B575:$E575,0))+Z586)</f>
        <v>87.497452285475362</v>
      </c>
      <c r="AA587" s="1">
        <f>IF(IFERROR(MATCH(Tabelle11[[#Headers],[Lukas_L]],Spielauswertung!$B575:$E575,0),0)=0,AA586,INDEX(Spielauswertung!$AB575:$AE575,MATCH(Tabelle11[[#Headers],[Lukas_L]],Spielauswertung!$B575:$E575,0))+AA586)</f>
        <v>98.447931341404143</v>
      </c>
      <c r="AB587" s="1">
        <f>IF(IFERROR(MATCH(Tabelle11[[#Headers],[Marcin_S]],Spielauswertung!$B575:$E575,0),0)=0,AB586,INDEX(Spielauswertung!$AB575:$AE575,MATCH(Tabelle11[[#Headers],[Marcin_S]],Spielauswertung!$B575:$E575,0))+AB586)</f>
        <v>85.463329105556824</v>
      </c>
      <c r="AC587" s="1">
        <f>IF(IFERROR(MATCH(Tabelle11[[#Headers],[Marco_K]],Spielauswertung!$B575:$E575,0),0)=0,AC586,INDEX(Spielauswertung!$AB575:$AE575,MATCH(Tabelle11[[#Headers],[Marco_K]],Spielauswertung!$B575:$E575,0))+AC586)</f>
        <v>102.12169819441469</v>
      </c>
      <c r="AD587" s="1">
        <f>IF(IFERROR(MATCH(Tabelle11[[#Headers],[Marius_M]],Spielauswertung!$B575:$E575,0),0)=0,AD586,INDEX(Spielauswertung!$AB575:$AE575,MATCH(Tabelle11[[#Headers],[Marius_M]],Spielauswertung!$B575:$E575,0))+AD586)</f>
        <v>124.54012374585781</v>
      </c>
      <c r="AE587" s="1">
        <f>IF(IFERROR(MATCH(Tabelle11[[#Headers],[Marvin_W]],Spielauswertung!$B575:$E575,0),0)=0,AE586,INDEX(Spielauswertung!$AB575:$AE575,MATCH(Tabelle11[[#Headers],[Marvin_W]],Spielauswertung!$B575:$E575,0))+AE586)</f>
        <v>96.700266280577438</v>
      </c>
      <c r="AF587" s="1">
        <f>IF(IFERROR(MATCH(Tabelle11[[#Headers],[Matthias_H]],Spielauswertung!$B575:$E575,0),0)=0,AF586,INDEX(Spielauswertung!$AB575:$AE575,MATCH(Tabelle11[[#Headers],[Matthias_H]],Spielauswertung!$B575:$E575,0))+AF586)</f>
        <v>105.42130178599372</v>
      </c>
      <c r="AG587" s="1">
        <f>IF(IFERROR(MATCH(Tabelle11[[#Headers],[Michael_D]],Spielauswertung!$B575:$E575,0),0)=0,AG586,INDEX(Spielauswertung!$AB575:$AE575,MATCH(Tabelle11[[#Headers],[Michael_D]],Spielauswertung!$B575:$E575,0))+AG586)</f>
        <v>96.436276170375336</v>
      </c>
      <c r="AH587" s="1">
        <f>IF(IFERROR(MATCH(Tabelle11[[#Headers],[Patrick_S]],Spielauswertung!$B575:$E575,0),0)=0,AH586,INDEX(Spielauswertung!$AB575:$AE575,MATCH(Tabelle11[[#Headers],[Patrick_S]],Spielauswertung!$B575:$E575,0))+AH586)</f>
        <v>98.975330692053802</v>
      </c>
      <c r="AI587" s="1">
        <f>IF(IFERROR(MATCH(Tabelle11[[#Headers],[Rano_M]],Spielauswertung!$B575:$E575,0),0)=0,AI586,INDEX(Spielauswertung!$AB575:$AE575,MATCH(Tabelle11[[#Headers],[Rano_M]],Spielauswertung!$B575:$E575,0))+AI586)</f>
        <v>109.38890657420265</v>
      </c>
      <c r="AJ587" s="1">
        <f>IF(IFERROR(MATCH(Tabelle11[[#Headers],[Rene_N]],Spielauswertung!$B575:$E575,0),0)=0,AJ586,INDEX(Spielauswertung!$AB575:$AE575,MATCH(Tabelle11[[#Headers],[Rene_N]],Spielauswertung!$B575:$E575,0))+AJ586)</f>
        <v>101.06482124619033</v>
      </c>
      <c r="AK587" s="1">
        <f>IF(IFERROR(MATCH(Tabelle11[[#Headers],[Rene_P]],Spielauswertung!$B575:$E575,0),0)=0,AK586,INDEX(Spielauswertung!$AB575:$AE575,MATCH(Tabelle11[[#Headers],[Rene_P]],Spielauswertung!$B575:$E575,0))+AK586)</f>
        <v>88.762543186332877</v>
      </c>
      <c r="AL587" s="1">
        <f>IF(IFERROR(MATCH(Tabelle11[[#Headers],[Richard_D]],Spielauswertung!$B575:$E575,0),0)=0,AL586,INDEX(Spielauswertung!$AB575:$AE575,MATCH(Tabelle11[[#Headers],[Richard_D]],Spielauswertung!$B575:$E575,0))+AL586)</f>
        <v>107.23233592026223</v>
      </c>
      <c r="AM587" s="1">
        <f>IF(IFERROR(MATCH(Tabelle11[[#Headers],[Rodrigo_R]],Spielauswertung!$B575:$E575,0),0)=0,AM586,INDEX(Spielauswertung!$AB575:$AE575,MATCH(Tabelle11[[#Headers],[Rodrigo_R]],Spielauswertung!$B575:$E575,0))+AM586)</f>
        <v>116.7028707921346</v>
      </c>
      <c r="AN587" s="1">
        <f>IF(IFERROR(MATCH(Tabelle11[[#Headers],[Sebastian_A]],Spielauswertung!$B575:$E575,0),0)=0,AN586,INDEX(Spielauswertung!$AB575:$AE575,MATCH(Tabelle11[[#Headers],[Sebastian_A]],Spielauswertung!$B575:$E575,0))+AN586)</f>
        <v>102.89457418671324</v>
      </c>
      <c r="AO587" s="1">
        <f>IF(IFERROR(MATCH(Tabelle11[[#Headers],[Sebastian_St]],Spielauswertung!$B575:$E575,0),0)=0,AO586,INDEX(Spielauswertung!$AB575:$AE575,MATCH(Tabelle11[[#Headers],[Sebastian_St]],Spielauswertung!$B575:$E575,0))+AO586)</f>
        <v>97.749574367408982</v>
      </c>
      <c r="AP587" s="1">
        <f>IF(IFERROR(MATCH(Tabelle11[[#Headers],[Simon_U]],Spielauswertung!$B575:$E575,0),0)=0,AP586,INDEX(Spielauswertung!$AB575:$AE575,MATCH(Tabelle11[[#Headers],[Simon_U]],Spielauswertung!$B575:$E575,0))+AP586)</f>
        <v>99.623054841470903</v>
      </c>
      <c r="AQ587" s="1">
        <f>IF(IFERROR(MATCH(Tabelle11[[#Headers],[Steffen_R]],Spielauswertung!$B575:$E575,0),0)=0,AQ586,INDEX(Spielauswertung!$AB575:$AE575,MATCH(Tabelle11[[#Headers],[Steffen_R]],Spielauswertung!$B575:$E575,0))+AQ586)</f>
        <v>93.247497067190949</v>
      </c>
      <c r="AR587" s="1">
        <f>IF(IFERROR(MATCH(Tabelle11[[#Headers],[Tim_R]],Spielauswertung!$B575:$E575,0),0)=0,AR586,INDEX(Spielauswertung!$AB575:$AE575,MATCH(Tabelle11[[#Headers],[Tim_R]],Spielauswertung!$B575:$E575,0))+AR586)</f>
        <v>103.07503787023374</v>
      </c>
      <c r="AS587" s="1">
        <f>IF(IFERROR(MATCH(Tabelle11[[#Headers],[Tobias_S]],Spielauswertung!$B575:$E575,0),0)=0,AS586,INDEX(Spielauswertung!$AB575:$AE575,MATCH(Tabelle11[[#Headers],[Tobias_S]],Spielauswertung!$B575:$E575,0))+AS586)</f>
        <v>98.6003422659997</v>
      </c>
      <c r="AT587" s="1">
        <f>IF(IFERROR(MATCH(Tabelle11[[#Headers],[Tom_R]],Spielauswertung!$B575:$E575,0),0)=0,AT586,INDEX(Spielauswertung!$AB575:$AE575,MATCH(Tabelle11[[#Headers],[Tom_R]],Spielauswertung!$B575:$E575,0))+AT586)</f>
        <v>112.62344492949197</v>
      </c>
      <c r="AU587" s="1">
        <f>IF(IFERROR(MATCH(Tabelle11[[#Headers],[Ton_L]],Spielauswertung!$B575:$E575,0),0)=0,AU586,INDEX(Spielauswertung!$AB575:$AE575,MATCH(Tabelle11[[#Headers],[Ton_L]],Spielauswertung!$B575:$E575,0))+AU586)</f>
        <v>92.683083360025861</v>
      </c>
      <c r="AV587" s="1">
        <f>IF(IFERROR(MATCH(Tabelle11[[#Headers],[Yixin_G]],Spielauswertung!$B575:$E575,0),0)=0,AV586,INDEX(Spielauswertung!$AB575:$AE575,MATCH(Tabelle11[[#Headers],[Yixin_G]],Spielauswertung!$B575:$E575,0))+AV586)</f>
        <v>99.900323214082661</v>
      </c>
      <c r="AW587" s="1">
        <f>IF(IFERROR(MATCH(Tabelle11[[#Headers],[Spalte36]],Spielauswertung!$B575:$E575,0),0)=0,AW586,INDEX(Spielauswertung!$AB575:$AE575,MATCH(Tabelle11[[#Headers],[Spalte36]],Spielauswertung!$B575:$E575,0))+AW586)</f>
        <v>100</v>
      </c>
      <c r="AX587" s="1">
        <f>IF(IFERROR(MATCH(Tabelle11[[#Headers],[Spalte37]],Spielauswertung!$B575:$E575,0),0)=0,AX586,INDEX(Spielauswertung!$AB575:$AE575,MATCH(Tabelle11[[#Headers],[Spalte37]],Spielauswertung!$B575:$E575,0))+AX586)</f>
        <v>100</v>
      </c>
      <c r="AY587" s="1">
        <f>IF(IFERROR(MATCH(Tabelle11[[#Headers],[Spalte38]],Spielauswertung!$B575:$E575,0),0)=0,AY586,INDEX(Spielauswertung!$AB575:$AE575,MATCH(Tabelle11[[#Headers],[Spalte38]],Spielauswertung!$B575:$E575,0))+AY586)</f>
        <v>100</v>
      </c>
      <c r="AZ587" s="1">
        <f>IF(IFERROR(MATCH(Tabelle11[[#Headers],[Spalte39]],Spielauswertung!$B575:$E575,0),0)=0,AZ586,INDEX(Spielauswertung!$AB575:$AE575,MATCH(Tabelle11[[#Headers],[Spalte39]],Spielauswertung!$B575:$E575,0))+AZ586)</f>
        <v>100</v>
      </c>
      <c r="BA587" s="1">
        <f>IF(IFERROR(MATCH(Tabelle11[[#Headers],[Spalte40]],Spielauswertung!$B575:$E575,0),0)=0,BA586,INDEX(Spielauswertung!$AB575:$AE575,MATCH(Tabelle11[[#Headers],[Spalte40]],Spielauswertung!$B575:$E575,0))+BA586)</f>
        <v>100</v>
      </c>
      <c r="BB587" s="1">
        <f>IF(IFERROR(MATCH(Tabelle11[[#Headers],[Spalte41]],Spielauswertung!$B575:$E575,0),0)=0,BB586,INDEX(Spielauswertung!$AB575:$AE575,MATCH(Tabelle11[[#Headers],[Spalte41]],Spielauswertung!$B575:$E575,0))+BB586)</f>
        <v>100</v>
      </c>
      <c r="BC587" s="1">
        <f>IF(IFERROR(MATCH(Tabelle11[[#Headers],[Spalte42]],Spielauswertung!$B575:$E575,0),0)=0,BC586,INDEX(Spielauswertung!$AB575:$AE575,MATCH(Tabelle11[[#Headers],[Spalte42]],Spielauswertung!$B575:$E575,0))+BC586)</f>
        <v>100</v>
      </c>
      <c r="BD587" s="1">
        <f>IF(IFERROR(MATCH(Tabelle11[[#Headers],[Spalte43]],Spielauswertung!$B575:$E575,0),0)=0,BD586,INDEX(Spielauswertung!$AB575:$AE575,MATCH(Tabelle11[[#Headers],[Spalte43]],Spielauswertung!$B575:$E575,0))+BD586)</f>
        <v>100</v>
      </c>
      <c r="BE587" s="1">
        <f>IF(IFERROR(MATCH(Tabelle11[[#Headers],[Spalte44]],Spielauswertung!$B575:$E575,0),0)=0,BE586,INDEX(Spielauswertung!$AB575:$AE575,MATCH(Tabelle11[[#Headers],[Spalte44]],Spielauswertung!$B575:$E575,0))+BE586)</f>
        <v>100</v>
      </c>
      <c r="BF587" s="1">
        <f>IF(IFERROR(MATCH(Tabelle11[[#Headers],[Spalte45]],Spielauswertung!$B575:$E575,0),0)=0,BF586,INDEX(Spielauswertung!$AB575:$AE575,MATCH(Tabelle11[[#Headers],[Spalte45]],Spielauswertung!$B575:$E575,0))+BF586)</f>
        <v>100</v>
      </c>
      <c r="BG587" s="1">
        <f>IF(IFERROR(MATCH(Tabelle11[[#Headers],[Spalte46]],Spielauswertung!$B575:$E575,0),0)=0,BG586,INDEX(Spielauswertung!$AB575:$AE575,MATCH(Tabelle11[[#Headers],[Spalte46]],Spielauswertung!$B575:$E575,0))+BG586)</f>
        <v>100</v>
      </c>
      <c r="BH587" s="1">
        <f>IF(IFERROR(MATCH(Tabelle11[[#Headers],[Spalte47]],Spielauswertung!$B575:$E575,0),0)=0,BH586,INDEX(Spielauswertung!$AB575:$AE575,MATCH(Tabelle11[[#Headers],[Spalte47]],Spielauswertung!$B575:$E575,0))+BH586)</f>
        <v>100</v>
      </c>
    </row>
    <row r="588" spans="1:60" x14ac:dyDescent="0.25">
      <c r="A588">
        <f t="shared" si="9"/>
        <v>575</v>
      </c>
      <c r="B588" s="1">
        <f>IF(IFERROR(MATCH(Tabelle11[[#Headers],[Aleix_V]],Spielauswertung!$B576:$E576,0),0)=0,B587,INDEX(Spielauswertung!$AB576:$AE576,MATCH(Tabelle11[[#Headers],[Aleix_V]],Spielauswertung!$B576:$E576,0))+B587)</f>
        <v>102.47318019444646</v>
      </c>
      <c r="C588" s="1">
        <f>IF(IFERROR(MATCH(Tabelle11[[#Headers],[Andres_H]],Spielauswertung!$B576:$E576,0),0)=0,C587,INDEX(Spielauswertung!$AB576:$AE576,MATCH(Tabelle11[[#Headers],[Andres_H]],Spielauswertung!$B576:$E576,0))+C587)</f>
        <v>95.535732339111306</v>
      </c>
      <c r="D588" s="1">
        <f>IF(IFERROR(MATCH(Tabelle11[[#Headers],[Anton_K]],Spielauswertung!$B576:$E576,0),0)=0,D587,INDEX(Spielauswertung!$AB576:$AE576,MATCH(Tabelle11[[#Headers],[Anton_K]],Spielauswertung!$B576:$E576,0))+D587)</f>
        <v>99.287728777054667</v>
      </c>
      <c r="E588" s="1">
        <f>IF(IFERROR(MATCH(Tabelle11[[#Headers],[Bastian_G]],Spielauswertung!$B576:$E576,0),0)=0,E587,INDEX(Spielauswertung!$AB576:$AE576,MATCH(Tabelle11[[#Headers],[Bastian_G]],Spielauswertung!$B576:$E576,0))+E587)</f>
        <v>117.49978695184252</v>
      </c>
      <c r="F588" s="1">
        <f>IF(IFERROR(MATCH(Tabelle11[[#Headers],[Ben_S]],Spielauswertung!$B576:$E576,0),0)=0,F587,INDEX(Spielauswertung!$AB576:$AE576,MATCH(Tabelle11[[#Headers],[Ben_S]],Spielauswertung!$B576:$E576,0))+F587)</f>
        <v>95.932799101521084</v>
      </c>
      <c r="G588" s="1">
        <f>IF(IFERROR(MATCH(Tabelle11[[#Headers],[Benedikt_K]],Spielauswertung!$B576:$E576,0),0)=0,G587,INDEX(Spielauswertung!$AB576:$AE576,MATCH(Tabelle11[[#Headers],[Benedikt_K]],Spielauswertung!$B576:$E576,0))+G587)</f>
        <v>101.20264176422626</v>
      </c>
      <c r="H588" s="1">
        <f>IF(IFERROR(MATCH(Tabelle11[[#Headers],[Benedikt_R]],Spielauswertung!$B576:$E576,0),0)=0,H587,INDEX(Spielauswertung!$AB576:$AE576,MATCH(Tabelle11[[#Headers],[Benedikt_R]],Spielauswertung!$B576:$E576,0))+H587)</f>
        <v>102.6264770510757</v>
      </c>
      <c r="I588" s="1">
        <f>IF(IFERROR(MATCH(Tabelle11[[#Headers],[Carsten_H]],Spielauswertung!$B576:$E576,0),0)=0,I587,INDEX(Spielauswertung!$AB576:$AE576,MATCH(Tabelle11[[#Headers],[Carsten_H]],Spielauswertung!$B576:$E576,0))+I587)</f>
        <v>90.817185094326874</v>
      </c>
      <c r="J588" s="1">
        <f>IF(IFERROR(MATCH(Tabelle11[[#Headers],[Christoph_R]],Spielauswertung!$B576:$E576,0),0)=0,J587,INDEX(Spielauswertung!$AB576:$AE576,MATCH(Tabelle11[[#Headers],[Christoph_R]],Spielauswertung!$B576:$E576,0))+J587)</f>
        <v>109.73261611443155</v>
      </c>
      <c r="K588" s="1">
        <f>IF(IFERROR(MATCH(Tabelle11[[#Headers],[Claudius_J]],Spielauswertung!$B576:$E576,0),0)=0,K587,INDEX(Spielauswertung!$AB576:$AE576,MATCH(Tabelle11[[#Headers],[Claudius_J]],Spielauswertung!$B576:$E576,0))+K587)</f>
        <v>106.16590636000029</v>
      </c>
      <c r="L588" s="1">
        <f>IF(IFERROR(MATCH(Tabelle11[[#Headers],[Daniel_D]],Spielauswertung!$B576:$E576,0),0)=0,L587,INDEX(Spielauswertung!$AB576:$AE576,MATCH(Tabelle11[[#Headers],[Daniel_D]],Spielauswertung!$B576:$E576,0))+L587)</f>
        <v>99.990299180470089</v>
      </c>
      <c r="M588" s="1">
        <f>IF(IFERROR(MATCH(Tabelle11[[#Headers],[David_R]],Spielauswertung!$B576:$E576,0),0)=0,M587,INDEX(Spielauswertung!$AB576:$AE576,MATCH(Tabelle11[[#Headers],[David_R]],Spielauswertung!$B576:$E576,0))+M587)</f>
        <v>96.715943522481638</v>
      </c>
      <c r="N588" s="1">
        <f>IF(IFERROR(MATCH(Tabelle11[[#Headers],[Dennis_P]],Spielauswertung!$B576:$E576,0),0)=0,N587,INDEX(Spielauswertung!$AB576:$AE576,MATCH(Tabelle11[[#Headers],[Dennis_P]],Spielauswertung!$B576:$E576,0))+N587)</f>
        <v>100.04773223105254</v>
      </c>
      <c r="O588" s="1">
        <f>IF(IFERROR(MATCH(Tabelle11[[#Headers],[Dennis_R]],Spielauswertung!$B576:$E576,0),0)=0,O587,INDEX(Spielauswertung!$AB576:$AE576,MATCH(Tabelle11[[#Headers],[Dennis_R]],Spielauswertung!$B576:$E576,0))+O587)</f>
        <v>75.131680864937195</v>
      </c>
      <c r="P588" s="1">
        <f>IF(IFERROR(MATCH(Tabelle11[[#Headers],[Detlef_R]],Spielauswertung!$B576:$E576,0),0)=0,P587,INDEX(Spielauswertung!$AB576:$AE576,MATCH(Tabelle11[[#Headers],[Detlef_R]],Spielauswertung!$B576:$E576,0))+P587)</f>
        <v>87.984671797367014</v>
      </c>
      <c r="Q588" s="1">
        <f>IF(IFERROR(MATCH(Tabelle11[[#Headers],[Dmitrij_M]],Spielauswertung!$B576:$E576,0),0)=0,Q587,INDEX(Spielauswertung!$AB576:$AE576,MATCH(Tabelle11[[#Headers],[Dmitrij_M]],Spielauswertung!$B576:$E576,0))+Q587)</f>
        <v>100.69975721846207</v>
      </c>
      <c r="R588" s="1">
        <f>IF(IFERROR(MATCH(Tabelle11[[#Headers],[Fabian_M]],Spielauswertung!$B576:$E576,0),0)=0,R587,INDEX(Spielauswertung!$AB576:$AE576,MATCH(Tabelle11[[#Headers],[Fabian_M]],Spielauswertung!$B576:$E576,0))+R587)</f>
        <v>95.805387841610738</v>
      </c>
      <c r="S588" s="1">
        <f>IF(IFERROR(MATCH(Tabelle11[[#Headers],[Hannes_S]],Spielauswertung!$B576:$E576,0),0)=0,S587,INDEX(Spielauswertung!$AB576:$AE576,MATCH(Tabelle11[[#Headers],[Hannes_S]],Spielauswertung!$B576:$E576,0))+S587)</f>
        <v>104.83899184012799</v>
      </c>
      <c r="T588" s="1">
        <f>IF(IFERROR(MATCH(Tabelle11[[#Headers],[Jan_B]],Spielauswertung!$B576:$E576,0),0)=0,T587,INDEX(Spielauswertung!$AB576:$AE576,MATCH(Tabelle11[[#Headers],[Jan_B]],Spielauswertung!$B576:$E576,0))+T587)</f>
        <v>100.2794420429173</v>
      </c>
      <c r="U588" s="1">
        <f>IF(IFERROR(MATCH(Tabelle11[[#Headers],[Jan_Hendrik_B]],Spielauswertung!$B576:$E576,0),0)=0,U587,INDEX(Spielauswertung!$AB576:$AE576,MATCH(Tabelle11[[#Headers],[Jan_Hendrik_B]],Spielauswertung!$B576:$E576,0))+U587)</f>
        <v>100.75492416935522</v>
      </c>
      <c r="V588" s="1">
        <f>IF(IFERROR(MATCH(Tabelle11[[#Headers],[Jens_N]],Spielauswertung!$B576:$E576,0),0)=0,V587,INDEX(Spielauswertung!$AB576:$AE576,MATCH(Tabelle11[[#Headers],[Jens_N]],Spielauswertung!$B576:$E576,0))+V587)</f>
        <v>99.643534710196832</v>
      </c>
      <c r="W588" s="1">
        <f>IF(IFERROR(MATCH(Tabelle11[[#Headers],[Johannes_S]],Spielauswertung!$B576:$E576,0),0)=0,W587,INDEX(Spielauswertung!$AB576:$AE576,MATCH(Tabelle11[[#Headers],[Johannes_S]],Spielauswertung!$B576:$E576,0))+W587)</f>
        <v>102.20284750979505</v>
      </c>
      <c r="X588" s="1">
        <f>IF(IFERROR(MATCH(Tabelle11[[#Headers],[Jonathan_F]],Spielauswertung!$B576:$E576,0),0)=0,X587,INDEX(Spielauswertung!$AB576:$AE576,MATCH(Tabelle11[[#Headers],[Jonathan_F]],Spielauswertung!$B576:$E576,0))+X587)</f>
        <v>98.938308797866256</v>
      </c>
      <c r="Y588" s="1">
        <f>IF(IFERROR(MATCH(Tabelle11[[#Headers],[Julius_P]],Spielauswertung!$B576:$E576,0),0)=0,Y587,INDEX(Spielauswertung!$AB576:$AE576,MATCH(Tabelle11[[#Headers],[Julius_P]],Spielauswertung!$B576:$E576,0))+Y587)</f>
        <v>96.540305101873642</v>
      </c>
      <c r="Z588" s="1">
        <f>IF(IFERROR(MATCH(Tabelle11[[#Headers],[Louis_W]],Spielauswertung!$B576:$E576,0),0)=0,Z587,INDEX(Spielauswertung!$AB576:$AE576,MATCH(Tabelle11[[#Headers],[Louis_W]],Spielauswertung!$B576:$E576,0))+Z587)</f>
        <v>87.497452285475362</v>
      </c>
      <c r="AA588" s="1">
        <f>IF(IFERROR(MATCH(Tabelle11[[#Headers],[Lukas_L]],Spielauswertung!$B576:$E576,0),0)=0,AA587,INDEX(Spielauswertung!$AB576:$AE576,MATCH(Tabelle11[[#Headers],[Lukas_L]],Spielauswertung!$B576:$E576,0))+AA587)</f>
        <v>98.447931341404143</v>
      </c>
      <c r="AB588" s="1">
        <f>IF(IFERROR(MATCH(Tabelle11[[#Headers],[Marcin_S]],Spielauswertung!$B576:$E576,0),0)=0,AB587,INDEX(Spielauswertung!$AB576:$AE576,MATCH(Tabelle11[[#Headers],[Marcin_S]],Spielauswertung!$B576:$E576,0))+AB587)</f>
        <v>85.463329105556824</v>
      </c>
      <c r="AC588" s="1">
        <f>IF(IFERROR(MATCH(Tabelle11[[#Headers],[Marco_K]],Spielauswertung!$B576:$E576,0),0)=0,AC587,INDEX(Spielauswertung!$AB576:$AE576,MATCH(Tabelle11[[#Headers],[Marco_K]],Spielauswertung!$B576:$E576,0))+AC587)</f>
        <v>102.12169819441469</v>
      </c>
      <c r="AD588" s="1">
        <f>IF(IFERROR(MATCH(Tabelle11[[#Headers],[Marius_M]],Spielauswertung!$B576:$E576,0),0)=0,AD587,INDEX(Spielauswertung!$AB576:$AE576,MATCH(Tabelle11[[#Headers],[Marius_M]],Spielauswertung!$B576:$E576,0))+AD587)</f>
        <v>124.54012374585781</v>
      </c>
      <c r="AE588" s="1">
        <f>IF(IFERROR(MATCH(Tabelle11[[#Headers],[Marvin_W]],Spielauswertung!$B576:$E576,0),0)=0,AE587,INDEX(Spielauswertung!$AB576:$AE576,MATCH(Tabelle11[[#Headers],[Marvin_W]],Spielauswertung!$B576:$E576,0))+AE587)</f>
        <v>96.700266280577438</v>
      </c>
      <c r="AF588" s="1">
        <f>IF(IFERROR(MATCH(Tabelle11[[#Headers],[Matthias_H]],Spielauswertung!$B576:$E576,0),0)=0,AF587,INDEX(Spielauswertung!$AB576:$AE576,MATCH(Tabelle11[[#Headers],[Matthias_H]],Spielauswertung!$B576:$E576,0))+AF587)</f>
        <v>105.42130178599372</v>
      </c>
      <c r="AG588" s="1">
        <f>IF(IFERROR(MATCH(Tabelle11[[#Headers],[Michael_D]],Spielauswertung!$B576:$E576,0),0)=0,AG587,INDEX(Spielauswertung!$AB576:$AE576,MATCH(Tabelle11[[#Headers],[Michael_D]],Spielauswertung!$B576:$E576,0))+AG587)</f>
        <v>96.436276170375336</v>
      </c>
      <c r="AH588" s="1">
        <f>IF(IFERROR(MATCH(Tabelle11[[#Headers],[Patrick_S]],Spielauswertung!$B576:$E576,0),0)=0,AH587,INDEX(Spielauswertung!$AB576:$AE576,MATCH(Tabelle11[[#Headers],[Patrick_S]],Spielauswertung!$B576:$E576,0))+AH587)</f>
        <v>98.975330692053802</v>
      </c>
      <c r="AI588" s="1">
        <f>IF(IFERROR(MATCH(Tabelle11[[#Headers],[Rano_M]],Spielauswertung!$B576:$E576,0),0)=0,AI587,INDEX(Spielauswertung!$AB576:$AE576,MATCH(Tabelle11[[#Headers],[Rano_M]],Spielauswertung!$B576:$E576,0))+AI587)</f>
        <v>109.38890657420265</v>
      </c>
      <c r="AJ588" s="1">
        <f>IF(IFERROR(MATCH(Tabelle11[[#Headers],[Rene_N]],Spielauswertung!$B576:$E576,0),0)=0,AJ587,INDEX(Spielauswertung!$AB576:$AE576,MATCH(Tabelle11[[#Headers],[Rene_N]],Spielauswertung!$B576:$E576,0))+AJ587)</f>
        <v>101.06482124619033</v>
      </c>
      <c r="AK588" s="1">
        <f>IF(IFERROR(MATCH(Tabelle11[[#Headers],[Rene_P]],Spielauswertung!$B576:$E576,0),0)=0,AK587,INDEX(Spielauswertung!$AB576:$AE576,MATCH(Tabelle11[[#Headers],[Rene_P]],Spielauswertung!$B576:$E576,0))+AK587)</f>
        <v>88.762543186332877</v>
      </c>
      <c r="AL588" s="1">
        <f>IF(IFERROR(MATCH(Tabelle11[[#Headers],[Richard_D]],Spielauswertung!$B576:$E576,0),0)=0,AL587,INDEX(Spielauswertung!$AB576:$AE576,MATCH(Tabelle11[[#Headers],[Richard_D]],Spielauswertung!$B576:$E576,0))+AL587)</f>
        <v>107.23233592026223</v>
      </c>
      <c r="AM588" s="1">
        <f>IF(IFERROR(MATCH(Tabelle11[[#Headers],[Rodrigo_R]],Spielauswertung!$B576:$E576,0),0)=0,AM587,INDEX(Spielauswertung!$AB576:$AE576,MATCH(Tabelle11[[#Headers],[Rodrigo_R]],Spielauswertung!$B576:$E576,0))+AM587)</f>
        <v>116.7028707921346</v>
      </c>
      <c r="AN588" s="1">
        <f>IF(IFERROR(MATCH(Tabelle11[[#Headers],[Sebastian_A]],Spielauswertung!$B576:$E576,0),0)=0,AN587,INDEX(Spielauswertung!$AB576:$AE576,MATCH(Tabelle11[[#Headers],[Sebastian_A]],Spielauswertung!$B576:$E576,0))+AN587)</f>
        <v>102.89457418671324</v>
      </c>
      <c r="AO588" s="1">
        <f>IF(IFERROR(MATCH(Tabelle11[[#Headers],[Sebastian_St]],Spielauswertung!$B576:$E576,0),0)=0,AO587,INDEX(Spielauswertung!$AB576:$AE576,MATCH(Tabelle11[[#Headers],[Sebastian_St]],Spielauswertung!$B576:$E576,0))+AO587)</f>
        <v>97.749574367408982</v>
      </c>
      <c r="AP588" s="1">
        <f>IF(IFERROR(MATCH(Tabelle11[[#Headers],[Simon_U]],Spielauswertung!$B576:$E576,0),0)=0,AP587,INDEX(Spielauswertung!$AB576:$AE576,MATCH(Tabelle11[[#Headers],[Simon_U]],Spielauswertung!$B576:$E576,0))+AP587)</f>
        <v>99.623054841470903</v>
      </c>
      <c r="AQ588" s="1">
        <f>IF(IFERROR(MATCH(Tabelle11[[#Headers],[Steffen_R]],Spielauswertung!$B576:$E576,0),0)=0,AQ587,INDEX(Spielauswertung!$AB576:$AE576,MATCH(Tabelle11[[#Headers],[Steffen_R]],Spielauswertung!$B576:$E576,0))+AQ587)</f>
        <v>93.247497067190949</v>
      </c>
      <c r="AR588" s="1">
        <f>IF(IFERROR(MATCH(Tabelle11[[#Headers],[Tim_R]],Spielauswertung!$B576:$E576,0),0)=0,AR587,INDEX(Spielauswertung!$AB576:$AE576,MATCH(Tabelle11[[#Headers],[Tim_R]],Spielauswertung!$B576:$E576,0))+AR587)</f>
        <v>103.07503787023374</v>
      </c>
      <c r="AS588" s="1">
        <f>IF(IFERROR(MATCH(Tabelle11[[#Headers],[Tobias_S]],Spielauswertung!$B576:$E576,0),0)=0,AS587,INDEX(Spielauswertung!$AB576:$AE576,MATCH(Tabelle11[[#Headers],[Tobias_S]],Spielauswertung!$B576:$E576,0))+AS587)</f>
        <v>98.6003422659997</v>
      </c>
      <c r="AT588" s="1">
        <f>IF(IFERROR(MATCH(Tabelle11[[#Headers],[Tom_R]],Spielauswertung!$B576:$E576,0),0)=0,AT587,INDEX(Spielauswertung!$AB576:$AE576,MATCH(Tabelle11[[#Headers],[Tom_R]],Spielauswertung!$B576:$E576,0))+AT587)</f>
        <v>112.62344492949197</v>
      </c>
      <c r="AU588" s="1">
        <f>IF(IFERROR(MATCH(Tabelle11[[#Headers],[Ton_L]],Spielauswertung!$B576:$E576,0),0)=0,AU587,INDEX(Spielauswertung!$AB576:$AE576,MATCH(Tabelle11[[#Headers],[Ton_L]],Spielauswertung!$B576:$E576,0))+AU587)</f>
        <v>92.683083360025861</v>
      </c>
      <c r="AV588" s="1">
        <f>IF(IFERROR(MATCH(Tabelle11[[#Headers],[Yixin_G]],Spielauswertung!$B576:$E576,0),0)=0,AV587,INDEX(Spielauswertung!$AB576:$AE576,MATCH(Tabelle11[[#Headers],[Yixin_G]],Spielauswertung!$B576:$E576,0))+AV587)</f>
        <v>99.900323214082661</v>
      </c>
      <c r="AW588" s="1">
        <f>IF(IFERROR(MATCH(Tabelle11[[#Headers],[Spalte36]],Spielauswertung!$B576:$E576,0),0)=0,AW587,INDEX(Spielauswertung!$AB576:$AE576,MATCH(Tabelle11[[#Headers],[Spalte36]],Spielauswertung!$B576:$E576,0))+AW587)</f>
        <v>100</v>
      </c>
      <c r="AX588" s="1">
        <f>IF(IFERROR(MATCH(Tabelle11[[#Headers],[Spalte37]],Spielauswertung!$B576:$E576,0),0)=0,AX587,INDEX(Spielauswertung!$AB576:$AE576,MATCH(Tabelle11[[#Headers],[Spalte37]],Spielauswertung!$B576:$E576,0))+AX587)</f>
        <v>100</v>
      </c>
      <c r="AY588" s="1">
        <f>IF(IFERROR(MATCH(Tabelle11[[#Headers],[Spalte38]],Spielauswertung!$B576:$E576,0),0)=0,AY587,INDEX(Spielauswertung!$AB576:$AE576,MATCH(Tabelle11[[#Headers],[Spalte38]],Spielauswertung!$B576:$E576,0))+AY587)</f>
        <v>100</v>
      </c>
      <c r="AZ588" s="1">
        <f>IF(IFERROR(MATCH(Tabelle11[[#Headers],[Spalte39]],Spielauswertung!$B576:$E576,0),0)=0,AZ587,INDEX(Spielauswertung!$AB576:$AE576,MATCH(Tabelle11[[#Headers],[Spalte39]],Spielauswertung!$B576:$E576,0))+AZ587)</f>
        <v>100</v>
      </c>
      <c r="BA588" s="1">
        <f>IF(IFERROR(MATCH(Tabelle11[[#Headers],[Spalte40]],Spielauswertung!$B576:$E576,0),0)=0,BA587,INDEX(Spielauswertung!$AB576:$AE576,MATCH(Tabelle11[[#Headers],[Spalte40]],Spielauswertung!$B576:$E576,0))+BA587)</f>
        <v>100</v>
      </c>
      <c r="BB588" s="1">
        <f>IF(IFERROR(MATCH(Tabelle11[[#Headers],[Spalte41]],Spielauswertung!$B576:$E576,0),0)=0,BB587,INDEX(Spielauswertung!$AB576:$AE576,MATCH(Tabelle11[[#Headers],[Spalte41]],Spielauswertung!$B576:$E576,0))+BB587)</f>
        <v>100</v>
      </c>
      <c r="BC588" s="1">
        <f>IF(IFERROR(MATCH(Tabelle11[[#Headers],[Spalte42]],Spielauswertung!$B576:$E576,0),0)=0,BC587,INDEX(Spielauswertung!$AB576:$AE576,MATCH(Tabelle11[[#Headers],[Spalte42]],Spielauswertung!$B576:$E576,0))+BC587)</f>
        <v>100</v>
      </c>
      <c r="BD588" s="1">
        <f>IF(IFERROR(MATCH(Tabelle11[[#Headers],[Spalte43]],Spielauswertung!$B576:$E576,0),0)=0,BD587,INDEX(Spielauswertung!$AB576:$AE576,MATCH(Tabelle11[[#Headers],[Spalte43]],Spielauswertung!$B576:$E576,0))+BD587)</f>
        <v>100</v>
      </c>
      <c r="BE588" s="1">
        <f>IF(IFERROR(MATCH(Tabelle11[[#Headers],[Spalte44]],Spielauswertung!$B576:$E576,0),0)=0,BE587,INDEX(Spielauswertung!$AB576:$AE576,MATCH(Tabelle11[[#Headers],[Spalte44]],Spielauswertung!$B576:$E576,0))+BE587)</f>
        <v>100</v>
      </c>
      <c r="BF588" s="1">
        <f>IF(IFERROR(MATCH(Tabelle11[[#Headers],[Spalte45]],Spielauswertung!$B576:$E576,0),0)=0,BF587,INDEX(Spielauswertung!$AB576:$AE576,MATCH(Tabelle11[[#Headers],[Spalte45]],Spielauswertung!$B576:$E576,0))+BF587)</f>
        <v>100</v>
      </c>
      <c r="BG588" s="1">
        <f>IF(IFERROR(MATCH(Tabelle11[[#Headers],[Spalte46]],Spielauswertung!$B576:$E576,0),0)=0,BG587,INDEX(Spielauswertung!$AB576:$AE576,MATCH(Tabelle11[[#Headers],[Spalte46]],Spielauswertung!$B576:$E576,0))+BG587)</f>
        <v>100</v>
      </c>
      <c r="BH588" s="1">
        <f>IF(IFERROR(MATCH(Tabelle11[[#Headers],[Spalte47]],Spielauswertung!$B576:$E576,0),0)=0,BH587,INDEX(Spielauswertung!$AB576:$AE576,MATCH(Tabelle11[[#Headers],[Spalte47]],Spielauswertung!$B576:$E576,0))+BH587)</f>
        <v>100</v>
      </c>
    </row>
    <row r="589" spans="1:60" x14ac:dyDescent="0.25">
      <c r="A589">
        <f t="shared" si="9"/>
        <v>576</v>
      </c>
      <c r="B589" s="1">
        <f>IF(IFERROR(MATCH(Tabelle11[[#Headers],[Aleix_V]],Spielauswertung!$B577:$E577,0),0)=0,B588,INDEX(Spielauswertung!$AB577:$AE577,MATCH(Tabelle11[[#Headers],[Aleix_V]],Spielauswertung!$B577:$E577,0))+B588)</f>
        <v>102.47318019444646</v>
      </c>
      <c r="C589" s="1">
        <f>IF(IFERROR(MATCH(Tabelle11[[#Headers],[Andres_H]],Spielauswertung!$B577:$E577,0),0)=0,C588,INDEX(Spielauswertung!$AB577:$AE577,MATCH(Tabelle11[[#Headers],[Andres_H]],Spielauswertung!$B577:$E577,0))+C588)</f>
        <v>95.535732339111306</v>
      </c>
      <c r="D589" s="1">
        <f>IF(IFERROR(MATCH(Tabelle11[[#Headers],[Anton_K]],Spielauswertung!$B577:$E577,0),0)=0,D588,INDEX(Spielauswertung!$AB577:$AE577,MATCH(Tabelle11[[#Headers],[Anton_K]],Spielauswertung!$B577:$E577,0))+D588)</f>
        <v>99.287728777054667</v>
      </c>
      <c r="E589" s="1">
        <f>IF(IFERROR(MATCH(Tabelle11[[#Headers],[Bastian_G]],Spielauswertung!$B577:$E577,0),0)=0,E588,INDEX(Spielauswertung!$AB577:$AE577,MATCH(Tabelle11[[#Headers],[Bastian_G]],Spielauswertung!$B577:$E577,0))+E588)</f>
        <v>117.49978695184252</v>
      </c>
      <c r="F589" s="1">
        <f>IF(IFERROR(MATCH(Tabelle11[[#Headers],[Ben_S]],Spielauswertung!$B577:$E577,0),0)=0,F588,INDEX(Spielauswertung!$AB577:$AE577,MATCH(Tabelle11[[#Headers],[Ben_S]],Spielauswertung!$B577:$E577,0))+F588)</f>
        <v>95.932799101521084</v>
      </c>
      <c r="G589" s="1">
        <f>IF(IFERROR(MATCH(Tabelle11[[#Headers],[Benedikt_K]],Spielauswertung!$B577:$E577,0),0)=0,G588,INDEX(Spielauswertung!$AB577:$AE577,MATCH(Tabelle11[[#Headers],[Benedikt_K]],Spielauswertung!$B577:$E577,0))+G588)</f>
        <v>101.20264176422626</v>
      </c>
      <c r="H589" s="1">
        <f>IF(IFERROR(MATCH(Tabelle11[[#Headers],[Benedikt_R]],Spielauswertung!$B577:$E577,0),0)=0,H588,INDEX(Spielauswertung!$AB577:$AE577,MATCH(Tabelle11[[#Headers],[Benedikt_R]],Spielauswertung!$B577:$E577,0))+H588)</f>
        <v>102.6264770510757</v>
      </c>
      <c r="I589" s="1">
        <f>IF(IFERROR(MATCH(Tabelle11[[#Headers],[Carsten_H]],Spielauswertung!$B577:$E577,0),0)=0,I588,INDEX(Spielauswertung!$AB577:$AE577,MATCH(Tabelle11[[#Headers],[Carsten_H]],Spielauswertung!$B577:$E577,0))+I588)</f>
        <v>90.817185094326874</v>
      </c>
      <c r="J589" s="1">
        <f>IF(IFERROR(MATCH(Tabelle11[[#Headers],[Christoph_R]],Spielauswertung!$B577:$E577,0),0)=0,J588,INDEX(Spielauswertung!$AB577:$AE577,MATCH(Tabelle11[[#Headers],[Christoph_R]],Spielauswertung!$B577:$E577,0))+J588)</f>
        <v>109.73261611443155</v>
      </c>
      <c r="K589" s="1">
        <f>IF(IFERROR(MATCH(Tabelle11[[#Headers],[Claudius_J]],Spielauswertung!$B577:$E577,0),0)=0,K588,INDEX(Spielauswertung!$AB577:$AE577,MATCH(Tabelle11[[#Headers],[Claudius_J]],Spielauswertung!$B577:$E577,0))+K588)</f>
        <v>106.16590636000029</v>
      </c>
      <c r="L589" s="1">
        <f>IF(IFERROR(MATCH(Tabelle11[[#Headers],[Daniel_D]],Spielauswertung!$B577:$E577,0),0)=0,L588,INDEX(Spielauswertung!$AB577:$AE577,MATCH(Tabelle11[[#Headers],[Daniel_D]],Spielauswertung!$B577:$E577,0))+L588)</f>
        <v>99.990299180470089</v>
      </c>
      <c r="M589" s="1">
        <f>IF(IFERROR(MATCH(Tabelle11[[#Headers],[David_R]],Spielauswertung!$B577:$E577,0),0)=0,M588,INDEX(Spielauswertung!$AB577:$AE577,MATCH(Tabelle11[[#Headers],[David_R]],Spielauswertung!$B577:$E577,0))+M588)</f>
        <v>96.715943522481638</v>
      </c>
      <c r="N589" s="1">
        <f>IF(IFERROR(MATCH(Tabelle11[[#Headers],[Dennis_P]],Spielauswertung!$B577:$E577,0),0)=0,N588,INDEX(Spielauswertung!$AB577:$AE577,MATCH(Tabelle11[[#Headers],[Dennis_P]],Spielauswertung!$B577:$E577,0))+N588)</f>
        <v>100.04773223105254</v>
      </c>
      <c r="O589" s="1">
        <f>IF(IFERROR(MATCH(Tabelle11[[#Headers],[Dennis_R]],Spielauswertung!$B577:$E577,0),0)=0,O588,INDEX(Spielauswertung!$AB577:$AE577,MATCH(Tabelle11[[#Headers],[Dennis_R]],Spielauswertung!$B577:$E577,0))+O588)</f>
        <v>75.131680864937195</v>
      </c>
      <c r="P589" s="1">
        <f>IF(IFERROR(MATCH(Tabelle11[[#Headers],[Detlef_R]],Spielauswertung!$B577:$E577,0),0)=0,P588,INDEX(Spielauswertung!$AB577:$AE577,MATCH(Tabelle11[[#Headers],[Detlef_R]],Spielauswertung!$B577:$E577,0))+P588)</f>
        <v>87.984671797367014</v>
      </c>
      <c r="Q589" s="1">
        <f>IF(IFERROR(MATCH(Tabelle11[[#Headers],[Dmitrij_M]],Spielauswertung!$B577:$E577,0),0)=0,Q588,INDEX(Spielauswertung!$AB577:$AE577,MATCH(Tabelle11[[#Headers],[Dmitrij_M]],Spielauswertung!$B577:$E577,0))+Q588)</f>
        <v>100.69975721846207</v>
      </c>
      <c r="R589" s="1">
        <f>IF(IFERROR(MATCH(Tabelle11[[#Headers],[Fabian_M]],Spielauswertung!$B577:$E577,0),0)=0,R588,INDEX(Spielauswertung!$AB577:$AE577,MATCH(Tabelle11[[#Headers],[Fabian_M]],Spielauswertung!$B577:$E577,0))+R588)</f>
        <v>95.805387841610738</v>
      </c>
      <c r="S589" s="1">
        <f>IF(IFERROR(MATCH(Tabelle11[[#Headers],[Hannes_S]],Spielauswertung!$B577:$E577,0),0)=0,S588,INDEX(Spielauswertung!$AB577:$AE577,MATCH(Tabelle11[[#Headers],[Hannes_S]],Spielauswertung!$B577:$E577,0))+S588)</f>
        <v>104.83899184012799</v>
      </c>
      <c r="T589" s="1">
        <f>IF(IFERROR(MATCH(Tabelle11[[#Headers],[Jan_B]],Spielauswertung!$B577:$E577,0),0)=0,T588,INDEX(Spielauswertung!$AB577:$AE577,MATCH(Tabelle11[[#Headers],[Jan_B]],Spielauswertung!$B577:$E577,0))+T588)</f>
        <v>100.2794420429173</v>
      </c>
      <c r="U589" s="1">
        <f>IF(IFERROR(MATCH(Tabelle11[[#Headers],[Jan_Hendrik_B]],Spielauswertung!$B577:$E577,0),0)=0,U588,INDEX(Spielauswertung!$AB577:$AE577,MATCH(Tabelle11[[#Headers],[Jan_Hendrik_B]],Spielauswertung!$B577:$E577,0))+U588)</f>
        <v>100.75492416935522</v>
      </c>
      <c r="V589" s="1">
        <f>IF(IFERROR(MATCH(Tabelle11[[#Headers],[Jens_N]],Spielauswertung!$B577:$E577,0),0)=0,V588,INDEX(Spielauswertung!$AB577:$AE577,MATCH(Tabelle11[[#Headers],[Jens_N]],Spielauswertung!$B577:$E577,0))+V588)</f>
        <v>99.643534710196832</v>
      </c>
      <c r="W589" s="1">
        <f>IF(IFERROR(MATCH(Tabelle11[[#Headers],[Johannes_S]],Spielauswertung!$B577:$E577,0),0)=0,W588,INDEX(Spielauswertung!$AB577:$AE577,MATCH(Tabelle11[[#Headers],[Johannes_S]],Spielauswertung!$B577:$E577,0))+W588)</f>
        <v>102.20284750979505</v>
      </c>
      <c r="X589" s="1">
        <f>IF(IFERROR(MATCH(Tabelle11[[#Headers],[Jonathan_F]],Spielauswertung!$B577:$E577,0),0)=0,X588,INDEX(Spielauswertung!$AB577:$AE577,MATCH(Tabelle11[[#Headers],[Jonathan_F]],Spielauswertung!$B577:$E577,0))+X588)</f>
        <v>98.938308797866256</v>
      </c>
      <c r="Y589" s="1">
        <f>IF(IFERROR(MATCH(Tabelle11[[#Headers],[Julius_P]],Spielauswertung!$B577:$E577,0),0)=0,Y588,INDEX(Spielauswertung!$AB577:$AE577,MATCH(Tabelle11[[#Headers],[Julius_P]],Spielauswertung!$B577:$E577,0))+Y588)</f>
        <v>96.540305101873642</v>
      </c>
      <c r="Z589" s="1">
        <f>IF(IFERROR(MATCH(Tabelle11[[#Headers],[Louis_W]],Spielauswertung!$B577:$E577,0),0)=0,Z588,INDEX(Spielauswertung!$AB577:$AE577,MATCH(Tabelle11[[#Headers],[Louis_W]],Spielauswertung!$B577:$E577,0))+Z588)</f>
        <v>87.497452285475362</v>
      </c>
      <c r="AA589" s="1">
        <f>IF(IFERROR(MATCH(Tabelle11[[#Headers],[Lukas_L]],Spielauswertung!$B577:$E577,0),0)=0,AA588,INDEX(Spielauswertung!$AB577:$AE577,MATCH(Tabelle11[[#Headers],[Lukas_L]],Spielauswertung!$B577:$E577,0))+AA588)</f>
        <v>98.447931341404143</v>
      </c>
      <c r="AB589" s="1">
        <f>IF(IFERROR(MATCH(Tabelle11[[#Headers],[Marcin_S]],Spielauswertung!$B577:$E577,0),0)=0,AB588,INDEX(Spielauswertung!$AB577:$AE577,MATCH(Tabelle11[[#Headers],[Marcin_S]],Spielauswertung!$B577:$E577,0))+AB588)</f>
        <v>85.463329105556824</v>
      </c>
      <c r="AC589" s="1">
        <f>IF(IFERROR(MATCH(Tabelle11[[#Headers],[Marco_K]],Spielauswertung!$B577:$E577,0),0)=0,AC588,INDEX(Spielauswertung!$AB577:$AE577,MATCH(Tabelle11[[#Headers],[Marco_K]],Spielauswertung!$B577:$E577,0))+AC588)</f>
        <v>102.12169819441469</v>
      </c>
      <c r="AD589" s="1">
        <f>IF(IFERROR(MATCH(Tabelle11[[#Headers],[Marius_M]],Spielauswertung!$B577:$E577,0),0)=0,AD588,INDEX(Spielauswertung!$AB577:$AE577,MATCH(Tabelle11[[#Headers],[Marius_M]],Spielauswertung!$B577:$E577,0))+AD588)</f>
        <v>124.54012374585781</v>
      </c>
      <c r="AE589" s="1">
        <f>IF(IFERROR(MATCH(Tabelle11[[#Headers],[Marvin_W]],Spielauswertung!$B577:$E577,0),0)=0,AE588,INDEX(Spielauswertung!$AB577:$AE577,MATCH(Tabelle11[[#Headers],[Marvin_W]],Spielauswertung!$B577:$E577,0))+AE588)</f>
        <v>96.700266280577438</v>
      </c>
      <c r="AF589" s="1">
        <f>IF(IFERROR(MATCH(Tabelle11[[#Headers],[Matthias_H]],Spielauswertung!$B577:$E577,0),0)=0,AF588,INDEX(Spielauswertung!$AB577:$AE577,MATCH(Tabelle11[[#Headers],[Matthias_H]],Spielauswertung!$B577:$E577,0))+AF588)</f>
        <v>105.42130178599372</v>
      </c>
      <c r="AG589" s="1">
        <f>IF(IFERROR(MATCH(Tabelle11[[#Headers],[Michael_D]],Spielauswertung!$B577:$E577,0),0)=0,AG588,INDEX(Spielauswertung!$AB577:$AE577,MATCH(Tabelle11[[#Headers],[Michael_D]],Spielauswertung!$B577:$E577,0))+AG588)</f>
        <v>96.436276170375336</v>
      </c>
      <c r="AH589" s="1">
        <f>IF(IFERROR(MATCH(Tabelle11[[#Headers],[Patrick_S]],Spielauswertung!$B577:$E577,0),0)=0,AH588,INDEX(Spielauswertung!$AB577:$AE577,MATCH(Tabelle11[[#Headers],[Patrick_S]],Spielauswertung!$B577:$E577,0))+AH588)</f>
        <v>98.975330692053802</v>
      </c>
      <c r="AI589" s="1">
        <f>IF(IFERROR(MATCH(Tabelle11[[#Headers],[Rano_M]],Spielauswertung!$B577:$E577,0),0)=0,AI588,INDEX(Spielauswertung!$AB577:$AE577,MATCH(Tabelle11[[#Headers],[Rano_M]],Spielauswertung!$B577:$E577,0))+AI588)</f>
        <v>109.38890657420265</v>
      </c>
      <c r="AJ589" s="1">
        <f>IF(IFERROR(MATCH(Tabelle11[[#Headers],[Rene_N]],Spielauswertung!$B577:$E577,0),0)=0,AJ588,INDEX(Spielauswertung!$AB577:$AE577,MATCH(Tabelle11[[#Headers],[Rene_N]],Spielauswertung!$B577:$E577,0))+AJ588)</f>
        <v>101.06482124619033</v>
      </c>
      <c r="AK589" s="1">
        <f>IF(IFERROR(MATCH(Tabelle11[[#Headers],[Rene_P]],Spielauswertung!$B577:$E577,0),0)=0,AK588,INDEX(Spielauswertung!$AB577:$AE577,MATCH(Tabelle11[[#Headers],[Rene_P]],Spielauswertung!$B577:$E577,0))+AK588)</f>
        <v>88.762543186332877</v>
      </c>
      <c r="AL589" s="1">
        <f>IF(IFERROR(MATCH(Tabelle11[[#Headers],[Richard_D]],Spielauswertung!$B577:$E577,0),0)=0,AL588,INDEX(Spielauswertung!$AB577:$AE577,MATCH(Tabelle11[[#Headers],[Richard_D]],Spielauswertung!$B577:$E577,0))+AL588)</f>
        <v>107.23233592026223</v>
      </c>
      <c r="AM589" s="1">
        <f>IF(IFERROR(MATCH(Tabelle11[[#Headers],[Rodrigo_R]],Spielauswertung!$B577:$E577,0),0)=0,AM588,INDEX(Spielauswertung!$AB577:$AE577,MATCH(Tabelle11[[#Headers],[Rodrigo_R]],Spielauswertung!$B577:$E577,0))+AM588)</f>
        <v>116.7028707921346</v>
      </c>
      <c r="AN589" s="1">
        <f>IF(IFERROR(MATCH(Tabelle11[[#Headers],[Sebastian_A]],Spielauswertung!$B577:$E577,0),0)=0,AN588,INDEX(Spielauswertung!$AB577:$AE577,MATCH(Tabelle11[[#Headers],[Sebastian_A]],Spielauswertung!$B577:$E577,0))+AN588)</f>
        <v>102.89457418671324</v>
      </c>
      <c r="AO589" s="1">
        <f>IF(IFERROR(MATCH(Tabelle11[[#Headers],[Sebastian_St]],Spielauswertung!$B577:$E577,0),0)=0,AO588,INDEX(Spielauswertung!$AB577:$AE577,MATCH(Tabelle11[[#Headers],[Sebastian_St]],Spielauswertung!$B577:$E577,0))+AO588)</f>
        <v>97.749574367408982</v>
      </c>
      <c r="AP589" s="1">
        <f>IF(IFERROR(MATCH(Tabelle11[[#Headers],[Simon_U]],Spielauswertung!$B577:$E577,0),0)=0,AP588,INDEX(Spielauswertung!$AB577:$AE577,MATCH(Tabelle11[[#Headers],[Simon_U]],Spielauswertung!$B577:$E577,0))+AP588)</f>
        <v>99.623054841470903</v>
      </c>
      <c r="AQ589" s="1">
        <f>IF(IFERROR(MATCH(Tabelle11[[#Headers],[Steffen_R]],Spielauswertung!$B577:$E577,0),0)=0,AQ588,INDEX(Spielauswertung!$AB577:$AE577,MATCH(Tabelle11[[#Headers],[Steffen_R]],Spielauswertung!$B577:$E577,0))+AQ588)</f>
        <v>93.247497067190949</v>
      </c>
      <c r="AR589" s="1">
        <f>IF(IFERROR(MATCH(Tabelle11[[#Headers],[Tim_R]],Spielauswertung!$B577:$E577,0),0)=0,AR588,INDEX(Spielauswertung!$AB577:$AE577,MATCH(Tabelle11[[#Headers],[Tim_R]],Spielauswertung!$B577:$E577,0))+AR588)</f>
        <v>103.07503787023374</v>
      </c>
      <c r="AS589" s="1">
        <f>IF(IFERROR(MATCH(Tabelle11[[#Headers],[Tobias_S]],Spielauswertung!$B577:$E577,0),0)=0,AS588,INDEX(Spielauswertung!$AB577:$AE577,MATCH(Tabelle11[[#Headers],[Tobias_S]],Spielauswertung!$B577:$E577,0))+AS588)</f>
        <v>98.6003422659997</v>
      </c>
      <c r="AT589" s="1">
        <f>IF(IFERROR(MATCH(Tabelle11[[#Headers],[Tom_R]],Spielauswertung!$B577:$E577,0),0)=0,AT588,INDEX(Spielauswertung!$AB577:$AE577,MATCH(Tabelle11[[#Headers],[Tom_R]],Spielauswertung!$B577:$E577,0))+AT588)</f>
        <v>112.62344492949197</v>
      </c>
      <c r="AU589" s="1">
        <f>IF(IFERROR(MATCH(Tabelle11[[#Headers],[Ton_L]],Spielauswertung!$B577:$E577,0),0)=0,AU588,INDEX(Spielauswertung!$AB577:$AE577,MATCH(Tabelle11[[#Headers],[Ton_L]],Spielauswertung!$B577:$E577,0))+AU588)</f>
        <v>92.683083360025861</v>
      </c>
      <c r="AV589" s="1">
        <f>IF(IFERROR(MATCH(Tabelle11[[#Headers],[Yixin_G]],Spielauswertung!$B577:$E577,0),0)=0,AV588,INDEX(Spielauswertung!$AB577:$AE577,MATCH(Tabelle11[[#Headers],[Yixin_G]],Spielauswertung!$B577:$E577,0))+AV588)</f>
        <v>99.900323214082661</v>
      </c>
      <c r="AW589" s="1">
        <f>IF(IFERROR(MATCH(Tabelle11[[#Headers],[Spalte36]],Spielauswertung!$B577:$E577,0),0)=0,AW588,INDEX(Spielauswertung!$AB577:$AE577,MATCH(Tabelle11[[#Headers],[Spalte36]],Spielauswertung!$B577:$E577,0))+AW588)</f>
        <v>100</v>
      </c>
      <c r="AX589" s="1">
        <f>IF(IFERROR(MATCH(Tabelle11[[#Headers],[Spalte37]],Spielauswertung!$B577:$E577,0),0)=0,AX588,INDEX(Spielauswertung!$AB577:$AE577,MATCH(Tabelle11[[#Headers],[Spalte37]],Spielauswertung!$B577:$E577,0))+AX588)</f>
        <v>100</v>
      </c>
      <c r="AY589" s="1">
        <f>IF(IFERROR(MATCH(Tabelle11[[#Headers],[Spalte38]],Spielauswertung!$B577:$E577,0),0)=0,AY588,INDEX(Spielauswertung!$AB577:$AE577,MATCH(Tabelle11[[#Headers],[Spalte38]],Spielauswertung!$B577:$E577,0))+AY588)</f>
        <v>100</v>
      </c>
      <c r="AZ589" s="1">
        <f>IF(IFERROR(MATCH(Tabelle11[[#Headers],[Spalte39]],Spielauswertung!$B577:$E577,0),0)=0,AZ588,INDEX(Spielauswertung!$AB577:$AE577,MATCH(Tabelle11[[#Headers],[Spalte39]],Spielauswertung!$B577:$E577,0))+AZ588)</f>
        <v>100</v>
      </c>
      <c r="BA589" s="1">
        <f>IF(IFERROR(MATCH(Tabelle11[[#Headers],[Spalte40]],Spielauswertung!$B577:$E577,0),0)=0,BA588,INDEX(Spielauswertung!$AB577:$AE577,MATCH(Tabelle11[[#Headers],[Spalte40]],Spielauswertung!$B577:$E577,0))+BA588)</f>
        <v>100</v>
      </c>
      <c r="BB589" s="1">
        <f>IF(IFERROR(MATCH(Tabelle11[[#Headers],[Spalte41]],Spielauswertung!$B577:$E577,0),0)=0,BB588,INDEX(Spielauswertung!$AB577:$AE577,MATCH(Tabelle11[[#Headers],[Spalte41]],Spielauswertung!$B577:$E577,0))+BB588)</f>
        <v>100</v>
      </c>
      <c r="BC589" s="1">
        <f>IF(IFERROR(MATCH(Tabelle11[[#Headers],[Spalte42]],Spielauswertung!$B577:$E577,0),0)=0,BC588,INDEX(Spielauswertung!$AB577:$AE577,MATCH(Tabelle11[[#Headers],[Spalte42]],Spielauswertung!$B577:$E577,0))+BC588)</f>
        <v>100</v>
      </c>
      <c r="BD589" s="1">
        <f>IF(IFERROR(MATCH(Tabelle11[[#Headers],[Spalte43]],Spielauswertung!$B577:$E577,0),0)=0,BD588,INDEX(Spielauswertung!$AB577:$AE577,MATCH(Tabelle11[[#Headers],[Spalte43]],Spielauswertung!$B577:$E577,0))+BD588)</f>
        <v>100</v>
      </c>
      <c r="BE589" s="1">
        <f>IF(IFERROR(MATCH(Tabelle11[[#Headers],[Spalte44]],Spielauswertung!$B577:$E577,0),0)=0,BE588,INDEX(Spielauswertung!$AB577:$AE577,MATCH(Tabelle11[[#Headers],[Spalte44]],Spielauswertung!$B577:$E577,0))+BE588)</f>
        <v>100</v>
      </c>
      <c r="BF589" s="1">
        <f>IF(IFERROR(MATCH(Tabelle11[[#Headers],[Spalte45]],Spielauswertung!$B577:$E577,0),0)=0,BF588,INDEX(Spielauswertung!$AB577:$AE577,MATCH(Tabelle11[[#Headers],[Spalte45]],Spielauswertung!$B577:$E577,0))+BF588)</f>
        <v>100</v>
      </c>
      <c r="BG589" s="1">
        <f>IF(IFERROR(MATCH(Tabelle11[[#Headers],[Spalte46]],Spielauswertung!$B577:$E577,0),0)=0,BG588,INDEX(Spielauswertung!$AB577:$AE577,MATCH(Tabelle11[[#Headers],[Spalte46]],Spielauswertung!$B577:$E577,0))+BG588)</f>
        <v>100</v>
      </c>
      <c r="BH589" s="1">
        <f>IF(IFERROR(MATCH(Tabelle11[[#Headers],[Spalte47]],Spielauswertung!$B577:$E577,0),0)=0,BH588,INDEX(Spielauswertung!$AB577:$AE577,MATCH(Tabelle11[[#Headers],[Spalte47]],Spielauswertung!$B577:$E577,0))+BH588)</f>
        <v>100</v>
      </c>
    </row>
    <row r="590" spans="1:60" x14ac:dyDescent="0.25">
      <c r="A590">
        <f t="shared" si="9"/>
        <v>577</v>
      </c>
      <c r="B590" s="1">
        <f>IF(IFERROR(MATCH(Tabelle11[[#Headers],[Aleix_V]],Spielauswertung!$B578:$E578,0),0)=0,B589,INDEX(Spielauswertung!$AB578:$AE578,MATCH(Tabelle11[[#Headers],[Aleix_V]],Spielauswertung!$B578:$E578,0))+B589)</f>
        <v>102.47318019444646</v>
      </c>
      <c r="C590" s="1">
        <f>IF(IFERROR(MATCH(Tabelle11[[#Headers],[Andres_H]],Spielauswertung!$B578:$E578,0),0)=0,C589,INDEX(Spielauswertung!$AB578:$AE578,MATCH(Tabelle11[[#Headers],[Andres_H]],Spielauswertung!$B578:$E578,0))+C589)</f>
        <v>95.535732339111306</v>
      </c>
      <c r="D590" s="1">
        <f>IF(IFERROR(MATCH(Tabelle11[[#Headers],[Anton_K]],Spielauswertung!$B578:$E578,0),0)=0,D589,INDEX(Spielauswertung!$AB578:$AE578,MATCH(Tabelle11[[#Headers],[Anton_K]],Spielauswertung!$B578:$E578,0))+D589)</f>
        <v>99.287728777054667</v>
      </c>
      <c r="E590" s="1">
        <f>IF(IFERROR(MATCH(Tabelle11[[#Headers],[Bastian_G]],Spielauswertung!$B578:$E578,0),0)=0,E589,INDEX(Spielauswertung!$AB578:$AE578,MATCH(Tabelle11[[#Headers],[Bastian_G]],Spielauswertung!$B578:$E578,0))+E589)</f>
        <v>117.49978695184252</v>
      </c>
      <c r="F590" s="1">
        <f>IF(IFERROR(MATCH(Tabelle11[[#Headers],[Ben_S]],Spielauswertung!$B578:$E578,0),0)=0,F589,INDEX(Spielauswertung!$AB578:$AE578,MATCH(Tabelle11[[#Headers],[Ben_S]],Spielauswertung!$B578:$E578,0))+F589)</f>
        <v>95.932799101521084</v>
      </c>
      <c r="G590" s="1">
        <f>IF(IFERROR(MATCH(Tabelle11[[#Headers],[Benedikt_K]],Spielauswertung!$B578:$E578,0),0)=0,G589,INDEX(Spielauswertung!$AB578:$AE578,MATCH(Tabelle11[[#Headers],[Benedikt_K]],Spielauswertung!$B578:$E578,0))+G589)</f>
        <v>101.20264176422626</v>
      </c>
      <c r="H590" s="1">
        <f>IF(IFERROR(MATCH(Tabelle11[[#Headers],[Benedikt_R]],Spielauswertung!$B578:$E578,0),0)=0,H589,INDEX(Spielauswertung!$AB578:$AE578,MATCH(Tabelle11[[#Headers],[Benedikt_R]],Spielauswertung!$B578:$E578,0))+H589)</f>
        <v>102.6264770510757</v>
      </c>
      <c r="I590" s="1">
        <f>IF(IFERROR(MATCH(Tabelle11[[#Headers],[Carsten_H]],Spielauswertung!$B578:$E578,0),0)=0,I589,INDEX(Spielauswertung!$AB578:$AE578,MATCH(Tabelle11[[#Headers],[Carsten_H]],Spielauswertung!$B578:$E578,0))+I589)</f>
        <v>90.817185094326874</v>
      </c>
      <c r="J590" s="1">
        <f>IF(IFERROR(MATCH(Tabelle11[[#Headers],[Christoph_R]],Spielauswertung!$B578:$E578,0),0)=0,J589,INDEX(Spielauswertung!$AB578:$AE578,MATCH(Tabelle11[[#Headers],[Christoph_R]],Spielauswertung!$B578:$E578,0))+J589)</f>
        <v>109.73261611443155</v>
      </c>
      <c r="K590" s="1">
        <f>IF(IFERROR(MATCH(Tabelle11[[#Headers],[Claudius_J]],Spielauswertung!$B578:$E578,0),0)=0,K589,INDEX(Spielauswertung!$AB578:$AE578,MATCH(Tabelle11[[#Headers],[Claudius_J]],Spielauswertung!$B578:$E578,0))+K589)</f>
        <v>106.16590636000029</v>
      </c>
      <c r="L590" s="1">
        <f>IF(IFERROR(MATCH(Tabelle11[[#Headers],[Daniel_D]],Spielauswertung!$B578:$E578,0),0)=0,L589,INDEX(Spielauswertung!$AB578:$AE578,MATCH(Tabelle11[[#Headers],[Daniel_D]],Spielauswertung!$B578:$E578,0))+L589)</f>
        <v>99.990299180470089</v>
      </c>
      <c r="M590" s="1">
        <f>IF(IFERROR(MATCH(Tabelle11[[#Headers],[David_R]],Spielauswertung!$B578:$E578,0),0)=0,M589,INDEX(Spielauswertung!$AB578:$AE578,MATCH(Tabelle11[[#Headers],[David_R]],Spielauswertung!$B578:$E578,0))+M589)</f>
        <v>96.715943522481638</v>
      </c>
      <c r="N590" s="1">
        <f>IF(IFERROR(MATCH(Tabelle11[[#Headers],[Dennis_P]],Spielauswertung!$B578:$E578,0),0)=0,N589,INDEX(Spielauswertung!$AB578:$AE578,MATCH(Tabelle11[[#Headers],[Dennis_P]],Spielauswertung!$B578:$E578,0))+N589)</f>
        <v>100.04773223105254</v>
      </c>
      <c r="O590" s="1">
        <f>IF(IFERROR(MATCH(Tabelle11[[#Headers],[Dennis_R]],Spielauswertung!$B578:$E578,0),0)=0,O589,INDEX(Spielauswertung!$AB578:$AE578,MATCH(Tabelle11[[#Headers],[Dennis_R]],Spielauswertung!$B578:$E578,0))+O589)</f>
        <v>75.131680864937195</v>
      </c>
      <c r="P590" s="1">
        <f>IF(IFERROR(MATCH(Tabelle11[[#Headers],[Detlef_R]],Spielauswertung!$B578:$E578,0),0)=0,P589,INDEX(Spielauswertung!$AB578:$AE578,MATCH(Tabelle11[[#Headers],[Detlef_R]],Spielauswertung!$B578:$E578,0))+P589)</f>
        <v>87.984671797367014</v>
      </c>
      <c r="Q590" s="1">
        <f>IF(IFERROR(MATCH(Tabelle11[[#Headers],[Dmitrij_M]],Spielauswertung!$B578:$E578,0),0)=0,Q589,INDEX(Spielauswertung!$AB578:$AE578,MATCH(Tabelle11[[#Headers],[Dmitrij_M]],Spielauswertung!$B578:$E578,0))+Q589)</f>
        <v>100.69975721846207</v>
      </c>
      <c r="R590" s="1">
        <f>IF(IFERROR(MATCH(Tabelle11[[#Headers],[Fabian_M]],Spielauswertung!$B578:$E578,0),0)=0,R589,INDEX(Spielauswertung!$AB578:$AE578,MATCH(Tabelle11[[#Headers],[Fabian_M]],Spielauswertung!$B578:$E578,0))+R589)</f>
        <v>95.805387841610738</v>
      </c>
      <c r="S590" s="1">
        <f>IF(IFERROR(MATCH(Tabelle11[[#Headers],[Hannes_S]],Spielauswertung!$B578:$E578,0),0)=0,S589,INDEX(Spielauswertung!$AB578:$AE578,MATCH(Tabelle11[[#Headers],[Hannes_S]],Spielauswertung!$B578:$E578,0))+S589)</f>
        <v>104.83899184012799</v>
      </c>
      <c r="T590" s="1">
        <f>IF(IFERROR(MATCH(Tabelle11[[#Headers],[Jan_B]],Spielauswertung!$B578:$E578,0),0)=0,T589,INDEX(Spielauswertung!$AB578:$AE578,MATCH(Tabelle11[[#Headers],[Jan_B]],Spielauswertung!$B578:$E578,0))+T589)</f>
        <v>100.2794420429173</v>
      </c>
      <c r="U590" s="1">
        <f>IF(IFERROR(MATCH(Tabelle11[[#Headers],[Jan_Hendrik_B]],Spielauswertung!$B578:$E578,0),0)=0,U589,INDEX(Spielauswertung!$AB578:$AE578,MATCH(Tabelle11[[#Headers],[Jan_Hendrik_B]],Spielauswertung!$B578:$E578,0))+U589)</f>
        <v>100.75492416935522</v>
      </c>
      <c r="V590" s="1">
        <f>IF(IFERROR(MATCH(Tabelle11[[#Headers],[Jens_N]],Spielauswertung!$B578:$E578,0),0)=0,V589,INDEX(Spielauswertung!$AB578:$AE578,MATCH(Tabelle11[[#Headers],[Jens_N]],Spielauswertung!$B578:$E578,0))+V589)</f>
        <v>99.643534710196832</v>
      </c>
      <c r="W590" s="1">
        <f>IF(IFERROR(MATCH(Tabelle11[[#Headers],[Johannes_S]],Spielauswertung!$B578:$E578,0),0)=0,W589,INDEX(Spielauswertung!$AB578:$AE578,MATCH(Tabelle11[[#Headers],[Johannes_S]],Spielauswertung!$B578:$E578,0))+W589)</f>
        <v>102.20284750979505</v>
      </c>
      <c r="X590" s="1">
        <f>IF(IFERROR(MATCH(Tabelle11[[#Headers],[Jonathan_F]],Spielauswertung!$B578:$E578,0),0)=0,X589,INDEX(Spielauswertung!$AB578:$AE578,MATCH(Tabelle11[[#Headers],[Jonathan_F]],Spielauswertung!$B578:$E578,0))+X589)</f>
        <v>98.938308797866256</v>
      </c>
      <c r="Y590" s="1">
        <f>IF(IFERROR(MATCH(Tabelle11[[#Headers],[Julius_P]],Spielauswertung!$B578:$E578,0),0)=0,Y589,INDEX(Spielauswertung!$AB578:$AE578,MATCH(Tabelle11[[#Headers],[Julius_P]],Spielauswertung!$B578:$E578,0))+Y589)</f>
        <v>96.540305101873642</v>
      </c>
      <c r="Z590" s="1">
        <f>IF(IFERROR(MATCH(Tabelle11[[#Headers],[Louis_W]],Spielauswertung!$B578:$E578,0),0)=0,Z589,INDEX(Spielauswertung!$AB578:$AE578,MATCH(Tabelle11[[#Headers],[Louis_W]],Spielauswertung!$B578:$E578,0))+Z589)</f>
        <v>87.497452285475362</v>
      </c>
      <c r="AA590" s="1">
        <f>IF(IFERROR(MATCH(Tabelle11[[#Headers],[Lukas_L]],Spielauswertung!$B578:$E578,0),0)=0,AA589,INDEX(Spielauswertung!$AB578:$AE578,MATCH(Tabelle11[[#Headers],[Lukas_L]],Spielauswertung!$B578:$E578,0))+AA589)</f>
        <v>98.447931341404143</v>
      </c>
      <c r="AB590" s="1">
        <f>IF(IFERROR(MATCH(Tabelle11[[#Headers],[Marcin_S]],Spielauswertung!$B578:$E578,0),0)=0,AB589,INDEX(Spielauswertung!$AB578:$AE578,MATCH(Tabelle11[[#Headers],[Marcin_S]],Spielauswertung!$B578:$E578,0))+AB589)</f>
        <v>85.463329105556824</v>
      </c>
      <c r="AC590" s="1">
        <f>IF(IFERROR(MATCH(Tabelle11[[#Headers],[Marco_K]],Spielauswertung!$B578:$E578,0),0)=0,AC589,INDEX(Spielauswertung!$AB578:$AE578,MATCH(Tabelle11[[#Headers],[Marco_K]],Spielauswertung!$B578:$E578,0))+AC589)</f>
        <v>102.12169819441469</v>
      </c>
      <c r="AD590" s="1">
        <f>IF(IFERROR(MATCH(Tabelle11[[#Headers],[Marius_M]],Spielauswertung!$B578:$E578,0),0)=0,AD589,INDEX(Spielauswertung!$AB578:$AE578,MATCH(Tabelle11[[#Headers],[Marius_M]],Spielauswertung!$B578:$E578,0))+AD589)</f>
        <v>124.54012374585781</v>
      </c>
      <c r="AE590" s="1">
        <f>IF(IFERROR(MATCH(Tabelle11[[#Headers],[Marvin_W]],Spielauswertung!$B578:$E578,0),0)=0,AE589,INDEX(Spielauswertung!$AB578:$AE578,MATCH(Tabelle11[[#Headers],[Marvin_W]],Spielauswertung!$B578:$E578,0))+AE589)</f>
        <v>96.700266280577438</v>
      </c>
      <c r="AF590" s="1">
        <f>IF(IFERROR(MATCH(Tabelle11[[#Headers],[Matthias_H]],Spielauswertung!$B578:$E578,0),0)=0,AF589,INDEX(Spielauswertung!$AB578:$AE578,MATCH(Tabelle11[[#Headers],[Matthias_H]],Spielauswertung!$B578:$E578,0))+AF589)</f>
        <v>105.42130178599372</v>
      </c>
      <c r="AG590" s="1">
        <f>IF(IFERROR(MATCH(Tabelle11[[#Headers],[Michael_D]],Spielauswertung!$B578:$E578,0),0)=0,AG589,INDEX(Spielauswertung!$AB578:$AE578,MATCH(Tabelle11[[#Headers],[Michael_D]],Spielauswertung!$B578:$E578,0))+AG589)</f>
        <v>96.436276170375336</v>
      </c>
      <c r="AH590" s="1">
        <f>IF(IFERROR(MATCH(Tabelle11[[#Headers],[Patrick_S]],Spielauswertung!$B578:$E578,0),0)=0,AH589,INDEX(Spielauswertung!$AB578:$AE578,MATCH(Tabelle11[[#Headers],[Patrick_S]],Spielauswertung!$B578:$E578,0))+AH589)</f>
        <v>98.975330692053802</v>
      </c>
      <c r="AI590" s="1">
        <f>IF(IFERROR(MATCH(Tabelle11[[#Headers],[Rano_M]],Spielauswertung!$B578:$E578,0),0)=0,AI589,INDEX(Spielauswertung!$AB578:$AE578,MATCH(Tabelle11[[#Headers],[Rano_M]],Spielauswertung!$B578:$E578,0))+AI589)</f>
        <v>109.38890657420265</v>
      </c>
      <c r="AJ590" s="1">
        <f>IF(IFERROR(MATCH(Tabelle11[[#Headers],[Rene_N]],Spielauswertung!$B578:$E578,0),0)=0,AJ589,INDEX(Spielauswertung!$AB578:$AE578,MATCH(Tabelle11[[#Headers],[Rene_N]],Spielauswertung!$B578:$E578,0))+AJ589)</f>
        <v>101.06482124619033</v>
      </c>
      <c r="AK590" s="1">
        <f>IF(IFERROR(MATCH(Tabelle11[[#Headers],[Rene_P]],Spielauswertung!$B578:$E578,0),0)=0,AK589,INDEX(Spielauswertung!$AB578:$AE578,MATCH(Tabelle11[[#Headers],[Rene_P]],Spielauswertung!$B578:$E578,0))+AK589)</f>
        <v>88.762543186332877</v>
      </c>
      <c r="AL590" s="1">
        <f>IF(IFERROR(MATCH(Tabelle11[[#Headers],[Richard_D]],Spielauswertung!$B578:$E578,0),0)=0,AL589,INDEX(Spielauswertung!$AB578:$AE578,MATCH(Tabelle11[[#Headers],[Richard_D]],Spielauswertung!$B578:$E578,0))+AL589)</f>
        <v>107.23233592026223</v>
      </c>
      <c r="AM590" s="1">
        <f>IF(IFERROR(MATCH(Tabelle11[[#Headers],[Rodrigo_R]],Spielauswertung!$B578:$E578,0),0)=0,AM589,INDEX(Spielauswertung!$AB578:$AE578,MATCH(Tabelle11[[#Headers],[Rodrigo_R]],Spielauswertung!$B578:$E578,0))+AM589)</f>
        <v>116.7028707921346</v>
      </c>
      <c r="AN590" s="1">
        <f>IF(IFERROR(MATCH(Tabelle11[[#Headers],[Sebastian_A]],Spielauswertung!$B578:$E578,0),0)=0,AN589,INDEX(Spielauswertung!$AB578:$AE578,MATCH(Tabelle11[[#Headers],[Sebastian_A]],Spielauswertung!$B578:$E578,0))+AN589)</f>
        <v>102.89457418671324</v>
      </c>
      <c r="AO590" s="1">
        <f>IF(IFERROR(MATCH(Tabelle11[[#Headers],[Sebastian_St]],Spielauswertung!$B578:$E578,0),0)=0,AO589,INDEX(Spielauswertung!$AB578:$AE578,MATCH(Tabelle11[[#Headers],[Sebastian_St]],Spielauswertung!$B578:$E578,0))+AO589)</f>
        <v>97.749574367408982</v>
      </c>
      <c r="AP590" s="1">
        <f>IF(IFERROR(MATCH(Tabelle11[[#Headers],[Simon_U]],Spielauswertung!$B578:$E578,0),0)=0,AP589,INDEX(Spielauswertung!$AB578:$AE578,MATCH(Tabelle11[[#Headers],[Simon_U]],Spielauswertung!$B578:$E578,0))+AP589)</f>
        <v>99.623054841470903</v>
      </c>
      <c r="AQ590" s="1">
        <f>IF(IFERROR(MATCH(Tabelle11[[#Headers],[Steffen_R]],Spielauswertung!$B578:$E578,0),0)=0,AQ589,INDEX(Spielauswertung!$AB578:$AE578,MATCH(Tabelle11[[#Headers],[Steffen_R]],Spielauswertung!$B578:$E578,0))+AQ589)</f>
        <v>93.247497067190949</v>
      </c>
      <c r="AR590" s="1">
        <f>IF(IFERROR(MATCH(Tabelle11[[#Headers],[Tim_R]],Spielauswertung!$B578:$E578,0),0)=0,AR589,INDEX(Spielauswertung!$AB578:$AE578,MATCH(Tabelle11[[#Headers],[Tim_R]],Spielauswertung!$B578:$E578,0))+AR589)</f>
        <v>103.07503787023374</v>
      </c>
      <c r="AS590" s="1">
        <f>IF(IFERROR(MATCH(Tabelle11[[#Headers],[Tobias_S]],Spielauswertung!$B578:$E578,0),0)=0,AS589,INDEX(Spielauswertung!$AB578:$AE578,MATCH(Tabelle11[[#Headers],[Tobias_S]],Spielauswertung!$B578:$E578,0))+AS589)</f>
        <v>98.6003422659997</v>
      </c>
      <c r="AT590" s="1">
        <f>IF(IFERROR(MATCH(Tabelle11[[#Headers],[Tom_R]],Spielauswertung!$B578:$E578,0),0)=0,AT589,INDEX(Spielauswertung!$AB578:$AE578,MATCH(Tabelle11[[#Headers],[Tom_R]],Spielauswertung!$B578:$E578,0))+AT589)</f>
        <v>112.62344492949197</v>
      </c>
      <c r="AU590" s="1">
        <f>IF(IFERROR(MATCH(Tabelle11[[#Headers],[Ton_L]],Spielauswertung!$B578:$E578,0),0)=0,AU589,INDEX(Spielauswertung!$AB578:$AE578,MATCH(Tabelle11[[#Headers],[Ton_L]],Spielauswertung!$B578:$E578,0))+AU589)</f>
        <v>92.683083360025861</v>
      </c>
      <c r="AV590" s="1">
        <f>IF(IFERROR(MATCH(Tabelle11[[#Headers],[Yixin_G]],Spielauswertung!$B578:$E578,0),0)=0,AV589,INDEX(Spielauswertung!$AB578:$AE578,MATCH(Tabelle11[[#Headers],[Yixin_G]],Spielauswertung!$B578:$E578,0))+AV589)</f>
        <v>99.900323214082661</v>
      </c>
      <c r="AW590" s="1">
        <f>IF(IFERROR(MATCH(Tabelle11[[#Headers],[Spalte36]],Spielauswertung!$B578:$E578,0),0)=0,AW589,INDEX(Spielauswertung!$AB578:$AE578,MATCH(Tabelle11[[#Headers],[Spalte36]],Spielauswertung!$B578:$E578,0))+AW589)</f>
        <v>100</v>
      </c>
      <c r="AX590" s="1">
        <f>IF(IFERROR(MATCH(Tabelle11[[#Headers],[Spalte37]],Spielauswertung!$B578:$E578,0),0)=0,AX589,INDEX(Spielauswertung!$AB578:$AE578,MATCH(Tabelle11[[#Headers],[Spalte37]],Spielauswertung!$B578:$E578,0))+AX589)</f>
        <v>100</v>
      </c>
      <c r="AY590" s="1">
        <f>IF(IFERROR(MATCH(Tabelle11[[#Headers],[Spalte38]],Spielauswertung!$B578:$E578,0),0)=0,AY589,INDEX(Spielauswertung!$AB578:$AE578,MATCH(Tabelle11[[#Headers],[Spalte38]],Spielauswertung!$B578:$E578,0))+AY589)</f>
        <v>100</v>
      </c>
      <c r="AZ590" s="1">
        <f>IF(IFERROR(MATCH(Tabelle11[[#Headers],[Spalte39]],Spielauswertung!$B578:$E578,0),0)=0,AZ589,INDEX(Spielauswertung!$AB578:$AE578,MATCH(Tabelle11[[#Headers],[Spalte39]],Spielauswertung!$B578:$E578,0))+AZ589)</f>
        <v>100</v>
      </c>
      <c r="BA590" s="1">
        <f>IF(IFERROR(MATCH(Tabelle11[[#Headers],[Spalte40]],Spielauswertung!$B578:$E578,0),0)=0,BA589,INDEX(Spielauswertung!$AB578:$AE578,MATCH(Tabelle11[[#Headers],[Spalte40]],Spielauswertung!$B578:$E578,0))+BA589)</f>
        <v>100</v>
      </c>
      <c r="BB590" s="1">
        <f>IF(IFERROR(MATCH(Tabelle11[[#Headers],[Spalte41]],Spielauswertung!$B578:$E578,0),0)=0,BB589,INDEX(Spielauswertung!$AB578:$AE578,MATCH(Tabelle11[[#Headers],[Spalte41]],Spielauswertung!$B578:$E578,0))+BB589)</f>
        <v>100</v>
      </c>
      <c r="BC590" s="1">
        <f>IF(IFERROR(MATCH(Tabelle11[[#Headers],[Spalte42]],Spielauswertung!$B578:$E578,0),0)=0,BC589,INDEX(Spielauswertung!$AB578:$AE578,MATCH(Tabelle11[[#Headers],[Spalte42]],Spielauswertung!$B578:$E578,0))+BC589)</f>
        <v>100</v>
      </c>
      <c r="BD590" s="1">
        <f>IF(IFERROR(MATCH(Tabelle11[[#Headers],[Spalte43]],Spielauswertung!$B578:$E578,0),0)=0,BD589,INDEX(Spielauswertung!$AB578:$AE578,MATCH(Tabelle11[[#Headers],[Spalte43]],Spielauswertung!$B578:$E578,0))+BD589)</f>
        <v>100</v>
      </c>
      <c r="BE590" s="1">
        <f>IF(IFERROR(MATCH(Tabelle11[[#Headers],[Spalte44]],Spielauswertung!$B578:$E578,0),0)=0,BE589,INDEX(Spielauswertung!$AB578:$AE578,MATCH(Tabelle11[[#Headers],[Spalte44]],Spielauswertung!$B578:$E578,0))+BE589)</f>
        <v>100</v>
      </c>
      <c r="BF590" s="1">
        <f>IF(IFERROR(MATCH(Tabelle11[[#Headers],[Spalte45]],Spielauswertung!$B578:$E578,0),0)=0,BF589,INDEX(Spielauswertung!$AB578:$AE578,MATCH(Tabelle11[[#Headers],[Spalte45]],Spielauswertung!$B578:$E578,0))+BF589)</f>
        <v>100</v>
      </c>
      <c r="BG590" s="1">
        <f>IF(IFERROR(MATCH(Tabelle11[[#Headers],[Spalte46]],Spielauswertung!$B578:$E578,0),0)=0,BG589,INDEX(Spielauswertung!$AB578:$AE578,MATCH(Tabelle11[[#Headers],[Spalte46]],Spielauswertung!$B578:$E578,0))+BG589)</f>
        <v>100</v>
      </c>
      <c r="BH590" s="1">
        <f>IF(IFERROR(MATCH(Tabelle11[[#Headers],[Spalte47]],Spielauswertung!$B578:$E578,0),0)=0,BH589,INDEX(Spielauswertung!$AB578:$AE578,MATCH(Tabelle11[[#Headers],[Spalte47]],Spielauswertung!$B578:$E578,0))+BH589)</f>
        <v>100</v>
      </c>
    </row>
    <row r="591" spans="1:60" x14ac:dyDescent="0.25">
      <c r="A591">
        <f t="shared" ref="A591:A654" si="10">A590+1</f>
        <v>578</v>
      </c>
      <c r="B591" s="1">
        <f>IF(IFERROR(MATCH(Tabelle11[[#Headers],[Aleix_V]],Spielauswertung!$B579:$E579,0),0)=0,B590,INDEX(Spielauswertung!$AB579:$AE579,MATCH(Tabelle11[[#Headers],[Aleix_V]],Spielauswertung!$B579:$E579,0))+B590)</f>
        <v>102.47318019444646</v>
      </c>
      <c r="C591" s="1">
        <f>IF(IFERROR(MATCH(Tabelle11[[#Headers],[Andres_H]],Spielauswertung!$B579:$E579,0),0)=0,C590,INDEX(Spielauswertung!$AB579:$AE579,MATCH(Tabelle11[[#Headers],[Andres_H]],Spielauswertung!$B579:$E579,0))+C590)</f>
        <v>95.535732339111306</v>
      </c>
      <c r="D591" s="1">
        <f>IF(IFERROR(MATCH(Tabelle11[[#Headers],[Anton_K]],Spielauswertung!$B579:$E579,0),0)=0,D590,INDEX(Spielauswertung!$AB579:$AE579,MATCH(Tabelle11[[#Headers],[Anton_K]],Spielauswertung!$B579:$E579,0))+D590)</f>
        <v>99.287728777054667</v>
      </c>
      <c r="E591" s="1">
        <f>IF(IFERROR(MATCH(Tabelle11[[#Headers],[Bastian_G]],Spielauswertung!$B579:$E579,0),0)=0,E590,INDEX(Spielauswertung!$AB579:$AE579,MATCH(Tabelle11[[#Headers],[Bastian_G]],Spielauswertung!$B579:$E579,0))+E590)</f>
        <v>117.49978695184252</v>
      </c>
      <c r="F591" s="1">
        <f>IF(IFERROR(MATCH(Tabelle11[[#Headers],[Ben_S]],Spielauswertung!$B579:$E579,0),0)=0,F590,INDEX(Spielauswertung!$AB579:$AE579,MATCH(Tabelle11[[#Headers],[Ben_S]],Spielauswertung!$B579:$E579,0))+F590)</f>
        <v>95.932799101521084</v>
      </c>
      <c r="G591" s="1">
        <f>IF(IFERROR(MATCH(Tabelle11[[#Headers],[Benedikt_K]],Spielauswertung!$B579:$E579,0),0)=0,G590,INDEX(Spielauswertung!$AB579:$AE579,MATCH(Tabelle11[[#Headers],[Benedikt_K]],Spielauswertung!$B579:$E579,0))+G590)</f>
        <v>101.20264176422626</v>
      </c>
      <c r="H591" s="1">
        <f>IF(IFERROR(MATCH(Tabelle11[[#Headers],[Benedikt_R]],Spielauswertung!$B579:$E579,0),0)=0,H590,INDEX(Spielauswertung!$AB579:$AE579,MATCH(Tabelle11[[#Headers],[Benedikt_R]],Spielauswertung!$B579:$E579,0))+H590)</f>
        <v>102.6264770510757</v>
      </c>
      <c r="I591" s="1">
        <f>IF(IFERROR(MATCH(Tabelle11[[#Headers],[Carsten_H]],Spielauswertung!$B579:$E579,0),0)=0,I590,INDEX(Spielauswertung!$AB579:$AE579,MATCH(Tabelle11[[#Headers],[Carsten_H]],Spielauswertung!$B579:$E579,0))+I590)</f>
        <v>90.817185094326874</v>
      </c>
      <c r="J591" s="1">
        <f>IF(IFERROR(MATCH(Tabelle11[[#Headers],[Christoph_R]],Spielauswertung!$B579:$E579,0),0)=0,J590,INDEX(Spielauswertung!$AB579:$AE579,MATCH(Tabelle11[[#Headers],[Christoph_R]],Spielauswertung!$B579:$E579,0))+J590)</f>
        <v>109.73261611443155</v>
      </c>
      <c r="K591" s="1">
        <f>IF(IFERROR(MATCH(Tabelle11[[#Headers],[Claudius_J]],Spielauswertung!$B579:$E579,0),0)=0,K590,INDEX(Spielauswertung!$AB579:$AE579,MATCH(Tabelle11[[#Headers],[Claudius_J]],Spielauswertung!$B579:$E579,0))+K590)</f>
        <v>106.16590636000029</v>
      </c>
      <c r="L591" s="1">
        <f>IF(IFERROR(MATCH(Tabelle11[[#Headers],[Daniel_D]],Spielauswertung!$B579:$E579,0),0)=0,L590,INDEX(Spielauswertung!$AB579:$AE579,MATCH(Tabelle11[[#Headers],[Daniel_D]],Spielauswertung!$B579:$E579,0))+L590)</f>
        <v>99.990299180470089</v>
      </c>
      <c r="M591" s="1">
        <f>IF(IFERROR(MATCH(Tabelle11[[#Headers],[David_R]],Spielauswertung!$B579:$E579,0),0)=0,M590,INDEX(Spielauswertung!$AB579:$AE579,MATCH(Tabelle11[[#Headers],[David_R]],Spielauswertung!$B579:$E579,0))+M590)</f>
        <v>96.715943522481638</v>
      </c>
      <c r="N591" s="1">
        <f>IF(IFERROR(MATCH(Tabelle11[[#Headers],[Dennis_P]],Spielauswertung!$B579:$E579,0),0)=0,N590,INDEX(Spielauswertung!$AB579:$AE579,MATCH(Tabelle11[[#Headers],[Dennis_P]],Spielauswertung!$B579:$E579,0))+N590)</f>
        <v>100.04773223105254</v>
      </c>
      <c r="O591" s="1">
        <f>IF(IFERROR(MATCH(Tabelle11[[#Headers],[Dennis_R]],Spielauswertung!$B579:$E579,0),0)=0,O590,INDEX(Spielauswertung!$AB579:$AE579,MATCH(Tabelle11[[#Headers],[Dennis_R]],Spielauswertung!$B579:$E579,0))+O590)</f>
        <v>75.131680864937195</v>
      </c>
      <c r="P591" s="1">
        <f>IF(IFERROR(MATCH(Tabelle11[[#Headers],[Detlef_R]],Spielauswertung!$B579:$E579,0),0)=0,P590,INDEX(Spielauswertung!$AB579:$AE579,MATCH(Tabelle11[[#Headers],[Detlef_R]],Spielauswertung!$B579:$E579,0))+P590)</f>
        <v>87.984671797367014</v>
      </c>
      <c r="Q591" s="1">
        <f>IF(IFERROR(MATCH(Tabelle11[[#Headers],[Dmitrij_M]],Spielauswertung!$B579:$E579,0),0)=0,Q590,INDEX(Spielauswertung!$AB579:$AE579,MATCH(Tabelle11[[#Headers],[Dmitrij_M]],Spielauswertung!$B579:$E579,0))+Q590)</f>
        <v>100.69975721846207</v>
      </c>
      <c r="R591" s="1">
        <f>IF(IFERROR(MATCH(Tabelle11[[#Headers],[Fabian_M]],Spielauswertung!$B579:$E579,0),0)=0,R590,INDEX(Spielauswertung!$AB579:$AE579,MATCH(Tabelle11[[#Headers],[Fabian_M]],Spielauswertung!$B579:$E579,0))+R590)</f>
        <v>95.805387841610738</v>
      </c>
      <c r="S591" s="1">
        <f>IF(IFERROR(MATCH(Tabelle11[[#Headers],[Hannes_S]],Spielauswertung!$B579:$E579,0),0)=0,S590,INDEX(Spielauswertung!$AB579:$AE579,MATCH(Tabelle11[[#Headers],[Hannes_S]],Spielauswertung!$B579:$E579,0))+S590)</f>
        <v>104.83899184012799</v>
      </c>
      <c r="T591" s="1">
        <f>IF(IFERROR(MATCH(Tabelle11[[#Headers],[Jan_B]],Spielauswertung!$B579:$E579,0),0)=0,T590,INDEX(Spielauswertung!$AB579:$AE579,MATCH(Tabelle11[[#Headers],[Jan_B]],Spielauswertung!$B579:$E579,0))+T590)</f>
        <v>100.2794420429173</v>
      </c>
      <c r="U591" s="1">
        <f>IF(IFERROR(MATCH(Tabelle11[[#Headers],[Jan_Hendrik_B]],Spielauswertung!$B579:$E579,0),0)=0,U590,INDEX(Spielauswertung!$AB579:$AE579,MATCH(Tabelle11[[#Headers],[Jan_Hendrik_B]],Spielauswertung!$B579:$E579,0))+U590)</f>
        <v>100.75492416935522</v>
      </c>
      <c r="V591" s="1">
        <f>IF(IFERROR(MATCH(Tabelle11[[#Headers],[Jens_N]],Spielauswertung!$B579:$E579,0),0)=0,V590,INDEX(Spielauswertung!$AB579:$AE579,MATCH(Tabelle11[[#Headers],[Jens_N]],Spielauswertung!$B579:$E579,0))+V590)</f>
        <v>99.643534710196832</v>
      </c>
      <c r="W591" s="1">
        <f>IF(IFERROR(MATCH(Tabelle11[[#Headers],[Johannes_S]],Spielauswertung!$B579:$E579,0),0)=0,W590,INDEX(Spielauswertung!$AB579:$AE579,MATCH(Tabelle11[[#Headers],[Johannes_S]],Spielauswertung!$B579:$E579,0))+W590)</f>
        <v>102.20284750979505</v>
      </c>
      <c r="X591" s="1">
        <f>IF(IFERROR(MATCH(Tabelle11[[#Headers],[Jonathan_F]],Spielauswertung!$B579:$E579,0),0)=0,X590,INDEX(Spielauswertung!$AB579:$AE579,MATCH(Tabelle11[[#Headers],[Jonathan_F]],Spielauswertung!$B579:$E579,0))+X590)</f>
        <v>98.938308797866256</v>
      </c>
      <c r="Y591" s="1">
        <f>IF(IFERROR(MATCH(Tabelle11[[#Headers],[Julius_P]],Spielauswertung!$B579:$E579,0),0)=0,Y590,INDEX(Spielauswertung!$AB579:$AE579,MATCH(Tabelle11[[#Headers],[Julius_P]],Spielauswertung!$B579:$E579,0))+Y590)</f>
        <v>96.540305101873642</v>
      </c>
      <c r="Z591" s="1">
        <f>IF(IFERROR(MATCH(Tabelle11[[#Headers],[Louis_W]],Spielauswertung!$B579:$E579,0),0)=0,Z590,INDEX(Spielauswertung!$AB579:$AE579,MATCH(Tabelle11[[#Headers],[Louis_W]],Spielauswertung!$B579:$E579,0))+Z590)</f>
        <v>87.497452285475362</v>
      </c>
      <c r="AA591" s="1">
        <f>IF(IFERROR(MATCH(Tabelle11[[#Headers],[Lukas_L]],Spielauswertung!$B579:$E579,0),0)=0,AA590,INDEX(Spielauswertung!$AB579:$AE579,MATCH(Tabelle11[[#Headers],[Lukas_L]],Spielauswertung!$B579:$E579,0))+AA590)</f>
        <v>98.447931341404143</v>
      </c>
      <c r="AB591" s="1">
        <f>IF(IFERROR(MATCH(Tabelle11[[#Headers],[Marcin_S]],Spielauswertung!$B579:$E579,0),0)=0,AB590,INDEX(Spielauswertung!$AB579:$AE579,MATCH(Tabelle11[[#Headers],[Marcin_S]],Spielauswertung!$B579:$E579,0))+AB590)</f>
        <v>85.463329105556824</v>
      </c>
      <c r="AC591" s="1">
        <f>IF(IFERROR(MATCH(Tabelle11[[#Headers],[Marco_K]],Spielauswertung!$B579:$E579,0),0)=0,AC590,INDEX(Spielauswertung!$AB579:$AE579,MATCH(Tabelle11[[#Headers],[Marco_K]],Spielauswertung!$B579:$E579,0))+AC590)</f>
        <v>102.12169819441469</v>
      </c>
      <c r="AD591" s="1">
        <f>IF(IFERROR(MATCH(Tabelle11[[#Headers],[Marius_M]],Spielauswertung!$B579:$E579,0),0)=0,AD590,INDEX(Spielauswertung!$AB579:$AE579,MATCH(Tabelle11[[#Headers],[Marius_M]],Spielauswertung!$B579:$E579,0))+AD590)</f>
        <v>124.54012374585781</v>
      </c>
      <c r="AE591" s="1">
        <f>IF(IFERROR(MATCH(Tabelle11[[#Headers],[Marvin_W]],Spielauswertung!$B579:$E579,0),0)=0,AE590,INDEX(Spielauswertung!$AB579:$AE579,MATCH(Tabelle11[[#Headers],[Marvin_W]],Spielauswertung!$B579:$E579,0))+AE590)</f>
        <v>96.700266280577438</v>
      </c>
      <c r="AF591" s="1">
        <f>IF(IFERROR(MATCH(Tabelle11[[#Headers],[Matthias_H]],Spielauswertung!$B579:$E579,0),0)=0,AF590,INDEX(Spielauswertung!$AB579:$AE579,MATCH(Tabelle11[[#Headers],[Matthias_H]],Spielauswertung!$B579:$E579,0))+AF590)</f>
        <v>105.42130178599372</v>
      </c>
      <c r="AG591" s="1">
        <f>IF(IFERROR(MATCH(Tabelle11[[#Headers],[Michael_D]],Spielauswertung!$B579:$E579,0),0)=0,AG590,INDEX(Spielauswertung!$AB579:$AE579,MATCH(Tabelle11[[#Headers],[Michael_D]],Spielauswertung!$B579:$E579,0))+AG590)</f>
        <v>96.436276170375336</v>
      </c>
      <c r="AH591" s="1">
        <f>IF(IFERROR(MATCH(Tabelle11[[#Headers],[Patrick_S]],Spielauswertung!$B579:$E579,0),0)=0,AH590,INDEX(Spielauswertung!$AB579:$AE579,MATCH(Tabelle11[[#Headers],[Patrick_S]],Spielauswertung!$B579:$E579,0))+AH590)</f>
        <v>98.975330692053802</v>
      </c>
      <c r="AI591" s="1">
        <f>IF(IFERROR(MATCH(Tabelle11[[#Headers],[Rano_M]],Spielauswertung!$B579:$E579,0),0)=0,AI590,INDEX(Spielauswertung!$AB579:$AE579,MATCH(Tabelle11[[#Headers],[Rano_M]],Spielauswertung!$B579:$E579,0))+AI590)</f>
        <v>109.38890657420265</v>
      </c>
      <c r="AJ591" s="1">
        <f>IF(IFERROR(MATCH(Tabelle11[[#Headers],[Rene_N]],Spielauswertung!$B579:$E579,0),0)=0,AJ590,INDEX(Spielauswertung!$AB579:$AE579,MATCH(Tabelle11[[#Headers],[Rene_N]],Spielauswertung!$B579:$E579,0))+AJ590)</f>
        <v>101.06482124619033</v>
      </c>
      <c r="AK591" s="1">
        <f>IF(IFERROR(MATCH(Tabelle11[[#Headers],[Rene_P]],Spielauswertung!$B579:$E579,0),0)=0,AK590,INDEX(Spielauswertung!$AB579:$AE579,MATCH(Tabelle11[[#Headers],[Rene_P]],Spielauswertung!$B579:$E579,0))+AK590)</f>
        <v>88.762543186332877</v>
      </c>
      <c r="AL591" s="1">
        <f>IF(IFERROR(MATCH(Tabelle11[[#Headers],[Richard_D]],Spielauswertung!$B579:$E579,0),0)=0,AL590,INDEX(Spielauswertung!$AB579:$AE579,MATCH(Tabelle11[[#Headers],[Richard_D]],Spielauswertung!$B579:$E579,0))+AL590)</f>
        <v>107.23233592026223</v>
      </c>
      <c r="AM591" s="1">
        <f>IF(IFERROR(MATCH(Tabelle11[[#Headers],[Rodrigo_R]],Spielauswertung!$B579:$E579,0),0)=0,AM590,INDEX(Spielauswertung!$AB579:$AE579,MATCH(Tabelle11[[#Headers],[Rodrigo_R]],Spielauswertung!$B579:$E579,0))+AM590)</f>
        <v>116.7028707921346</v>
      </c>
      <c r="AN591" s="1">
        <f>IF(IFERROR(MATCH(Tabelle11[[#Headers],[Sebastian_A]],Spielauswertung!$B579:$E579,0),0)=0,AN590,INDEX(Spielauswertung!$AB579:$AE579,MATCH(Tabelle11[[#Headers],[Sebastian_A]],Spielauswertung!$B579:$E579,0))+AN590)</f>
        <v>102.89457418671324</v>
      </c>
      <c r="AO591" s="1">
        <f>IF(IFERROR(MATCH(Tabelle11[[#Headers],[Sebastian_St]],Spielauswertung!$B579:$E579,0),0)=0,AO590,INDEX(Spielauswertung!$AB579:$AE579,MATCH(Tabelle11[[#Headers],[Sebastian_St]],Spielauswertung!$B579:$E579,0))+AO590)</f>
        <v>97.749574367408982</v>
      </c>
      <c r="AP591" s="1">
        <f>IF(IFERROR(MATCH(Tabelle11[[#Headers],[Simon_U]],Spielauswertung!$B579:$E579,0),0)=0,AP590,INDEX(Spielauswertung!$AB579:$AE579,MATCH(Tabelle11[[#Headers],[Simon_U]],Spielauswertung!$B579:$E579,0))+AP590)</f>
        <v>99.623054841470903</v>
      </c>
      <c r="AQ591" s="1">
        <f>IF(IFERROR(MATCH(Tabelle11[[#Headers],[Steffen_R]],Spielauswertung!$B579:$E579,0),0)=0,AQ590,INDEX(Spielauswertung!$AB579:$AE579,MATCH(Tabelle11[[#Headers],[Steffen_R]],Spielauswertung!$B579:$E579,0))+AQ590)</f>
        <v>93.247497067190949</v>
      </c>
      <c r="AR591" s="1">
        <f>IF(IFERROR(MATCH(Tabelle11[[#Headers],[Tim_R]],Spielauswertung!$B579:$E579,0),0)=0,AR590,INDEX(Spielauswertung!$AB579:$AE579,MATCH(Tabelle11[[#Headers],[Tim_R]],Spielauswertung!$B579:$E579,0))+AR590)</f>
        <v>103.07503787023374</v>
      </c>
      <c r="AS591" s="1">
        <f>IF(IFERROR(MATCH(Tabelle11[[#Headers],[Tobias_S]],Spielauswertung!$B579:$E579,0),0)=0,AS590,INDEX(Spielauswertung!$AB579:$AE579,MATCH(Tabelle11[[#Headers],[Tobias_S]],Spielauswertung!$B579:$E579,0))+AS590)</f>
        <v>98.6003422659997</v>
      </c>
      <c r="AT591" s="1">
        <f>IF(IFERROR(MATCH(Tabelle11[[#Headers],[Tom_R]],Spielauswertung!$B579:$E579,0),0)=0,AT590,INDEX(Spielauswertung!$AB579:$AE579,MATCH(Tabelle11[[#Headers],[Tom_R]],Spielauswertung!$B579:$E579,0))+AT590)</f>
        <v>112.62344492949197</v>
      </c>
      <c r="AU591" s="1">
        <f>IF(IFERROR(MATCH(Tabelle11[[#Headers],[Ton_L]],Spielauswertung!$B579:$E579,0),0)=0,AU590,INDEX(Spielauswertung!$AB579:$AE579,MATCH(Tabelle11[[#Headers],[Ton_L]],Spielauswertung!$B579:$E579,0))+AU590)</f>
        <v>92.683083360025861</v>
      </c>
      <c r="AV591" s="1">
        <f>IF(IFERROR(MATCH(Tabelle11[[#Headers],[Yixin_G]],Spielauswertung!$B579:$E579,0),0)=0,AV590,INDEX(Spielauswertung!$AB579:$AE579,MATCH(Tabelle11[[#Headers],[Yixin_G]],Spielauswertung!$B579:$E579,0))+AV590)</f>
        <v>99.900323214082661</v>
      </c>
      <c r="AW591" s="1">
        <f>IF(IFERROR(MATCH(Tabelle11[[#Headers],[Spalte36]],Spielauswertung!$B579:$E579,0),0)=0,AW590,INDEX(Spielauswertung!$AB579:$AE579,MATCH(Tabelle11[[#Headers],[Spalte36]],Spielauswertung!$B579:$E579,0))+AW590)</f>
        <v>100</v>
      </c>
      <c r="AX591" s="1">
        <f>IF(IFERROR(MATCH(Tabelle11[[#Headers],[Spalte37]],Spielauswertung!$B579:$E579,0),0)=0,AX590,INDEX(Spielauswertung!$AB579:$AE579,MATCH(Tabelle11[[#Headers],[Spalte37]],Spielauswertung!$B579:$E579,0))+AX590)</f>
        <v>100</v>
      </c>
      <c r="AY591" s="1">
        <f>IF(IFERROR(MATCH(Tabelle11[[#Headers],[Spalte38]],Spielauswertung!$B579:$E579,0),0)=0,AY590,INDEX(Spielauswertung!$AB579:$AE579,MATCH(Tabelle11[[#Headers],[Spalte38]],Spielauswertung!$B579:$E579,0))+AY590)</f>
        <v>100</v>
      </c>
      <c r="AZ591" s="1">
        <f>IF(IFERROR(MATCH(Tabelle11[[#Headers],[Spalte39]],Spielauswertung!$B579:$E579,0),0)=0,AZ590,INDEX(Spielauswertung!$AB579:$AE579,MATCH(Tabelle11[[#Headers],[Spalte39]],Spielauswertung!$B579:$E579,0))+AZ590)</f>
        <v>100</v>
      </c>
      <c r="BA591" s="1">
        <f>IF(IFERROR(MATCH(Tabelle11[[#Headers],[Spalte40]],Spielauswertung!$B579:$E579,0),0)=0,BA590,INDEX(Spielauswertung!$AB579:$AE579,MATCH(Tabelle11[[#Headers],[Spalte40]],Spielauswertung!$B579:$E579,0))+BA590)</f>
        <v>100</v>
      </c>
      <c r="BB591" s="1">
        <f>IF(IFERROR(MATCH(Tabelle11[[#Headers],[Spalte41]],Spielauswertung!$B579:$E579,0),0)=0,BB590,INDEX(Spielauswertung!$AB579:$AE579,MATCH(Tabelle11[[#Headers],[Spalte41]],Spielauswertung!$B579:$E579,0))+BB590)</f>
        <v>100</v>
      </c>
      <c r="BC591" s="1">
        <f>IF(IFERROR(MATCH(Tabelle11[[#Headers],[Spalte42]],Spielauswertung!$B579:$E579,0),0)=0,BC590,INDEX(Spielauswertung!$AB579:$AE579,MATCH(Tabelle11[[#Headers],[Spalte42]],Spielauswertung!$B579:$E579,0))+BC590)</f>
        <v>100</v>
      </c>
      <c r="BD591" s="1">
        <f>IF(IFERROR(MATCH(Tabelle11[[#Headers],[Spalte43]],Spielauswertung!$B579:$E579,0),0)=0,BD590,INDEX(Spielauswertung!$AB579:$AE579,MATCH(Tabelle11[[#Headers],[Spalte43]],Spielauswertung!$B579:$E579,0))+BD590)</f>
        <v>100</v>
      </c>
      <c r="BE591" s="1">
        <f>IF(IFERROR(MATCH(Tabelle11[[#Headers],[Spalte44]],Spielauswertung!$B579:$E579,0),0)=0,BE590,INDEX(Spielauswertung!$AB579:$AE579,MATCH(Tabelle11[[#Headers],[Spalte44]],Spielauswertung!$B579:$E579,0))+BE590)</f>
        <v>100</v>
      </c>
      <c r="BF591" s="1">
        <f>IF(IFERROR(MATCH(Tabelle11[[#Headers],[Spalte45]],Spielauswertung!$B579:$E579,0),0)=0,BF590,INDEX(Spielauswertung!$AB579:$AE579,MATCH(Tabelle11[[#Headers],[Spalte45]],Spielauswertung!$B579:$E579,0))+BF590)</f>
        <v>100</v>
      </c>
      <c r="BG591" s="1">
        <f>IF(IFERROR(MATCH(Tabelle11[[#Headers],[Spalte46]],Spielauswertung!$B579:$E579,0),0)=0,BG590,INDEX(Spielauswertung!$AB579:$AE579,MATCH(Tabelle11[[#Headers],[Spalte46]],Spielauswertung!$B579:$E579,0))+BG590)</f>
        <v>100</v>
      </c>
      <c r="BH591" s="1">
        <f>IF(IFERROR(MATCH(Tabelle11[[#Headers],[Spalte47]],Spielauswertung!$B579:$E579,0),0)=0,BH590,INDEX(Spielauswertung!$AB579:$AE579,MATCH(Tabelle11[[#Headers],[Spalte47]],Spielauswertung!$B579:$E579,0))+BH590)</f>
        <v>100</v>
      </c>
    </row>
    <row r="592" spans="1:60" x14ac:dyDescent="0.25">
      <c r="A592">
        <f t="shared" si="10"/>
        <v>579</v>
      </c>
      <c r="B592" s="1">
        <f>IF(IFERROR(MATCH(Tabelle11[[#Headers],[Aleix_V]],Spielauswertung!$B580:$E580,0),0)=0,B591,INDEX(Spielauswertung!$AB580:$AE580,MATCH(Tabelle11[[#Headers],[Aleix_V]],Spielauswertung!$B580:$E580,0))+B591)</f>
        <v>102.47318019444646</v>
      </c>
      <c r="C592" s="1">
        <f>IF(IFERROR(MATCH(Tabelle11[[#Headers],[Andres_H]],Spielauswertung!$B580:$E580,0),0)=0,C591,INDEX(Spielauswertung!$AB580:$AE580,MATCH(Tabelle11[[#Headers],[Andres_H]],Spielauswertung!$B580:$E580,0))+C591)</f>
        <v>95.535732339111306</v>
      </c>
      <c r="D592" s="1">
        <f>IF(IFERROR(MATCH(Tabelle11[[#Headers],[Anton_K]],Spielauswertung!$B580:$E580,0),0)=0,D591,INDEX(Spielauswertung!$AB580:$AE580,MATCH(Tabelle11[[#Headers],[Anton_K]],Spielauswertung!$B580:$E580,0))+D591)</f>
        <v>99.287728777054667</v>
      </c>
      <c r="E592" s="1">
        <f>IF(IFERROR(MATCH(Tabelle11[[#Headers],[Bastian_G]],Spielauswertung!$B580:$E580,0),0)=0,E591,INDEX(Spielauswertung!$AB580:$AE580,MATCH(Tabelle11[[#Headers],[Bastian_G]],Spielauswertung!$B580:$E580,0))+E591)</f>
        <v>117.49978695184252</v>
      </c>
      <c r="F592" s="1">
        <f>IF(IFERROR(MATCH(Tabelle11[[#Headers],[Ben_S]],Spielauswertung!$B580:$E580,0),0)=0,F591,INDEX(Spielauswertung!$AB580:$AE580,MATCH(Tabelle11[[#Headers],[Ben_S]],Spielauswertung!$B580:$E580,0))+F591)</f>
        <v>95.932799101521084</v>
      </c>
      <c r="G592" s="1">
        <f>IF(IFERROR(MATCH(Tabelle11[[#Headers],[Benedikt_K]],Spielauswertung!$B580:$E580,0),0)=0,G591,INDEX(Spielauswertung!$AB580:$AE580,MATCH(Tabelle11[[#Headers],[Benedikt_K]],Spielauswertung!$B580:$E580,0))+G591)</f>
        <v>101.20264176422626</v>
      </c>
      <c r="H592" s="1">
        <f>IF(IFERROR(MATCH(Tabelle11[[#Headers],[Benedikt_R]],Spielauswertung!$B580:$E580,0),0)=0,H591,INDEX(Spielauswertung!$AB580:$AE580,MATCH(Tabelle11[[#Headers],[Benedikt_R]],Spielauswertung!$B580:$E580,0))+H591)</f>
        <v>102.6264770510757</v>
      </c>
      <c r="I592" s="1">
        <f>IF(IFERROR(MATCH(Tabelle11[[#Headers],[Carsten_H]],Spielauswertung!$B580:$E580,0),0)=0,I591,INDEX(Spielauswertung!$AB580:$AE580,MATCH(Tabelle11[[#Headers],[Carsten_H]],Spielauswertung!$B580:$E580,0))+I591)</f>
        <v>90.817185094326874</v>
      </c>
      <c r="J592" s="1">
        <f>IF(IFERROR(MATCH(Tabelle11[[#Headers],[Christoph_R]],Spielauswertung!$B580:$E580,0),0)=0,J591,INDEX(Spielauswertung!$AB580:$AE580,MATCH(Tabelle11[[#Headers],[Christoph_R]],Spielauswertung!$B580:$E580,0))+J591)</f>
        <v>109.73261611443155</v>
      </c>
      <c r="K592" s="1">
        <f>IF(IFERROR(MATCH(Tabelle11[[#Headers],[Claudius_J]],Spielauswertung!$B580:$E580,0),0)=0,K591,INDEX(Spielauswertung!$AB580:$AE580,MATCH(Tabelle11[[#Headers],[Claudius_J]],Spielauswertung!$B580:$E580,0))+K591)</f>
        <v>106.16590636000029</v>
      </c>
      <c r="L592" s="1">
        <f>IF(IFERROR(MATCH(Tabelle11[[#Headers],[Daniel_D]],Spielauswertung!$B580:$E580,0),0)=0,L591,INDEX(Spielauswertung!$AB580:$AE580,MATCH(Tabelle11[[#Headers],[Daniel_D]],Spielauswertung!$B580:$E580,0))+L591)</f>
        <v>99.990299180470089</v>
      </c>
      <c r="M592" s="1">
        <f>IF(IFERROR(MATCH(Tabelle11[[#Headers],[David_R]],Spielauswertung!$B580:$E580,0),0)=0,M591,INDEX(Spielauswertung!$AB580:$AE580,MATCH(Tabelle11[[#Headers],[David_R]],Spielauswertung!$B580:$E580,0))+M591)</f>
        <v>96.715943522481638</v>
      </c>
      <c r="N592" s="1">
        <f>IF(IFERROR(MATCH(Tabelle11[[#Headers],[Dennis_P]],Spielauswertung!$B580:$E580,0),0)=0,N591,INDEX(Spielauswertung!$AB580:$AE580,MATCH(Tabelle11[[#Headers],[Dennis_P]],Spielauswertung!$B580:$E580,0))+N591)</f>
        <v>100.04773223105254</v>
      </c>
      <c r="O592" s="1">
        <f>IF(IFERROR(MATCH(Tabelle11[[#Headers],[Dennis_R]],Spielauswertung!$B580:$E580,0),0)=0,O591,INDEX(Spielauswertung!$AB580:$AE580,MATCH(Tabelle11[[#Headers],[Dennis_R]],Spielauswertung!$B580:$E580,0))+O591)</f>
        <v>75.131680864937195</v>
      </c>
      <c r="P592" s="1">
        <f>IF(IFERROR(MATCH(Tabelle11[[#Headers],[Detlef_R]],Spielauswertung!$B580:$E580,0),0)=0,P591,INDEX(Spielauswertung!$AB580:$AE580,MATCH(Tabelle11[[#Headers],[Detlef_R]],Spielauswertung!$B580:$E580,0))+P591)</f>
        <v>87.984671797367014</v>
      </c>
      <c r="Q592" s="1">
        <f>IF(IFERROR(MATCH(Tabelle11[[#Headers],[Dmitrij_M]],Spielauswertung!$B580:$E580,0),0)=0,Q591,INDEX(Spielauswertung!$AB580:$AE580,MATCH(Tabelle11[[#Headers],[Dmitrij_M]],Spielauswertung!$B580:$E580,0))+Q591)</f>
        <v>100.69975721846207</v>
      </c>
      <c r="R592" s="1">
        <f>IF(IFERROR(MATCH(Tabelle11[[#Headers],[Fabian_M]],Spielauswertung!$B580:$E580,0),0)=0,R591,INDEX(Spielauswertung!$AB580:$AE580,MATCH(Tabelle11[[#Headers],[Fabian_M]],Spielauswertung!$B580:$E580,0))+R591)</f>
        <v>95.805387841610738</v>
      </c>
      <c r="S592" s="1">
        <f>IF(IFERROR(MATCH(Tabelle11[[#Headers],[Hannes_S]],Spielauswertung!$B580:$E580,0),0)=0,S591,INDEX(Spielauswertung!$AB580:$AE580,MATCH(Tabelle11[[#Headers],[Hannes_S]],Spielauswertung!$B580:$E580,0))+S591)</f>
        <v>104.83899184012799</v>
      </c>
      <c r="T592" s="1">
        <f>IF(IFERROR(MATCH(Tabelle11[[#Headers],[Jan_B]],Spielauswertung!$B580:$E580,0),0)=0,T591,INDEX(Spielauswertung!$AB580:$AE580,MATCH(Tabelle11[[#Headers],[Jan_B]],Spielauswertung!$B580:$E580,0))+T591)</f>
        <v>100.2794420429173</v>
      </c>
      <c r="U592" s="1">
        <f>IF(IFERROR(MATCH(Tabelle11[[#Headers],[Jan_Hendrik_B]],Spielauswertung!$B580:$E580,0),0)=0,U591,INDEX(Spielauswertung!$AB580:$AE580,MATCH(Tabelle11[[#Headers],[Jan_Hendrik_B]],Spielauswertung!$B580:$E580,0))+U591)</f>
        <v>100.75492416935522</v>
      </c>
      <c r="V592" s="1">
        <f>IF(IFERROR(MATCH(Tabelle11[[#Headers],[Jens_N]],Spielauswertung!$B580:$E580,0),0)=0,V591,INDEX(Spielauswertung!$AB580:$AE580,MATCH(Tabelle11[[#Headers],[Jens_N]],Spielauswertung!$B580:$E580,0))+V591)</f>
        <v>99.643534710196832</v>
      </c>
      <c r="W592" s="1">
        <f>IF(IFERROR(MATCH(Tabelle11[[#Headers],[Johannes_S]],Spielauswertung!$B580:$E580,0),0)=0,W591,INDEX(Spielauswertung!$AB580:$AE580,MATCH(Tabelle11[[#Headers],[Johannes_S]],Spielauswertung!$B580:$E580,0))+W591)</f>
        <v>102.20284750979505</v>
      </c>
      <c r="X592" s="1">
        <f>IF(IFERROR(MATCH(Tabelle11[[#Headers],[Jonathan_F]],Spielauswertung!$B580:$E580,0),0)=0,X591,INDEX(Spielauswertung!$AB580:$AE580,MATCH(Tabelle11[[#Headers],[Jonathan_F]],Spielauswertung!$B580:$E580,0))+X591)</f>
        <v>98.938308797866256</v>
      </c>
      <c r="Y592" s="1">
        <f>IF(IFERROR(MATCH(Tabelle11[[#Headers],[Julius_P]],Spielauswertung!$B580:$E580,0),0)=0,Y591,INDEX(Spielauswertung!$AB580:$AE580,MATCH(Tabelle11[[#Headers],[Julius_P]],Spielauswertung!$B580:$E580,0))+Y591)</f>
        <v>96.540305101873642</v>
      </c>
      <c r="Z592" s="1">
        <f>IF(IFERROR(MATCH(Tabelle11[[#Headers],[Louis_W]],Spielauswertung!$B580:$E580,0),0)=0,Z591,INDEX(Spielauswertung!$AB580:$AE580,MATCH(Tabelle11[[#Headers],[Louis_W]],Spielauswertung!$B580:$E580,0))+Z591)</f>
        <v>87.497452285475362</v>
      </c>
      <c r="AA592" s="1">
        <f>IF(IFERROR(MATCH(Tabelle11[[#Headers],[Lukas_L]],Spielauswertung!$B580:$E580,0),0)=0,AA591,INDEX(Spielauswertung!$AB580:$AE580,MATCH(Tabelle11[[#Headers],[Lukas_L]],Spielauswertung!$B580:$E580,0))+AA591)</f>
        <v>98.447931341404143</v>
      </c>
      <c r="AB592" s="1">
        <f>IF(IFERROR(MATCH(Tabelle11[[#Headers],[Marcin_S]],Spielauswertung!$B580:$E580,0),0)=0,AB591,INDEX(Spielauswertung!$AB580:$AE580,MATCH(Tabelle11[[#Headers],[Marcin_S]],Spielauswertung!$B580:$E580,0))+AB591)</f>
        <v>85.463329105556824</v>
      </c>
      <c r="AC592" s="1">
        <f>IF(IFERROR(MATCH(Tabelle11[[#Headers],[Marco_K]],Spielauswertung!$B580:$E580,0),0)=0,AC591,INDEX(Spielauswertung!$AB580:$AE580,MATCH(Tabelle11[[#Headers],[Marco_K]],Spielauswertung!$B580:$E580,0))+AC591)</f>
        <v>102.12169819441469</v>
      </c>
      <c r="AD592" s="1">
        <f>IF(IFERROR(MATCH(Tabelle11[[#Headers],[Marius_M]],Spielauswertung!$B580:$E580,0),0)=0,AD591,INDEX(Spielauswertung!$AB580:$AE580,MATCH(Tabelle11[[#Headers],[Marius_M]],Spielauswertung!$B580:$E580,0))+AD591)</f>
        <v>124.54012374585781</v>
      </c>
      <c r="AE592" s="1">
        <f>IF(IFERROR(MATCH(Tabelle11[[#Headers],[Marvin_W]],Spielauswertung!$B580:$E580,0),0)=0,AE591,INDEX(Spielauswertung!$AB580:$AE580,MATCH(Tabelle11[[#Headers],[Marvin_W]],Spielauswertung!$B580:$E580,0))+AE591)</f>
        <v>96.700266280577438</v>
      </c>
      <c r="AF592" s="1">
        <f>IF(IFERROR(MATCH(Tabelle11[[#Headers],[Matthias_H]],Spielauswertung!$B580:$E580,0),0)=0,AF591,INDEX(Spielauswertung!$AB580:$AE580,MATCH(Tabelle11[[#Headers],[Matthias_H]],Spielauswertung!$B580:$E580,0))+AF591)</f>
        <v>105.42130178599372</v>
      </c>
      <c r="AG592" s="1">
        <f>IF(IFERROR(MATCH(Tabelle11[[#Headers],[Michael_D]],Spielauswertung!$B580:$E580,0),0)=0,AG591,INDEX(Spielauswertung!$AB580:$AE580,MATCH(Tabelle11[[#Headers],[Michael_D]],Spielauswertung!$B580:$E580,0))+AG591)</f>
        <v>96.436276170375336</v>
      </c>
      <c r="AH592" s="1">
        <f>IF(IFERROR(MATCH(Tabelle11[[#Headers],[Patrick_S]],Spielauswertung!$B580:$E580,0),0)=0,AH591,INDEX(Spielauswertung!$AB580:$AE580,MATCH(Tabelle11[[#Headers],[Patrick_S]],Spielauswertung!$B580:$E580,0))+AH591)</f>
        <v>98.975330692053802</v>
      </c>
      <c r="AI592" s="1">
        <f>IF(IFERROR(MATCH(Tabelle11[[#Headers],[Rano_M]],Spielauswertung!$B580:$E580,0),0)=0,AI591,INDEX(Spielauswertung!$AB580:$AE580,MATCH(Tabelle11[[#Headers],[Rano_M]],Spielauswertung!$B580:$E580,0))+AI591)</f>
        <v>109.38890657420265</v>
      </c>
      <c r="AJ592" s="1">
        <f>IF(IFERROR(MATCH(Tabelle11[[#Headers],[Rene_N]],Spielauswertung!$B580:$E580,0),0)=0,AJ591,INDEX(Spielauswertung!$AB580:$AE580,MATCH(Tabelle11[[#Headers],[Rene_N]],Spielauswertung!$B580:$E580,0))+AJ591)</f>
        <v>101.06482124619033</v>
      </c>
      <c r="AK592" s="1">
        <f>IF(IFERROR(MATCH(Tabelle11[[#Headers],[Rene_P]],Spielauswertung!$B580:$E580,0),0)=0,AK591,INDEX(Spielauswertung!$AB580:$AE580,MATCH(Tabelle11[[#Headers],[Rene_P]],Spielauswertung!$B580:$E580,0))+AK591)</f>
        <v>88.762543186332877</v>
      </c>
      <c r="AL592" s="1">
        <f>IF(IFERROR(MATCH(Tabelle11[[#Headers],[Richard_D]],Spielauswertung!$B580:$E580,0),0)=0,AL591,INDEX(Spielauswertung!$AB580:$AE580,MATCH(Tabelle11[[#Headers],[Richard_D]],Spielauswertung!$B580:$E580,0))+AL591)</f>
        <v>107.23233592026223</v>
      </c>
      <c r="AM592" s="1">
        <f>IF(IFERROR(MATCH(Tabelle11[[#Headers],[Rodrigo_R]],Spielauswertung!$B580:$E580,0),0)=0,AM591,INDEX(Spielauswertung!$AB580:$AE580,MATCH(Tabelle11[[#Headers],[Rodrigo_R]],Spielauswertung!$B580:$E580,0))+AM591)</f>
        <v>116.7028707921346</v>
      </c>
      <c r="AN592" s="1">
        <f>IF(IFERROR(MATCH(Tabelle11[[#Headers],[Sebastian_A]],Spielauswertung!$B580:$E580,0),0)=0,AN591,INDEX(Spielauswertung!$AB580:$AE580,MATCH(Tabelle11[[#Headers],[Sebastian_A]],Spielauswertung!$B580:$E580,0))+AN591)</f>
        <v>102.89457418671324</v>
      </c>
      <c r="AO592" s="1">
        <f>IF(IFERROR(MATCH(Tabelle11[[#Headers],[Sebastian_St]],Spielauswertung!$B580:$E580,0),0)=0,AO591,INDEX(Spielauswertung!$AB580:$AE580,MATCH(Tabelle11[[#Headers],[Sebastian_St]],Spielauswertung!$B580:$E580,0))+AO591)</f>
        <v>97.749574367408982</v>
      </c>
      <c r="AP592" s="1">
        <f>IF(IFERROR(MATCH(Tabelle11[[#Headers],[Simon_U]],Spielauswertung!$B580:$E580,0),0)=0,AP591,INDEX(Spielauswertung!$AB580:$AE580,MATCH(Tabelle11[[#Headers],[Simon_U]],Spielauswertung!$B580:$E580,0))+AP591)</f>
        <v>99.623054841470903</v>
      </c>
      <c r="AQ592" s="1">
        <f>IF(IFERROR(MATCH(Tabelle11[[#Headers],[Steffen_R]],Spielauswertung!$B580:$E580,0),0)=0,AQ591,INDEX(Spielauswertung!$AB580:$AE580,MATCH(Tabelle11[[#Headers],[Steffen_R]],Spielauswertung!$B580:$E580,0))+AQ591)</f>
        <v>93.247497067190949</v>
      </c>
      <c r="AR592" s="1">
        <f>IF(IFERROR(MATCH(Tabelle11[[#Headers],[Tim_R]],Spielauswertung!$B580:$E580,0),0)=0,AR591,INDEX(Spielauswertung!$AB580:$AE580,MATCH(Tabelle11[[#Headers],[Tim_R]],Spielauswertung!$B580:$E580,0))+AR591)</f>
        <v>103.07503787023374</v>
      </c>
      <c r="AS592" s="1">
        <f>IF(IFERROR(MATCH(Tabelle11[[#Headers],[Tobias_S]],Spielauswertung!$B580:$E580,0),0)=0,AS591,INDEX(Spielauswertung!$AB580:$AE580,MATCH(Tabelle11[[#Headers],[Tobias_S]],Spielauswertung!$B580:$E580,0))+AS591)</f>
        <v>98.6003422659997</v>
      </c>
      <c r="AT592" s="1">
        <f>IF(IFERROR(MATCH(Tabelle11[[#Headers],[Tom_R]],Spielauswertung!$B580:$E580,0),0)=0,AT591,INDEX(Spielauswertung!$AB580:$AE580,MATCH(Tabelle11[[#Headers],[Tom_R]],Spielauswertung!$B580:$E580,0))+AT591)</f>
        <v>112.62344492949197</v>
      </c>
      <c r="AU592" s="1">
        <f>IF(IFERROR(MATCH(Tabelle11[[#Headers],[Ton_L]],Spielauswertung!$B580:$E580,0),0)=0,AU591,INDEX(Spielauswertung!$AB580:$AE580,MATCH(Tabelle11[[#Headers],[Ton_L]],Spielauswertung!$B580:$E580,0))+AU591)</f>
        <v>92.683083360025861</v>
      </c>
      <c r="AV592" s="1">
        <f>IF(IFERROR(MATCH(Tabelle11[[#Headers],[Yixin_G]],Spielauswertung!$B580:$E580,0),0)=0,AV591,INDEX(Spielauswertung!$AB580:$AE580,MATCH(Tabelle11[[#Headers],[Yixin_G]],Spielauswertung!$B580:$E580,0))+AV591)</f>
        <v>99.900323214082661</v>
      </c>
      <c r="AW592" s="1">
        <f>IF(IFERROR(MATCH(Tabelle11[[#Headers],[Spalte36]],Spielauswertung!$B580:$E580,0),0)=0,AW591,INDEX(Spielauswertung!$AB580:$AE580,MATCH(Tabelle11[[#Headers],[Spalte36]],Spielauswertung!$B580:$E580,0))+AW591)</f>
        <v>100</v>
      </c>
      <c r="AX592" s="1">
        <f>IF(IFERROR(MATCH(Tabelle11[[#Headers],[Spalte37]],Spielauswertung!$B580:$E580,0),0)=0,AX591,INDEX(Spielauswertung!$AB580:$AE580,MATCH(Tabelle11[[#Headers],[Spalte37]],Spielauswertung!$B580:$E580,0))+AX591)</f>
        <v>100</v>
      </c>
      <c r="AY592" s="1">
        <f>IF(IFERROR(MATCH(Tabelle11[[#Headers],[Spalte38]],Spielauswertung!$B580:$E580,0),0)=0,AY591,INDEX(Spielauswertung!$AB580:$AE580,MATCH(Tabelle11[[#Headers],[Spalte38]],Spielauswertung!$B580:$E580,0))+AY591)</f>
        <v>100</v>
      </c>
      <c r="AZ592" s="1">
        <f>IF(IFERROR(MATCH(Tabelle11[[#Headers],[Spalte39]],Spielauswertung!$B580:$E580,0),0)=0,AZ591,INDEX(Spielauswertung!$AB580:$AE580,MATCH(Tabelle11[[#Headers],[Spalte39]],Spielauswertung!$B580:$E580,0))+AZ591)</f>
        <v>100</v>
      </c>
      <c r="BA592" s="1">
        <f>IF(IFERROR(MATCH(Tabelle11[[#Headers],[Spalte40]],Spielauswertung!$B580:$E580,0),0)=0,BA591,INDEX(Spielauswertung!$AB580:$AE580,MATCH(Tabelle11[[#Headers],[Spalte40]],Spielauswertung!$B580:$E580,0))+BA591)</f>
        <v>100</v>
      </c>
      <c r="BB592" s="1">
        <f>IF(IFERROR(MATCH(Tabelle11[[#Headers],[Spalte41]],Spielauswertung!$B580:$E580,0),0)=0,BB591,INDEX(Spielauswertung!$AB580:$AE580,MATCH(Tabelle11[[#Headers],[Spalte41]],Spielauswertung!$B580:$E580,0))+BB591)</f>
        <v>100</v>
      </c>
      <c r="BC592" s="1">
        <f>IF(IFERROR(MATCH(Tabelle11[[#Headers],[Spalte42]],Spielauswertung!$B580:$E580,0),0)=0,BC591,INDEX(Spielauswertung!$AB580:$AE580,MATCH(Tabelle11[[#Headers],[Spalte42]],Spielauswertung!$B580:$E580,0))+BC591)</f>
        <v>100</v>
      </c>
      <c r="BD592" s="1">
        <f>IF(IFERROR(MATCH(Tabelle11[[#Headers],[Spalte43]],Spielauswertung!$B580:$E580,0),0)=0,BD591,INDEX(Spielauswertung!$AB580:$AE580,MATCH(Tabelle11[[#Headers],[Spalte43]],Spielauswertung!$B580:$E580,0))+BD591)</f>
        <v>100</v>
      </c>
      <c r="BE592" s="1">
        <f>IF(IFERROR(MATCH(Tabelle11[[#Headers],[Spalte44]],Spielauswertung!$B580:$E580,0),0)=0,BE591,INDEX(Spielauswertung!$AB580:$AE580,MATCH(Tabelle11[[#Headers],[Spalte44]],Spielauswertung!$B580:$E580,0))+BE591)</f>
        <v>100</v>
      </c>
      <c r="BF592" s="1">
        <f>IF(IFERROR(MATCH(Tabelle11[[#Headers],[Spalte45]],Spielauswertung!$B580:$E580,0),0)=0,BF591,INDEX(Spielauswertung!$AB580:$AE580,MATCH(Tabelle11[[#Headers],[Spalte45]],Spielauswertung!$B580:$E580,0))+BF591)</f>
        <v>100</v>
      </c>
      <c r="BG592" s="1">
        <f>IF(IFERROR(MATCH(Tabelle11[[#Headers],[Spalte46]],Spielauswertung!$B580:$E580,0),0)=0,BG591,INDEX(Spielauswertung!$AB580:$AE580,MATCH(Tabelle11[[#Headers],[Spalte46]],Spielauswertung!$B580:$E580,0))+BG591)</f>
        <v>100</v>
      </c>
      <c r="BH592" s="1">
        <f>IF(IFERROR(MATCH(Tabelle11[[#Headers],[Spalte47]],Spielauswertung!$B580:$E580,0),0)=0,BH591,INDEX(Spielauswertung!$AB580:$AE580,MATCH(Tabelle11[[#Headers],[Spalte47]],Spielauswertung!$B580:$E580,0))+BH591)</f>
        <v>100</v>
      </c>
    </row>
    <row r="593" spans="1:60" x14ac:dyDescent="0.25">
      <c r="A593">
        <f t="shared" si="10"/>
        <v>580</v>
      </c>
      <c r="B593" s="1">
        <f>IF(IFERROR(MATCH(Tabelle11[[#Headers],[Aleix_V]],Spielauswertung!$B581:$E581,0),0)=0,B592,INDEX(Spielauswertung!$AB581:$AE581,MATCH(Tabelle11[[#Headers],[Aleix_V]],Spielauswertung!$B581:$E581,0))+B592)</f>
        <v>102.47318019444646</v>
      </c>
      <c r="C593" s="1">
        <f>IF(IFERROR(MATCH(Tabelle11[[#Headers],[Andres_H]],Spielauswertung!$B581:$E581,0),0)=0,C592,INDEX(Spielauswertung!$AB581:$AE581,MATCH(Tabelle11[[#Headers],[Andres_H]],Spielauswertung!$B581:$E581,0))+C592)</f>
        <v>95.535732339111306</v>
      </c>
      <c r="D593" s="1">
        <f>IF(IFERROR(MATCH(Tabelle11[[#Headers],[Anton_K]],Spielauswertung!$B581:$E581,0),0)=0,D592,INDEX(Spielauswertung!$AB581:$AE581,MATCH(Tabelle11[[#Headers],[Anton_K]],Spielauswertung!$B581:$E581,0))+D592)</f>
        <v>99.287728777054667</v>
      </c>
      <c r="E593" s="1">
        <f>IF(IFERROR(MATCH(Tabelle11[[#Headers],[Bastian_G]],Spielauswertung!$B581:$E581,0),0)=0,E592,INDEX(Spielauswertung!$AB581:$AE581,MATCH(Tabelle11[[#Headers],[Bastian_G]],Spielauswertung!$B581:$E581,0))+E592)</f>
        <v>117.49978695184252</v>
      </c>
      <c r="F593" s="1">
        <f>IF(IFERROR(MATCH(Tabelle11[[#Headers],[Ben_S]],Spielauswertung!$B581:$E581,0),0)=0,F592,INDEX(Spielauswertung!$AB581:$AE581,MATCH(Tabelle11[[#Headers],[Ben_S]],Spielauswertung!$B581:$E581,0))+F592)</f>
        <v>95.932799101521084</v>
      </c>
      <c r="G593" s="1">
        <f>IF(IFERROR(MATCH(Tabelle11[[#Headers],[Benedikt_K]],Spielauswertung!$B581:$E581,0),0)=0,G592,INDEX(Spielauswertung!$AB581:$AE581,MATCH(Tabelle11[[#Headers],[Benedikt_K]],Spielauswertung!$B581:$E581,0))+G592)</f>
        <v>101.20264176422626</v>
      </c>
      <c r="H593" s="1">
        <f>IF(IFERROR(MATCH(Tabelle11[[#Headers],[Benedikt_R]],Spielauswertung!$B581:$E581,0),0)=0,H592,INDEX(Spielauswertung!$AB581:$AE581,MATCH(Tabelle11[[#Headers],[Benedikt_R]],Spielauswertung!$B581:$E581,0))+H592)</f>
        <v>102.6264770510757</v>
      </c>
      <c r="I593" s="1">
        <f>IF(IFERROR(MATCH(Tabelle11[[#Headers],[Carsten_H]],Spielauswertung!$B581:$E581,0),0)=0,I592,INDEX(Spielauswertung!$AB581:$AE581,MATCH(Tabelle11[[#Headers],[Carsten_H]],Spielauswertung!$B581:$E581,0))+I592)</f>
        <v>90.817185094326874</v>
      </c>
      <c r="J593" s="1">
        <f>IF(IFERROR(MATCH(Tabelle11[[#Headers],[Christoph_R]],Spielauswertung!$B581:$E581,0),0)=0,J592,INDEX(Spielauswertung!$AB581:$AE581,MATCH(Tabelle11[[#Headers],[Christoph_R]],Spielauswertung!$B581:$E581,0))+J592)</f>
        <v>109.73261611443155</v>
      </c>
      <c r="K593" s="1">
        <f>IF(IFERROR(MATCH(Tabelle11[[#Headers],[Claudius_J]],Spielauswertung!$B581:$E581,0),0)=0,K592,INDEX(Spielauswertung!$AB581:$AE581,MATCH(Tabelle11[[#Headers],[Claudius_J]],Spielauswertung!$B581:$E581,0))+K592)</f>
        <v>106.16590636000029</v>
      </c>
      <c r="L593" s="1">
        <f>IF(IFERROR(MATCH(Tabelle11[[#Headers],[Daniel_D]],Spielauswertung!$B581:$E581,0),0)=0,L592,INDEX(Spielauswertung!$AB581:$AE581,MATCH(Tabelle11[[#Headers],[Daniel_D]],Spielauswertung!$B581:$E581,0))+L592)</f>
        <v>99.990299180470089</v>
      </c>
      <c r="M593" s="1">
        <f>IF(IFERROR(MATCH(Tabelle11[[#Headers],[David_R]],Spielauswertung!$B581:$E581,0),0)=0,M592,INDEX(Spielauswertung!$AB581:$AE581,MATCH(Tabelle11[[#Headers],[David_R]],Spielauswertung!$B581:$E581,0))+M592)</f>
        <v>96.715943522481638</v>
      </c>
      <c r="N593" s="1">
        <f>IF(IFERROR(MATCH(Tabelle11[[#Headers],[Dennis_P]],Spielauswertung!$B581:$E581,0),0)=0,N592,INDEX(Spielauswertung!$AB581:$AE581,MATCH(Tabelle11[[#Headers],[Dennis_P]],Spielauswertung!$B581:$E581,0))+N592)</f>
        <v>100.04773223105254</v>
      </c>
      <c r="O593" s="1">
        <f>IF(IFERROR(MATCH(Tabelle11[[#Headers],[Dennis_R]],Spielauswertung!$B581:$E581,0),0)=0,O592,INDEX(Spielauswertung!$AB581:$AE581,MATCH(Tabelle11[[#Headers],[Dennis_R]],Spielauswertung!$B581:$E581,0))+O592)</f>
        <v>75.131680864937195</v>
      </c>
      <c r="P593" s="1">
        <f>IF(IFERROR(MATCH(Tabelle11[[#Headers],[Detlef_R]],Spielauswertung!$B581:$E581,0),0)=0,P592,INDEX(Spielauswertung!$AB581:$AE581,MATCH(Tabelle11[[#Headers],[Detlef_R]],Spielauswertung!$B581:$E581,0))+P592)</f>
        <v>87.984671797367014</v>
      </c>
      <c r="Q593" s="1">
        <f>IF(IFERROR(MATCH(Tabelle11[[#Headers],[Dmitrij_M]],Spielauswertung!$B581:$E581,0),0)=0,Q592,INDEX(Spielauswertung!$AB581:$AE581,MATCH(Tabelle11[[#Headers],[Dmitrij_M]],Spielauswertung!$B581:$E581,0))+Q592)</f>
        <v>100.69975721846207</v>
      </c>
      <c r="R593" s="1">
        <f>IF(IFERROR(MATCH(Tabelle11[[#Headers],[Fabian_M]],Spielauswertung!$B581:$E581,0),0)=0,R592,INDEX(Spielauswertung!$AB581:$AE581,MATCH(Tabelle11[[#Headers],[Fabian_M]],Spielauswertung!$B581:$E581,0))+R592)</f>
        <v>95.805387841610738</v>
      </c>
      <c r="S593" s="1">
        <f>IF(IFERROR(MATCH(Tabelle11[[#Headers],[Hannes_S]],Spielauswertung!$B581:$E581,0),0)=0,S592,INDEX(Spielauswertung!$AB581:$AE581,MATCH(Tabelle11[[#Headers],[Hannes_S]],Spielauswertung!$B581:$E581,0))+S592)</f>
        <v>104.83899184012799</v>
      </c>
      <c r="T593" s="1">
        <f>IF(IFERROR(MATCH(Tabelle11[[#Headers],[Jan_B]],Spielauswertung!$B581:$E581,0),0)=0,T592,INDEX(Spielauswertung!$AB581:$AE581,MATCH(Tabelle11[[#Headers],[Jan_B]],Spielauswertung!$B581:$E581,0))+T592)</f>
        <v>100.2794420429173</v>
      </c>
      <c r="U593" s="1">
        <f>IF(IFERROR(MATCH(Tabelle11[[#Headers],[Jan_Hendrik_B]],Spielauswertung!$B581:$E581,0),0)=0,U592,INDEX(Spielauswertung!$AB581:$AE581,MATCH(Tabelle11[[#Headers],[Jan_Hendrik_B]],Spielauswertung!$B581:$E581,0))+U592)</f>
        <v>100.75492416935522</v>
      </c>
      <c r="V593" s="1">
        <f>IF(IFERROR(MATCH(Tabelle11[[#Headers],[Jens_N]],Spielauswertung!$B581:$E581,0),0)=0,V592,INDEX(Spielauswertung!$AB581:$AE581,MATCH(Tabelle11[[#Headers],[Jens_N]],Spielauswertung!$B581:$E581,0))+V592)</f>
        <v>99.643534710196832</v>
      </c>
      <c r="W593" s="1">
        <f>IF(IFERROR(MATCH(Tabelle11[[#Headers],[Johannes_S]],Spielauswertung!$B581:$E581,0),0)=0,W592,INDEX(Spielauswertung!$AB581:$AE581,MATCH(Tabelle11[[#Headers],[Johannes_S]],Spielauswertung!$B581:$E581,0))+W592)</f>
        <v>102.20284750979505</v>
      </c>
      <c r="X593" s="1">
        <f>IF(IFERROR(MATCH(Tabelle11[[#Headers],[Jonathan_F]],Spielauswertung!$B581:$E581,0),0)=0,X592,INDEX(Spielauswertung!$AB581:$AE581,MATCH(Tabelle11[[#Headers],[Jonathan_F]],Spielauswertung!$B581:$E581,0))+X592)</f>
        <v>98.938308797866256</v>
      </c>
      <c r="Y593" s="1">
        <f>IF(IFERROR(MATCH(Tabelle11[[#Headers],[Julius_P]],Spielauswertung!$B581:$E581,0),0)=0,Y592,INDEX(Spielauswertung!$AB581:$AE581,MATCH(Tabelle11[[#Headers],[Julius_P]],Spielauswertung!$B581:$E581,0))+Y592)</f>
        <v>96.540305101873642</v>
      </c>
      <c r="Z593" s="1">
        <f>IF(IFERROR(MATCH(Tabelle11[[#Headers],[Louis_W]],Spielauswertung!$B581:$E581,0),0)=0,Z592,INDEX(Spielauswertung!$AB581:$AE581,MATCH(Tabelle11[[#Headers],[Louis_W]],Spielauswertung!$B581:$E581,0))+Z592)</f>
        <v>87.497452285475362</v>
      </c>
      <c r="AA593" s="1">
        <f>IF(IFERROR(MATCH(Tabelle11[[#Headers],[Lukas_L]],Spielauswertung!$B581:$E581,0),0)=0,AA592,INDEX(Spielauswertung!$AB581:$AE581,MATCH(Tabelle11[[#Headers],[Lukas_L]],Spielauswertung!$B581:$E581,0))+AA592)</f>
        <v>98.447931341404143</v>
      </c>
      <c r="AB593" s="1">
        <f>IF(IFERROR(MATCH(Tabelle11[[#Headers],[Marcin_S]],Spielauswertung!$B581:$E581,0),0)=0,AB592,INDEX(Spielauswertung!$AB581:$AE581,MATCH(Tabelle11[[#Headers],[Marcin_S]],Spielauswertung!$B581:$E581,0))+AB592)</f>
        <v>85.463329105556824</v>
      </c>
      <c r="AC593" s="1">
        <f>IF(IFERROR(MATCH(Tabelle11[[#Headers],[Marco_K]],Spielauswertung!$B581:$E581,0),0)=0,AC592,INDEX(Spielauswertung!$AB581:$AE581,MATCH(Tabelle11[[#Headers],[Marco_K]],Spielauswertung!$B581:$E581,0))+AC592)</f>
        <v>102.12169819441469</v>
      </c>
      <c r="AD593" s="1">
        <f>IF(IFERROR(MATCH(Tabelle11[[#Headers],[Marius_M]],Spielauswertung!$B581:$E581,0),0)=0,AD592,INDEX(Spielauswertung!$AB581:$AE581,MATCH(Tabelle11[[#Headers],[Marius_M]],Spielauswertung!$B581:$E581,0))+AD592)</f>
        <v>124.54012374585781</v>
      </c>
      <c r="AE593" s="1">
        <f>IF(IFERROR(MATCH(Tabelle11[[#Headers],[Marvin_W]],Spielauswertung!$B581:$E581,0),0)=0,AE592,INDEX(Spielauswertung!$AB581:$AE581,MATCH(Tabelle11[[#Headers],[Marvin_W]],Spielauswertung!$B581:$E581,0))+AE592)</f>
        <v>96.700266280577438</v>
      </c>
      <c r="AF593" s="1">
        <f>IF(IFERROR(MATCH(Tabelle11[[#Headers],[Matthias_H]],Spielauswertung!$B581:$E581,0),0)=0,AF592,INDEX(Spielauswertung!$AB581:$AE581,MATCH(Tabelle11[[#Headers],[Matthias_H]],Spielauswertung!$B581:$E581,0))+AF592)</f>
        <v>105.42130178599372</v>
      </c>
      <c r="AG593" s="1">
        <f>IF(IFERROR(MATCH(Tabelle11[[#Headers],[Michael_D]],Spielauswertung!$B581:$E581,0),0)=0,AG592,INDEX(Spielauswertung!$AB581:$AE581,MATCH(Tabelle11[[#Headers],[Michael_D]],Spielauswertung!$B581:$E581,0))+AG592)</f>
        <v>96.436276170375336</v>
      </c>
      <c r="AH593" s="1">
        <f>IF(IFERROR(MATCH(Tabelle11[[#Headers],[Patrick_S]],Spielauswertung!$B581:$E581,0),0)=0,AH592,INDEX(Spielauswertung!$AB581:$AE581,MATCH(Tabelle11[[#Headers],[Patrick_S]],Spielauswertung!$B581:$E581,0))+AH592)</f>
        <v>98.975330692053802</v>
      </c>
      <c r="AI593" s="1">
        <f>IF(IFERROR(MATCH(Tabelle11[[#Headers],[Rano_M]],Spielauswertung!$B581:$E581,0),0)=0,AI592,INDEX(Spielauswertung!$AB581:$AE581,MATCH(Tabelle11[[#Headers],[Rano_M]],Spielauswertung!$B581:$E581,0))+AI592)</f>
        <v>109.38890657420265</v>
      </c>
      <c r="AJ593" s="1">
        <f>IF(IFERROR(MATCH(Tabelle11[[#Headers],[Rene_N]],Spielauswertung!$B581:$E581,0),0)=0,AJ592,INDEX(Spielauswertung!$AB581:$AE581,MATCH(Tabelle11[[#Headers],[Rene_N]],Spielauswertung!$B581:$E581,0))+AJ592)</f>
        <v>101.06482124619033</v>
      </c>
      <c r="AK593" s="1">
        <f>IF(IFERROR(MATCH(Tabelle11[[#Headers],[Rene_P]],Spielauswertung!$B581:$E581,0),0)=0,AK592,INDEX(Spielauswertung!$AB581:$AE581,MATCH(Tabelle11[[#Headers],[Rene_P]],Spielauswertung!$B581:$E581,0))+AK592)</f>
        <v>88.762543186332877</v>
      </c>
      <c r="AL593" s="1">
        <f>IF(IFERROR(MATCH(Tabelle11[[#Headers],[Richard_D]],Spielauswertung!$B581:$E581,0),0)=0,AL592,INDEX(Spielauswertung!$AB581:$AE581,MATCH(Tabelle11[[#Headers],[Richard_D]],Spielauswertung!$B581:$E581,0))+AL592)</f>
        <v>107.23233592026223</v>
      </c>
      <c r="AM593" s="1">
        <f>IF(IFERROR(MATCH(Tabelle11[[#Headers],[Rodrigo_R]],Spielauswertung!$B581:$E581,0),0)=0,AM592,INDEX(Spielauswertung!$AB581:$AE581,MATCH(Tabelle11[[#Headers],[Rodrigo_R]],Spielauswertung!$B581:$E581,0))+AM592)</f>
        <v>116.7028707921346</v>
      </c>
      <c r="AN593" s="1">
        <f>IF(IFERROR(MATCH(Tabelle11[[#Headers],[Sebastian_A]],Spielauswertung!$B581:$E581,0),0)=0,AN592,INDEX(Spielauswertung!$AB581:$AE581,MATCH(Tabelle11[[#Headers],[Sebastian_A]],Spielauswertung!$B581:$E581,0))+AN592)</f>
        <v>102.89457418671324</v>
      </c>
      <c r="AO593" s="1">
        <f>IF(IFERROR(MATCH(Tabelle11[[#Headers],[Sebastian_St]],Spielauswertung!$B581:$E581,0),0)=0,AO592,INDEX(Spielauswertung!$AB581:$AE581,MATCH(Tabelle11[[#Headers],[Sebastian_St]],Spielauswertung!$B581:$E581,0))+AO592)</f>
        <v>97.749574367408982</v>
      </c>
      <c r="AP593" s="1">
        <f>IF(IFERROR(MATCH(Tabelle11[[#Headers],[Simon_U]],Spielauswertung!$B581:$E581,0),0)=0,AP592,INDEX(Spielauswertung!$AB581:$AE581,MATCH(Tabelle11[[#Headers],[Simon_U]],Spielauswertung!$B581:$E581,0))+AP592)</f>
        <v>99.623054841470903</v>
      </c>
      <c r="AQ593" s="1">
        <f>IF(IFERROR(MATCH(Tabelle11[[#Headers],[Steffen_R]],Spielauswertung!$B581:$E581,0),0)=0,AQ592,INDEX(Spielauswertung!$AB581:$AE581,MATCH(Tabelle11[[#Headers],[Steffen_R]],Spielauswertung!$B581:$E581,0))+AQ592)</f>
        <v>93.247497067190949</v>
      </c>
      <c r="AR593" s="1">
        <f>IF(IFERROR(MATCH(Tabelle11[[#Headers],[Tim_R]],Spielauswertung!$B581:$E581,0),0)=0,AR592,INDEX(Spielauswertung!$AB581:$AE581,MATCH(Tabelle11[[#Headers],[Tim_R]],Spielauswertung!$B581:$E581,0))+AR592)</f>
        <v>103.07503787023374</v>
      </c>
      <c r="AS593" s="1">
        <f>IF(IFERROR(MATCH(Tabelle11[[#Headers],[Tobias_S]],Spielauswertung!$B581:$E581,0),0)=0,AS592,INDEX(Spielauswertung!$AB581:$AE581,MATCH(Tabelle11[[#Headers],[Tobias_S]],Spielauswertung!$B581:$E581,0))+AS592)</f>
        <v>98.6003422659997</v>
      </c>
      <c r="AT593" s="1">
        <f>IF(IFERROR(MATCH(Tabelle11[[#Headers],[Tom_R]],Spielauswertung!$B581:$E581,0),0)=0,AT592,INDEX(Spielauswertung!$AB581:$AE581,MATCH(Tabelle11[[#Headers],[Tom_R]],Spielauswertung!$B581:$E581,0))+AT592)</f>
        <v>112.62344492949197</v>
      </c>
      <c r="AU593" s="1">
        <f>IF(IFERROR(MATCH(Tabelle11[[#Headers],[Ton_L]],Spielauswertung!$B581:$E581,0),0)=0,AU592,INDEX(Spielauswertung!$AB581:$AE581,MATCH(Tabelle11[[#Headers],[Ton_L]],Spielauswertung!$B581:$E581,0))+AU592)</f>
        <v>92.683083360025861</v>
      </c>
      <c r="AV593" s="1">
        <f>IF(IFERROR(MATCH(Tabelle11[[#Headers],[Yixin_G]],Spielauswertung!$B581:$E581,0),0)=0,AV592,INDEX(Spielauswertung!$AB581:$AE581,MATCH(Tabelle11[[#Headers],[Yixin_G]],Spielauswertung!$B581:$E581,0))+AV592)</f>
        <v>99.900323214082661</v>
      </c>
      <c r="AW593" s="1">
        <f>IF(IFERROR(MATCH(Tabelle11[[#Headers],[Spalte36]],Spielauswertung!$B581:$E581,0),0)=0,AW592,INDEX(Spielauswertung!$AB581:$AE581,MATCH(Tabelle11[[#Headers],[Spalte36]],Spielauswertung!$B581:$E581,0))+AW592)</f>
        <v>100</v>
      </c>
      <c r="AX593" s="1">
        <f>IF(IFERROR(MATCH(Tabelle11[[#Headers],[Spalte37]],Spielauswertung!$B581:$E581,0),0)=0,AX592,INDEX(Spielauswertung!$AB581:$AE581,MATCH(Tabelle11[[#Headers],[Spalte37]],Spielauswertung!$B581:$E581,0))+AX592)</f>
        <v>100</v>
      </c>
      <c r="AY593" s="1">
        <f>IF(IFERROR(MATCH(Tabelle11[[#Headers],[Spalte38]],Spielauswertung!$B581:$E581,0),0)=0,AY592,INDEX(Spielauswertung!$AB581:$AE581,MATCH(Tabelle11[[#Headers],[Spalte38]],Spielauswertung!$B581:$E581,0))+AY592)</f>
        <v>100</v>
      </c>
      <c r="AZ593" s="1">
        <f>IF(IFERROR(MATCH(Tabelle11[[#Headers],[Spalte39]],Spielauswertung!$B581:$E581,0),0)=0,AZ592,INDEX(Spielauswertung!$AB581:$AE581,MATCH(Tabelle11[[#Headers],[Spalte39]],Spielauswertung!$B581:$E581,0))+AZ592)</f>
        <v>100</v>
      </c>
      <c r="BA593" s="1">
        <f>IF(IFERROR(MATCH(Tabelle11[[#Headers],[Spalte40]],Spielauswertung!$B581:$E581,0),0)=0,BA592,INDEX(Spielauswertung!$AB581:$AE581,MATCH(Tabelle11[[#Headers],[Spalte40]],Spielauswertung!$B581:$E581,0))+BA592)</f>
        <v>100</v>
      </c>
      <c r="BB593" s="1">
        <f>IF(IFERROR(MATCH(Tabelle11[[#Headers],[Spalte41]],Spielauswertung!$B581:$E581,0),0)=0,BB592,INDEX(Spielauswertung!$AB581:$AE581,MATCH(Tabelle11[[#Headers],[Spalte41]],Spielauswertung!$B581:$E581,0))+BB592)</f>
        <v>100</v>
      </c>
      <c r="BC593" s="1">
        <f>IF(IFERROR(MATCH(Tabelle11[[#Headers],[Spalte42]],Spielauswertung!$B581:$E581,0),0)=0,BC592,INDEX(Spielauswertung!$AB581:$AE581,MATCH(Tabelle11[[#Headers],[Spalte42]],Spielauswertung!$B581:$E581,0))+BC592)</f>
        <v>100</v>
      </c>
      <c r="BD593" s="1">
        <f>IF(IFERROR(MATCH(Tabelle11[[#Headers],[Spalte43]],Spielauswertung!$B581:$E581,0),0)=0,BD592,INDEX(Spielauswertung!$AB581:$AE581,MATCH(Tabelle11[[#Headers],[Spalte43]],Spielauswertung!$B581:$E581,0))+BD592)</f>
        <v>100</v>
      </c>
      <c r="BE593" s="1">
        <f>IF(IFERROR(MATCH(Tabelle11[[#Headers],[Spalte44]],Spielauswertung!$B581:$E581,0),0)=0,BE592,INDEX(Spielauswertung!$AB581:$AE581,MATCH(Tabelle11[[#Headers],[Spalte44]],Spielauswertung!$B581:$E581,0))+BE592)</f>
        <v>100</v>
      </c>
      <c r="BF593" s="1">
        <f>IF(IFERROR(MATCH(Tabelle11[[#Headers],[Spalte45]],Spielauswertung!$B581:$E581,0),0)=0,BF592,INDEX(Spielauswertung!$AB581:$AE581,MATCH(Tabelle11[[#Headers],[Spalte45]],Spielauswertung!$B581:$E581,0))+BF592)</f>
        <v>100</v>
      </c>
      <c r="BG593" s="1">
        <f>IF(IFERROR(MATCH(Tabelle11[[#Headers],[Spalte46]],Spielauswertung!$B581:$E581,0),0)=0,BG592,INDEX(Spielauswertung!$AB581:$AE581,MATCH(Tabelle11[[#Headers],[Spalte46]],Spielauswertung!$B581:$E581,0))+BG592)</f>
        <v>100</v>
      </c>
      <c r="BH593" s="1">
        <f>IF(IFERROR(MATCH(Tabelle11[[#Headers],[Spalte47]],Spielauswertung!$B581:$E581,0),0)=0,BH592,INDEX(Spielauswertung!$AB581:$AE581,MATCH(Tabelle11[[#Headers],[Spalte47]],Spielauswertung!$B581:$E581,0))+BH592)</f>
        <v>100</v>
      </c>
    </row>
    <row r="594" spans="1:60" x14ac:dyDescent="0.25">
      <c r="A594">
        <f t="shared" si="10"/>
        <v>581</v>
      </c>
      <c r="B594" s="1">
        <f>IF(IFERROR(MATCH(Tabelle11[[#Headers],[Aleix_V]],Spielauswertung!$B582:$E582,0),0)=0,B593,INDEX(Spielauswertung!$AB582:$AE582,MATCH(Tabelle11[[#Headers],[Aleix_V]],Spielauswertung!$B582:$E582,0))+B593)</f>
        <v>102.47318019444646</v>
      </c>
      <c r="C594" s="1">
        <f>IF(IFERROR(MATCH(Tabelle11[[#Headers],[Andres_H]],Spielauswertung!$B582:$E582,0),0)=0,C593,INDEX(Spielauswertung!$AB582:$AE582,MATCH(Tabelle11[[#Headers],[Andres_H]],Spielauswertung!$B582:$E582,0))+C593)</f>
        <v>95.535732339111306</v>
      </c>
      <c r="D594" s="1">
        <f>IF(IFERROR(MATCH(Tabelle11[[#Headers],[Anton_K]],Spielauswertung!$B582:$E582,0),0)=0,D593,INDEX(Spielauswertung!$AB582:$AE582,MATCH(Tabelle11[[#Headers],[Anton_K]],Spielauswertung!$B582:$E582,0))+D593)</f>
        <v>99.287728777054667</v>
      </c>
      <c r="E594" s="1">
        <f>IF(IFERROR(MATCH(Tabelle11[[#Headers],[Bastian_G]],Spielauswertung!$B582:$E582,0),0)=0,E593,INDEX(Spielauswertung!$AB582:$AE582,MATCH(Tabelle11[[#Headers],[Bastian_G]],Spielauswertung!$B582:$E582,0))+E593)</f>
        <v>117.49978695184252</v>
      </c>
      <c r="F594" s="1">
        <f>IF(IFERROR(MATCH(Tabelle11[[#Headers],[Ben_S]],Spielauswertung!$B582:$E582,0),0)=0,F593,INDEX(Spielauswertung!$AB582:$AE582,MATCH(Tabelle11[[#Headers],[Ben_S]],Spielauswertung!$B582:$E582,0))+F593)</f>
        <v>95.932799101521084</v>
      </c>
      <c r="G594" s="1">
        <f>IF(IFERROR(MATCH(Tabelle11[[#Headers],[Benedikt_K]],Spielauswertung!$B582:$E582,0),0)=0,G593,INDEX(Spielauswertung!$AB582:$AE582,MATCH(Tabelle11[[#Headers],[Benedikt_K]],Spielauswertung!$B582:$E582,0))+G593)</f>
        <v>101.20264176422626</v>
      </c>
      <c r="H594" s="1">
        <f>IF(IFERROR(MATCH(Tabelle11[[#Headers],[Benedikt_R]],Spielauswertung!$B582:$E582,0),0)=0,H593,INDEX(Spielauswertung!$AB582:$AE582,MATCH(Tabelle11[[#Headers],[Benedikt_R]],Spielauswertung!$B582:$E582,0))+H593)</f>
        <v>102.6264770510757</v>
      </c>
      <c r="I594" s="1">
        <f>IF(IFERROR(MATCH(Tabelle11[[#Headers],[Carsten_H]],Spielauswertung!$B582:$E582,0),0)=0,I593,INDEX(Spielauswertung!$AB582:$AE582,MATCH(Tabelle11[[#Headers],[Carsten_H]],Spielauswertung!$B582:$E582,0))+I593)</f>
        <v>90.817185094326874</v>
      </c>
      <c r="J594" s="1">
        <f>IF(IFERROR(MATCH(Tabelle11[[#Headers],[Christoph_R]],Spielauswertung!$B582:$E582,0),0)=0,J593,INDEX(Spielauswertung!$AB582:$AE582,MATCH(Tabelle11[[#Headers],[Christoph_R]],Spielauswertung!$B582:$E582,0))+J593)</f>
        <v>109.73261611443155</v>
      </c>
      <c r="K594" s="1">
        <f>IF(IFERROR(MATCH(Tabelle11[[#Headers],[Claudius_J]],Spielauswertung!$B582:$E582,0),0)=0,K593,INDEX(Spielauswertung!$AB582:$AE582,MATCH(Tabelle11[[#Headers],[Claudius_J]],Spielauswertung!$B582:$E582,0))+K593)</f>
        <v>106.16590636000029</v>
      </c>
      <c r="L594" s="1">
        <f>IF(IFERROR(MATCH(Tabelle11[[#Headers],[Daniel_D]],Spielauswertung!$B582:$E582,0),0)=0,L593,INDEX(Spielauswertung!$AB582:$AE582,MATCH(Tabelle11[[#Headers],[Daniel_D]],Spielauswertung!$B582:$E582,0))+L593)</f>
        <v>99.990299180470089</v>
      </c>
      <c r="M594" s="1">
        <f>IF(IFERROR(MATCH(Tabelle11[[#Headers],[David_R]],Spielauswertung!$B582:$E582,0),0)=0,M593,INDEX(Spielauswertung!$AB582:$AE582,MATCH(Tabelle11[[#Headers],[David_R]],Spielauswertung!$B582:$E582,0))+M593)</f>
        <v>96.715943522481638</v>
      </c>
      <c r="N594" s="1">
        <f>IF(IFERROR(MATCH(Tabelle11[[#Headers],[Dennis_P]],Spielauswertung!$B582:$E582,0),0)=0,N593,INDEX(Spielauswertung!$AB582:$AE582,MATCH(Tabelle11[[#Headers],[Dennis_P]],Spielauswertung!$B582:$E582,0))+N593)</f>
        <v>100.04773223105254</v>
      </c>
      <c r="O594" s="1">
        <f>IF(IFERROR(MATCH(Tabelle11[[#Headers],[Dennis_R]],Spielauswertung!$B582:$E582,0),0)=0,O593,INDEX(Spielauswertung!$AB582:$AE582,MATCH(Tabelle11[[#Headers],[Dennis_R]],Spielauswertung!$B582:$E582,0))+O593)</f>
        <v>75.131680864937195</v>
      </c>
      <c r="P594" s="1">
        <f>IF(IFERROR(MATCH(Tabelle11[[#Headers],[Detlef_R]],Spielauswertung!$B582:$E582,0),0)=0,P593,INDEX(Spielauswertung!$AB582:$AE582,MATCH(Tabelle11[[#Headers],[Detlef_R]],Spielauswertung!$B582:$E582,0))+P593)</f>
        <v>87.984671797367014</v>
      </c>
      <c r="Q594" s="1">
        <f>IF(IFERROR(MATCH(Tabelle11[[#Headers],[Dmitrij_M]],Spielauswertung!$B582:$E582,0),0)=0,Q593,INDEX(Spielauswertung!$AB582:$AE582,MATCH(Tabelle11[[#Headers],[Dmitrij_M]],Spielauswertung!$B582:$E582,0))+Q593)</f>
        <v>100.69975721846207</v>
      </c>
      <c r="R594" s="1">
        <f>IF(IFERROR(MATCH(Tabelle11[[#Headers],[Fabian_M]],Spielauswertung!$B582:$E582,0),0)=0,R593,INDEX(Spielauswertung!$AB582:$AE582,MATCH(Tabelle11[[#Headers],[Fabian_M]],Spielauswertung!$B582:$E582,0))+R593)</f>
        <v>95.805387841610738</v>
      </c>
      <c r="S594" s="1">
        <f>IF(IFERROR(MATCH(Tabelle11[[#Headers],[Hannes_S]],Spielauswertung!$B582:$E582,0),0)=0,S593,INDEX(Spielauswertung!$AB582:$AE582,MATCH(Tabelle11[[#Headers],[Hannes_S]],Spielauswertung!$B582:$E582,0))+S593)</f>
        <v>104.83899184012799</v>
      </c>
      <c r="T594" s="1">
        <f>IF(IFERROR(MATCH(Tabelle11[[#Headers],[Jan_B]],Spielauswertung!$B582:$E582,0),0)=0,T593,INDEX(Spielauswertung!$AB582:$AE582,MATCH(Tabelle11[[#Headers],[Jan_B]],Spielauswertung!$B582:$E582,0))+T593)</f>
        <v>100.2794420429173</v>
      </c>
      <c r="U594" s="1">
        <f>IF(IFERROR(MATCH(Tabelle11[[#Headers],[Jan_Hendrik_B]],Spielauswertung!$B582:$E582,0),0)=0,U593,INDEX(Spielauswertung!$AB582:$AE582,MATCH(Tabelle11[[#Headers],[Jan_Hendrik_B]],Spielauswertung!$B582:$E582,0))+U593)</f>
        <v>100.75492416935522</v>
      </c>
      <c r="V594" s="1">
        <f>IF(IFERROR(MATCH(Tabelle11[[#Headers],[Jens_N]],Spielauswertung!$B582:$E582,0),0)=0,V593,INDEX(Spielauswertung!$AB582:$AE582,MATCH(Tabelle11[[#Headers],[Jens_N]],Spielauswertung!$B582:$E582,0))+V593)</f>
        <v>99.643534710196832</v>
      </c>
      <c r="W594" s="1">
        <f>IF(IFERROR(MATCH(Tabelle11[[#Headers],[Johannes_S]],Spielauswertung!$B582:$E582,0),0)=0,W593,INDEX(Spielauswertung!$AB582:$AE582,MATCH(Tabelle11[[#Headers],[Johannes_S]],Spielauswertung!$B582:$E582,0))+W593)</f>
        <v>102.20284750979505</v>
      </c>
      <c r="X594" s="1">
        <f>IF(IFERROR(MATCH(Tabelle11[[#Headers],[Jonathan_F]],Spielauswertung!$B582:$E582,0),0)=0,X593,INDEX(Spielauswertung!$AB582:$AE582,MATCH(Tabelle11[[#Headers],[Jonathan_F]],Spielauswertung!$B582:$E582,0))+X593)</f>
        <v>98.938308797866256</v>
      </c>
      <c r="Y594" s="1">
        <f>IF(IFERROR(MATCH(Tabelle11[[#Headers],[Julius_P]],Spielauswertung!$B582:$E582,0),0)=0,Y593,INDEX(Spielauswertung!$AB582:$AE582,MATCH(Tabelle11[[#Headers],[Julius_P]],Spielauswertung!$B582:$E582,0))+Y593)</f>
        <v>96.540305101873642</v>
      </c>
      <c r="Z594" s="1">
        <f>IF(IFERROR(MATCH(Tabelle11[[#Headers],[Louis_W]],Spielauswertung!$B582:$E582,0),0)=0,Z593,INDEX(Spielauswertung!$AB582:$AE582,MATCH(Tabelle11[[#Headers],[Louis_W]],Spielauswertung!$B582:$E582,0))+Z593)</f>
        <v>87.497452285475362</v>
      </c>
      <c r="AA594" s="1">
        <f>IF(IFERROR(MATCH(Tabelle11[[#Headers],[Lukas_L]],Spielauswertung!$B582:$E582,0),0)=0,AA593,INDEX(Spielauswertung!$AB582:$AE582,MATCH(Tabelle11[[#Headers],[Lukas_L]],Spielauswertung!$B582:$E582,0))+AA593)</f>
        <v>98.447931341404143</v>
      </c>
      <c r="AB594" s="1">
        <f>IF(IFERROR(MATCH(Tabelle11[[#Headers],[Marcin_S]],Spielauswertung!$B582:$E582,0),0)=0,AB593,INDEX(Spielauswertung!$AB582:$AE582,MATCH(Tabelle11[[#Headers],[Marcin_S]],Spielauswertung!$B582:$E582,0))+AB593)</f>
        <v>85.463329105556824</v>
      </c>
      <c r="AC594" s="1">
        <f>IF(IFERROR(MATCH(Tabelle11[[#Headers],[Marco_K]],Spielauswertung!$B582:$E582,0),0)=0,AC593,INDEX(Spielauswertung!$AB582:$AE582,MATCH(Tabelle11[[#Headers],[Marco_K]],Spielauswertung!$B582:$E582,0))+AC593)</f>
        <v>102.12169819441469</v>
      </c>
      <c r="AD594" s="1">
        <f>IF(IFERROR(MATCH(Tabelle11[[#Headers],[Marius_M]],Spielauswertung!$B582:$E582,0),0)=0,AD593,INDEX(Spielauswertung!$AB582:$AE582,MATCH(Tabelle11[[#Headers],[Marius_M]],Spielauswertung!$B582:$E582,0))+AD593)</f>
        <v>124.54012374585781</v>
      </c>
      <c r="AE594" s="1">
        <f>IF(IFERROR(MATCH(Tabelle11[[#Headers],[Marvin_W]],Spielauswertung!$B582:$E582,0),0)=0,AE593,INDEX(Spielauswertung!$AB582:$AE582,MATCH(Tabelle11[[#Headers],[Marvin_W]],Spielauswertung!$B582:$E582,0))+AE593)</f>
        <v>96.700266280577438</v>
      </c>
      <c r="AF594" s="1">
        <f>IF(IFERROR(MATCH(Tabelle11[[#Headers],[Matthias_H]],Spielauswertung!$B582:$E582,0),0)=0,AF593,INDEX(Spielauswertung!$AB582:$AE582,MATCH(Tabelle11[[#Headers],[Matthias_H]],Spielauswertung!$B582:$E582,0))+AF593)</f>
        <v>105.42130178599372</v>
      </c>
      <c r="AG594" s="1">
        <f>IF(IFERROR(MATCH(Tabelle11[[#Headers],[Michael_D]],Spielauswertung!$B582:$E582,0),0)=0,AG593,INDEX(Spielauswertung!$AB582:$AE582,MATCH(Tabelle11[[#Headers],[Michael_D]],Spielauswertung!$B582:$E582,0))+AG593)</f>
        <v>96.436276170375336</v>
      </c>
      <c r="AH594" s="1">
        <f>IF(IFERROR(MATCH(Tabelle11[[#Headers],[Patrick_S]],Spielauswertung!$B582:$E582,0),0)=0,AH593,INDEX(Spielauswertung!$AB582:$AE582,MATCH(Tabelle11[[#Headers],[Patrick_S]],Spielauswertung!$B582:$E582,0))+AH593)</f>
        <v>98.975330692053802</v>
      </c>
      <c r="AI594" s="1">
        <f>IF(IFERROR(MATCH(Tabelle11[[#Headers],[Rano_M]],Spielauswertung!$B582:$E582,0),0)=0,AI593,INDEX(Spielauswertung!$AB582:$AE582,MATCH(Tabelle11[[#Headers],[Rano_M]],Spielauswertung!$B582:$E582,0))+AI593)</f>
        <v>109.38890657420265</v>
      </c>
      <c r="AJ594" s="1">
        <f>IF(IFERROR(MATCH(Tabelle11[[#Headers],[Rene_N]],Spielauswertung!$B582:$E582,0),0)=0,AJ593,INDEX(Spielauswertung!$AB582:$AE582,MATCH(Tabelle11[[#Headers],[Rene_N]],Spielauswertung!$B582:$E582,0))+AJ593)</f>
        <v>101.06482124619033</v>
      </c>
      <c r="AK594" s="1">
        <f>IF(IFERROR(MATCH(Tabelle11[[#Headers],[Rene_P]],Spielauswertung!$B582:$E582,0),0)=0,AK593,INDEX(Spielauswertung!$AB582:$AE582,MATCH(Tabelle11[[#Headers],[Rene_P]],Spielauswertung!$B582:$E582,0))+AK593)</f>
        <v>88.762543186332877</v>
      </c>
      <c r="AL594" s="1">
        <f>IF(IFERROR(MATCH(Tabelle11[[#Headers],[Richard_D]],Spielauswertung!$B582:$E582,0),0)=0,AL593,INDEX(Spielauswertung!$AB582:$AE582,MATCH(Tabelle11[[#Headers],[Richard_D]],Spielauswertung!$B582:$E582,0))+AL593)</f>
        <v>107.23233592026223</v>
      </c>
      <c r="AM594" s="1">
        <f>IF(IFERROR(MATCH(Tabelle11[[#Headers],[Rodrigo_R]],Spielauswertung!$B582:$E582,0),0)=0,AM593,INDEX(Spielauswertung!$AB582:$AE582,MATCH(Tabelle11[[#Headers],[Rodrigo_R]],Spielauswertung!$B582:$E582,0))+AM593)</f>
        <v>116.7028707921346</v>
      </c>
      <c r="AN594" s="1">
        <f>IF(IFERROR(MATCH(Tabelle11[[#Headers],[Sebastian_A]],Spielauswertung!$B582:$E582,0),0)=0,AN593,INDEX(Spielauswertung!$AB582:$AE582,MATCH(Tabelle11[[#Headers],[Sebastian_A]],Spielauswertung!$B582:$E582,0))+AN593)</f>
        <v>102.89457418671324</v>
      </c>
      <c r="AO594" s="1">
        <f>IF(IFERROR(MATCH(Tabelle11[[#Headers],[Sebastian_St]],Spielauswertung!$B582:$E582,0),0)=0,AO593,INDEX(Spielauswertung!$AB582:$AE582,MATCH(Tabelle11[[#Headers],[Sebastian_St]],Spielauswertung!$B582:$E582,0))+AO593)</f>
        <v>97.749574367408982</v>
      </c>
      <c r="AP594" s="1">
        <f>IF(IFERROR(MATCH(Tabelle11[[#Headers],[Simon_U]],Spielauswertung!$B582:$E582,0),0)=0,AP593,INDEX(Spielauswertung!$AB582:$AE582,MATCH(Tabelle11[[#Headers],[Simon_U]],Spielauswertung!$B582:$E582,0))+AP593)</f>
        <v>99.623054841470903</v>
      </c>
      <c r="AQ594" s="1">
        <f>IF(IFERROR(MATCH(Tabelle11[[#Headers],[Steffen_R]],Spielauswertung!$B582:$E582,0),0)=0,AQ593,INDEX(Spielauswertung!$AB582:$AE582,MATCH(Tabelle11[[#Headers],[Steffen_R]],Spielauswertung!$B582:$E582,0))+AQ593)</f>
        <v>93.247497067190949</v>
      </c>
      <c r="AR594" s="1">
        <f>IF(IFERROR(MATCH(Tabelle11[[#Headers],[Tim_R]],Spielauswertung!$B582:$E582,0),0)=0,AR593,INDEX(Spielauswertung!$AB582:$AE582,MATCH(Tabelle11[[#Headers],[Tim_R]],Spielauswertung!$B582:$E582,0))+AR593)</f>
        <v>103.07503787023374</v>
      </c>
      <c r="AS594" s="1">
        <f>IF(IFERROR(MATCH(Tabelle11[[#Headers],[Tobias_S]],Spielauswertung!$B582:$E582,0),0)=0,AS593,INDEX(Spielauswertung!$AB582:$AE582,MATCH(Tabelle11[[#Headers],[Tobias_S]],Spielauswertung!$B582:$E582,0))+AS593)</f>
        <v>98.6003422659997</v>
      </c>
      <c r="AT594" s="1">
        <f>IF(IFERROR(MATCH(Tabelle11[[#Headers],[Tom_R]],Spielauswertung!$B582:$E582,0),0)=0,AT593,INDEX(Spielauswertung!$AB582:$AE582,MATCH(Tabelle11[[#Headers],[Tom_R]],Spielauswertung!$B582:$E582,0))+AT593)</f>
        <v>112.62344492949197</v>
      </c>
      <c r="AU594" s="1">
        <f>IF(IFERROR(MATCH(Tabelle11[[#Headers],[Ton_L]],Spielauswertung!$B582:$E582,0),0)=0,AU593,INDEX(Spielauswertung!$AB582:$AE582,MATCH(Tabelle11[[#Headers],[Ton_L]],Spielauswertung!$B582:$E582,0))+AU593)</f>
        <v>92.683083360025861</v>
      </c>
      <c r="AV594" s="1">
        <f>IF(IFERROR(MATCH(Tabelle11[[#Headers],[Yixin_G]],Spielauswertung!$B582:$E582,0),0)=0,AV593,INDEX(Spielauswertung!$AB582:$AE582,MATCH(Tabelle11[[#Headers],[Yixin_G]],Spielauswertung!$B582:$E582,0))+AV593)</f>
        <v>99.900323214082661</v>
      </c>
      <c r="AW594" s="1">
        <f>IF(IFERROR(MATCH(Tabelle11[[#Headers],[Spalte36]],Spielauswertung!$B582:$E582,0),0)=0,AW593,INDEX(Spielauswertung!$AB582:$AE582,MATCH(Tabelle11[[#Headers],[Spalte36]],Spielauswertung!$B582:$E582,0))+AW593)</f>
        <v>100</v>
      </c>
      <c r="AX594" s="1">
        <f>IF(IFERROR(MATCH(Tabelle11[[#Headers],[Spalte37]],Spielauswertung!$B582:$E582,0),0)=0,AX593,INDEX(Spielauswertung!$AB582:$AE582,MATCH(Tabelle11[[#Headers],[Spalte37]],Spielauswertung!$B582:$E582,0))+AX593)</f>
        <v>100</v>
      </c>
      <c r="AY594" s="1">
        <f>IF(IFERROR(MATCH(Tabelle11[[#Headers],[Spalte38]],Spielauswertung!$B582:$E582,0),0)=0,AY593,INDEX(Spielauswertung!$AB582:$AE582,MATCH(Tabelle11[[#Headers],[Spalte38]],Spielauswertung!$B582:$E582,0))+AY593)</f>
        <v>100</v>
      </c>
      <c r="AZ594" s="1">
        <f>IF(IFERROR(MATCH(Tabelle11[[#Headers],[Spalte39]],Spielauswertung!$B582:$E582,0),0)=0,AZ593,INDEX(Spielauswertung!$AB582:$AE582,MATCH(Tabelle11[[#Headers],[Spalte39]],Spielauswertung!$B582:$E582,0))+AZ593)</f>
        <v>100</v>
      </c>
      <c r="BA594" s="1">
        <f>IF(IFERROR(MATCH(Tabelle11[[#Headers],[Spalte40]],Spielauswertung!$B582:$E582,0),0)=0,BA593,INDEX(Spielauswertung!$AB582:$AE582,MATCH(Tabelle11[[#Headers],[Spalte40]],Spielauswertung!$B582:$E582,0))+BA593)</f>
        <v>100</v>
      </c>
      <c r="BB594" s="1">
        <f>IF(IFERROR(MATCH(Tabelle11[[#Headers],[Spalte41]],Spielauswertung!$B582:$E582,0),0)=0,BB593,INDEX(Spielauswertung!$AB582:$AE582,MATCH(Tabelle11[[#Headers],[Spalte41]],Spielauswertung!$B582:$E582,0))+BB593)</f>
        <v>100</v>
      </c>
      <c r="BC594" s="1">
        <f>IF(IFERROR(MATCH(Tabelle11[[#Headers],[Spalte42]],Spielauswertung!$B582:$E582,0),0)=0,BC593,INDEX(Spielauswertung!$AB582:$AE582,MATCH(Tabelle11[[#Headers],[Spalte42]],Spielauswertung!$B582:$E582,0))+BC593)</f>
        <v>100</v>
      </c>
      <c r="BD594" s="1">
        <f>IF(IFERROR(MATCH(Tabelle11[[#Headers],[Spalte43]],Spielauswertung!$B582:$E582,0),0)=0,BD593,INDEX(Spielauswertung!$AB582:$AE582,MATCH(Tabelle11[[#Headers],[Spalte43]],Spielauswertung!$B582:$E582,0))+BD593)</f>
        <v>100</v>
      </c>
      <c r="BE594" s="1">
        <f>IF(IFERROR(MATCH(Tabelle11[[#Headers],[Spalte44]],Spielauswertung!$B582:$E582,0),0)=0,BE593,INDEX(Spielauswertung!$AB582:$AE582,MATCH(Tabelle11[[#Headers],[Spalte44]],Spielauswertung!$B582:$E582,0))+BE593)</f>
        <v>100</v>
      </c>
      <c r="BF594" s="1">
        <f>IF(IFERROR(MATCH(Tabelle11[[#Headers],[Spalte45]],Spielauswertung!$B582:$E582,0),0)=0,BF593,INDEX(Spielauswertung!$AB582:$AE582,MATCH(Tabelle11[[#Headers],[Spalte45]],Spielauswertung!$B582:$E582,0))+BF593)</f>
        <v>100</v>
      </c>
      <c r="BG594" s="1">
        <f>IF(IFERROR(MATCH(Tabelle11[[#Headers],[Spalte46]],Spielauswertung!$B582:$E582,0),0)=0,BG593,INDEX(Spielauswertung!$AB582:$AE582,MATCH(Tabelle11[[#Headers],[Spalte46]],Spielauswertung!$B582:$E582,0))+BG593)</f>
        <v>100</v>
      </c>
      <c r="BH594" s="1">
        <f>IF(IFERROR(MATCH(Tabelle11[[#Headers],[Spalte47]],Spielauswertung!$B582:$E582,0),0)=0,BH593,INDEX(Spielauswertung!$AB582:$AE582,MATCH(Tabelle11[[#Headers],[Spalte47]],Spielauswertung!$B582:$E582,0))+BH593)</f>
        <v>100</v>
      </c>
    </row>
    <row r="595" spans="1:60" x14ac:dyDescent="0.25">
      <c r="A595">
        <f t="shared" si="10"/>
        <v>582</v>
      </c>
      <c r="B595" s="1">
        <f>IF(IFERROR(MATCH(Tabelle11[[#Headers],[Aleix_V]],Spielauswertung!$B583:$E583,0),0)=0,B594,INDEX(Spielauswertung!$AB583:$AE583,MATCH(Tabelle11[[#Headers],[Aleix_V]],Spielauswertung!$B583:$E583,0))+B594)</f>
        <v>102.47318019444646</v>
      </c>
      <c r="C595" s="1">
        <f>IF(IFERROR(MATCH(Tabelle11[[#Headers],[Andres_H]],Spielauswertung!$B583:$E583,0),0)=0,C594,INDEX(Spielauswertung!$AB583:$AE583,MATCH(Tabelle11[[#Headers],[Andres_H]],Spielauswertung!$B583:$E583,0))+C594)</f>
        <v>95.535732339111306</v>
      </c>
      <c r="D595" s="1">
        <f>IF(IFERROR(MATCH(Tabelle11[[#Headers],[Anton_K]],Spielauswertung!$B583:$E583,0),0)=0,D594,INDEX(Spielauswertung!$AB583:$AE583,MATCH(Tabelle11[[#Headers],[Anton_K]],Spielauswertung!$B583:$E583,0))+D594)</f>
        <v>99.287728777054667</v>
      </c>
      <c r="E595" s="1">
        <f>IF(IFERROR(MATCH(Tabelle11[[#Headers],[Bastian_G]],Spielauswertung!$B583:$E583,0),0)=0,E594,INDEX(Spielauswertung!$AB583:$AE583,MATCH(Tabelle11[[#Headers],[Bastian_G]],Spielauswertung!$B583:$E583,0))+E594)</f>
        <v>117.49978695184252</v>
      </c>
      <c r="F595" s="1">
        <f>IF(IFERROR(MATCH(Tabelle11[[#Headers],[Ben_S]],Spielauswertung!$B583:$E583,0),0)=0,F594,INDEX(Spielauswertung!$AB583:$AE583,MATCH(Tabelle11[[#Headers],[Ben_S]],Spielauswertung!$B583:$E583,0))+F594)</f>
        <v>95.932799101521084</v>
      </c>
      <c r="G595" s="1">
        <f>IF(IFERROR(MATCH(Tabelle11[[#Headers],[Benedikt_K]],Spielauswertung!$B583:$E583,0),0)=0,G594,INDEX(Spielauswertung!$AB583:$AE583,MATCH(Tabelle11[[#Headers],[Benedikt_K]],Spielauswertung!$B583:$E583,0))+G594)</f>
        <v>101.20264176422626</v>
      </c>
      <c r="H595" s="1">
        <f>IF(IFERROR(MATCH(Tabelle11[[#Headers],[Benedikt_R]],Spielauswertung!$B583:$E583,0),0)=0,H594,INDEX(Spielauswertung!$AB583:$AE583,MATCH(Tabelle11[[#Headers],[Benedikt_R]],Spielauswertung!$B583:$E583,0))+H594)</f>
        <v>102.6264770510757</v>
      </c>
      <c r="I595" s="1">
        <f>IF(IFERROR(MATCH(Tabelle11[[#Headers],[Carsten_H]],Spielauswertung!$B583:$E583,0),0)=0,I594,INDEX(Spielauswertung!$AB583:$AE583,MATCH(Tabelle11[[#Headers],[Carsten_H]],Spielauswertung!$B583:$E583,0))+I594)</f>
        <v>90.817185094326874</v>
      </c>
      <c r="J595" s="1">
        <f>IF(IFERROR(MATCH(Tabelle11[[#Headers],[Christoph_R]],Spielauswertung!$B583:$E583,0),0)=0,J594,INDEX(Spielauswertung!$AB583:$AE583,MATCH(Tabelle11[[#Headers],[Christoph_R]],Spielauswertung!$B583:$E583,0))+J594)</f>
        <v>109.73261611443155</v>
      </c>
      <c r="K595" s="1">
        <f>IF(IFERROR(MATCH(Tabelle11[[#Headers],[Claudius_J]],Spielauswertung!$B583:$E583,0),0)=0,K594,INDEX(Spielauswertung!$AB583:$AE583,MATCH(Tabelle11[[#Headers],[Claudius_J]],Spielauswertung!$B583:$E583,0))+K594)</f>
        <v>106.16590636000029</v>
      </c>
      <c r="L595" s="1">
        <f>IF(IFERROR(MATCH(Tabelle11[[#Headers],[Daniel_D]],Spielauswertung!$B583:$E583,0),0)=0,L594,INDEX(Spielauswertung!$AB583:$AE583,MATCH(Tabelle11[[#Headers],[Daniel_D]],Spielauswertung!$B583:$E583,0))+L594)</f>
        <v>99.990299180470089</v>
      </c>
      <c r="M595" s="1">
        <f>IF(IFERROR(MATCH(Tabelle11[[#Headers],[David_R]],Spielauswertung!$B583:$E583,0),0)=0,M594,INDEX(Spielauswertung!$AB583:$AE583,MATCH(Tabelle11[[#Headers],[David_R]],Spielauswertung!$B583:$E583,0))+M594)</f>
        <v>96.715943522481638</v>
      </c>
      <c r="N595" s="1">
        <f>IF(IFERROR(MATCH(Tabelle11[[#Headers],[Dennis_P]],Spielauswertung!$B583:$E583,0),0)=0,N594,INDEX(Spielauswertung!$AB583:$AE583,MATCH(Tabelle11[[#Headers],[Dennis_P]],Spielauswertung!$B583:$E583,0))+N594)</f>
        <v>100.04773223105254</v>
      </c>
      <c r="O595" s="1">
        <f>IF(IFERROR(MATCH(Tabelle11[[#Headers],[Dennis_R]],Spielauswertung!$B583:$E583,0),0)=0,O594,INDEX(Spielauswertung!$AB583:$AE583,MATCH(Tabelle11[[#Headers],[Dennis_R]],Spielauswertung!$B583:$E583,0))+O594)</f>
        <v>75.131680864937195</v>
      </c>
      <c r="P595" s="1">
        <f>IF(IFERROR(MATCH(Tabelle11[[#Headers],[Detlef_R]],Spielauswertung!$B583:$E583,0),0)=0,P594,INDEX(Spielauswertung!$AB583:$AE583,MATCH(Tabelle11[[#Headers],[Detlef_R]],Spielauswertung!$B583:$E583,0))+P594)</f>
        <v>87.984671797367014</v>
      </c>
      <c r="Q595" s="1">
        <f>IF(IFERROR(MATCH(Tabelle11[[#Headers],[Dmitrij_M]],Spielauswertung!$B583:$E583,0),0)=0,Q594,INDEX(Spielauswertung!$AB583:$AE583,MATCH(Tabelle11[[#Headers],[Dmitrij_M]],Spielauswertung!$B583:$E583,0))+Q594)</f>
        <v>100.69975721846207</v>
      </c>
      <c r="R595" s="1">
        <f>IF(IFERROR(MATCH(Tabelle11[[#Headers],[Fabian_M]],Spielauswertung!$B583:$E583,0),0)=0,R594,INDEX(Spielauswertung!$AB583:$AE583,MATCH(Tabelle11[[#Headers],[Fabian_M]],Spielauswertung!$B583:$E583,0))+R594)</f>
        <v>95.805387841610738</v>
      </c>
      <c r="S595" s="1">
        <f>IF(IFERROR(MATCH(Tabelle11[[#Headers],[Hannes_S]],Spielauswertung!$B583:$E583,0),0)=0,S594,INDEX(Spielauswertung!$AB583:$AE583,MATCH(Tabelle11[[#Headers],[Hannes_S]],Spielauswertung!$B583:$E583,0))+S594)</f>
        <v>104.83899184012799</v>
      </c>
      <c r="T595" s="1">
        <f>IF(IFERROR(MATCH(Tabelle11[[#Headers],[Jan_B]],Spielauswertung!$B583:$E583,0),0)=0,T594,INDEX(Spielauswertung!$AB583:$AE583,MATCH(Tabelle11[[#Headers],[Jan_B]],Spielauswertung!$B583:$E583,0))+T594)</f>
        <v>100.2794420429173</v>
      </c>
      <c r="U595" s="1">
        <f>IF(IFERROR(MATCH(Tabelle11[[#Headers],[Jan_Hendrik_B]],Spielauswertung!$B583:$E583,0),0)=0,U594,INDEX(Spielauswertung!$AB583:$AE583,MATCH(Tabelle11[[#Headers],[Jan_Hendrik_B]],Spielauswertung!$B583:$E583,0))+U594)</f>
        <v>100.75492416935522</v>
      </c>
      <c r="V595" s="1">
        <f>IF(IFERROR(MATCH(Tabelle11[[#Headers],[Jens_N]],Spielauswertung!$B583:$E583,0),0)=0,V594,INDEX(Spielauswertung!$AB583:$AE583,MATCH(Tabelle11[[#Headers],[Jens_N]],Spielauswertung!$B583:$E583,0))+V594)</f>
        <v>99.643534710196832</v>
      </c>
      <c r="W595" s="1">
        <f>IF(IFERROR(MATCH(Tabelle11[[#Headers],[Johannes_S]],Spielauswertung!$B583:$E583,0),0)=0,W594,INDEX(Spielauswertung!$AB583:$AE583,MATCH(Tabelle11[[#Headers],[Johannes_S]],Spielauswertung!$B583:$E583,0))+W594)</f>
        <v>102.20284750979505</v>
      </c>
      <c r="X595" s="1">
        <f>IF(IFERROR(MATCH(Tabelle11[[#Headers],[Jonathan_F]],Spielauswertung!$B583:$E583,0),0)=0,X594,INDEX(Spielauswertung!$AB583:$AE583,MATCH(Tabelle11[[#Headers],[Jonathan_F]],Spielauswertung!$B583:$E583,0))+X594)</f>
        <v>98.938308797866256</v>
      </c>
      <c r="Y595" s="1">
        <f>IF(IFERROR(MATCH(Tabelle11[[#Headers],[Julius_P]],Spielauswertung!$B583:$E583,0),0)=0,Y594,INDEX(Spielauswertung!$AB583:$AE583,MATCH(Tabelle11[[#Headers],[Julius_P]],Spielauswertung!$B583:$E583,0))+Y594)</f>
        <v>96.540305101873642</v>
      </c>
      <c r="Z595" s="1">
        <f>IF(IFERROR(MATCH(Tabelle11[[#Headers],[Louis_W]],Spielauswertung!$B583:$E583,0),0)=0,Z594,INDEX(Spielauswertung!$AB583:$AE583,MATCH(Tabelle11[[#Headers],[Louis_W]],Spielauswertung!$B583:$E583,0))+Z594)</f>
        <v>87.497452285475362</v>
      </c>
      <c r="AA595" s="1">
        <f>IF(IFERROR(MATCH(Tabelle11[[#Headers],[Lukas_L]],Spielauswertung!$B583:$E583,0),0)=0,AA594,INDEX(Spielauswertung!$AB583:$AE583,MATCH(Tabelle11[[#Headers],[Lukas_L]],Spielauswertung!$B583:$E583,0))+AA594)</f>
        <v>98.447931341404143</v>
      </c>
      <c r="AB595" s="1">
        <f>IF(IFERROR(MATCH(Tabelle11[[#Headers],[Marcin_S]],Spielauswertung!$B583:$E583,0),0)=0,AB594,INDEX(Spielauswertung!$AB583:$AE583,MATCH(Tabelle11[[#Headers],[Marcin_S]],Spielauswertung!$B583:$E583,0))+AB594)</f>
        <v>85.463329105556824</v>
      </c>
      <c r="AC595" s="1">
        <f>IF(IFERROR(MATCH(Tabelle11[[#Headers],[Marco_K]],Spielauswertung!$B583:$E583,0),0)=0,AC594,INDEX(Spielauswertung!$AB583:$AE583,MATCH(Tabelle11[[#Headers],[Marco_K]],Spielauswertung!$B583:$E583,0))+AC594)</f>
        <v>102.12169819441469</v>
      </c>
      <c r="AD595" s="1">
        <f>IF(IFERROR(MATCH(Tabelle11[[#Headers],[Marius_M]],Spielauswertung!$B583:$E583,0),0)=0,AD594,INDEX(Spielauswertung!$AB583:$AE583,MATCH(Tabelle11[[#Headers],[Marius_M]],Spielauswertung!$B583:$E583,0))+AD594)</f>
        <v>124.54012374585781</v>
      </c>
      <c r="AE595" s="1">
        <f>IF(IFERROR(MATCH(Tabelle11[[#Headers],[Marvin_W]],Spielauswertung!$B583:$E583,0),0)=0,AE594,INDEX(Spielauswertung!$AB583:$AE583,MATCH(Tabelle11[[#Headers],[Marvin_W]],Spielauswertung!$B583:$E583,0))+AE594)</f>
        <v>96.700266280577438</v>
      </c>
      <c r="AF595" s="1">
        <f>IF(IFERROR(MATCH(Tabelle11[[#Headers],[Matthias_H]],Spielauswertung!$B583:$E583,0),0)=0,AF594,INDEX(Spielauswertung!$AB583:$AE583,MATCH(Tabelle11[[#Headers],[Matthias_H]],Spielauswertung!$B583:$E583,0))+AF594)</f>
        <v>105.42130178599372</v>
      </c>
      <c r="AG595" s="1">
        <f>IF(IFERROR(MATCH(Tabelle11[[#Headers],[Michael_D]],Spielauswertung!$B583:$E583,0),0)=0,AG594,INDEX(Spielauswertung!$AB583:$AE583,MATCH(Tabelle11[[#Headers],[Michael_D]],Spielauswertung!$B583:$E583,0))+AG594)</f>
        <v>96.436276170375336</v>
      </c>
      <c r="AH595" s="1">
        <f>IF(IFERROR(MATCH(Tabelle11[[#Headers],[Patrick_S]],Spielauswertung!$B583:$E583,0),0)=0,AH594,INDEX(Spielauswertung!$AB583:$AE583,MATCH(Tabelle11[[#Headers],[Patrick_S]],Spielauswertung!$B583:$E583,0))+AH594)</f>
        <v>98.975330692053802</v>
      </c>
      <c r="AI595" s="1">
        <f>IF(IFERROR(MATCH(Tabelle11[[#Headers],[Rano_M]],Spielauswertung!$B583:$E583,0),0)=0,AI594,INDEX(Spielauswertung!$AB583:$AE583,MATCH(Tabelle11[[#Headers],[Rano_M]],Spielauswertung!$B583:$E583,0))+AI594)</f>
        <v>109.38890657420265</v>
      </c>
      <c r="AJ595" s="1">
        <f>IF(IFERROR(MATCH(Tabelle11[[#Headers],[Rene_N]],Spielauswertung!$B583:$E583,0),0)=0,AJ594,INDEX(Spielauswertung!$AB583:$AE583,MATCH(Tabelle11[[#Headers],[Rene_N]],Spielauswertung!$B583:$E583,0))+AJ594)</f>
        <v>101.06482124619033</v>
      </c>
      <c r="AK595" s="1">
        <f>IF(IFERROR(MATCH(Tabelle11[[#Headers],[Rene_P]],Spielauswertung!$B583:$E583,0),0)=0,AK594,INDEX(Spielauswertung!$AB583:$AE583,MATCH(Tabelle11[[#Headers],[Rene_P]],Spielauswertung!$B583:$E583,0))+AK594)</f>
        <v>88.762543186332877</v>
      </c>
      <c r="AL595" s="1">
        <f>IF(IFERROR(MATCH(Tabelle11[[#Headers],[Richard_D]],Spielauswertung!$B583:$E583,0),0)=0,AL594,INDEX(Spielauswertung!$AB583:$AE583,MATCH(Tabelle11[[#Headers],[Richard_D]],Spielauswertung!$B583:$E583,0))+AL594)</f>
        <v>107.23233592026223</v>
      </c>
      <c r="AM595" s="1">
        <f>IF(IFERROR(MATCH(Tabelle11[[#Headers],[Rodrigo_R]],Spielauswertung!$B583:$E583,0),0)=0,AM594,INDEX(Spielauswertung!$AB583:$AE583,MATCH(Tabelle11[[#Headers],[Rodrigo_R]],Spielauswertung!$B583:$E583,0))+AM594)</f>
        <v>116.7028707921346</v>
      </c>
      <c r="AN595" s="1">
        <f>IF(IFERROR(MATCH(Tabelle11[[#Headers],[Sebastian_A]],Spielauswertung!$B583:$E583,0),0)=0,AN594,INDEX(Spielauswertung!$AB583:$AE583,MATCH(Tabelle11[[#Headers],[Sebastian_A]],Spielauswertung!$B583:$E583,0))+AN594)</f>
        <v>102.89457418671324</v>
      </c>
      <c r="AO595" s="1">
        <f>IF(IFERROR(MATCH(Tabelle11[[#Headers],[Sebastian_St]],Spielauswertung!$B583:$E583,0),0)=0,AO594,INDEX(Spielauswertung!$AB583:$AE583,MATCH(Tabelle11[[#Headers],[Sebastian_St]],Spielauswertung!$B583:$E583,0))+AO594)</f>
        <v>97.749574367408982</v>
      </c>
      <c r="AP595" s="1">
        <f>IF(IFERROR(MATCH(Tabelle11[[#Headers],[Simon_U]],Spielauswertung!$B583:$E583,0),0)=0,AP594,INDEX(Spielauswertung!$AB583:$AE583,MATCH(Tabelle11[[#Headers],[Simon_U]],Spielauswertung!$B583:$E583,0))+AP594)</f>
        <v>99.623054841470903</v>
      </c>
      <c r="AQ595" s="1">
        <f>IF(IFERROR(MATCH(Tabelle11[[#Headers],[Steffen_R]],Spielauswertung!$B583:$E583,0),0)=0,AQ594,INDEX(Spielauswertung!$AB583:$AE583,MATCH(Tabelle11[[#Headers],[Steffen_R]],Spielauswertung!$B583:$E583,0))+AQ594)</f>
        <v>93.247497067190949</v>
      </c>
      <c r="AR595" s="1">
        <f>IF(IFERROR(MATCH(Tabelle11[[#Headers],[Tim_R]],Spielauswertung!$B583:$E583,0),0)=0,AR594,INDEX(Spielauswertung!$AB583:$AE583,MATCH(Tabelle11[[#Headers],[Tim_R]],Spielauswertung!$B583:$E583,0))+AR594)</f>
        <v>103.07503787023374</v>
      </c>
      <c r="AS595" s="1">
        <f>IF(IFERROR(MATCH(Tabelle11[[#Headers],[Tobias_S]],Spielauswertung!$B583:$E583,0),0)=0,AS594,INDEX(Spielauswertung!$AB583:$AE583,MATCH(Tabelle11[[#Headers],[Tobias_S]],Spielauswertung!$B583:$E583,0))+AS594)</f>
        <v>98.6003422659997</v>
      </c>
      <c r="AT595" s="1">
        <f>IF(IFERROR(MATCH(Tabelle11[[#Headers],[Tom_R]],Spielauswertung!$B583:$E583,0),0)=0,AT594,INDEX(Spielauswertung!$AB583:$AE583,MATCH(Tabelle11[[#Headers],[Tom_R]],Spielauswertung!$B583:$E583,0))+AT594)</f>
        <v>112.62344492949197</v>
      </c>
      <c r="AU595" s="1">
        <f>IF(IFERROR(MATCH(Tabelle11[[#Headers],[Ton_L]],Spielauswertung!$B583:$E583,0),0)=0,AU594,INDEX(Spielauswertung!$AB583:$AE583,MATCH(Tabelle11[[#Headers],[Ton_L]],Spielauswertung!$B583:$E583,0))+AU594)</f>
        <v>92.683083360025861</v>
      </c>
      <c r="AV595" s="1">
        <f>IF(IFERROR(MATCH(Tabelle11[[#Headers],[Yixin_G]],Spielauswertung!$B583:$E583,0),0)=0,AV594,INDEX(Spielauswertung!$AB583:$AE583,MATCH(Tabelle11[[#Headers],[Yixin_G]],Spielauswertung!$B583:$E583,0))+AV594)</f>
        <v>99.900323214082661</v>
      </c>
      <c r="AW595" s="1">
        <f>IF(IFERROR(MATCH(Tabelle11[[#Headers],[Spalte36]],Spielauswertung!$B583:$E583,0),0)=0,AW594,INDEX(Spielauswertung!$AB583:$AE583,MATCH(Tabelle11[[#Headers],[Spalte36]],Spielauswertung!$B583:$E583,0))+AW594)</f>
        <v>100</v>
      </c>
      <c r="AX595" s="1">
        <f>IF(IFERROR(MATCH(Tabelle11[[#Headers],[Spalte37]],Spielauswertung!$B583:$E583,0),0)=0,AX594,INDEX(Spielauswertung!$AB583:$AE583,MATCH(Tabelle11[[#Headers],[Spalte37]],Spielauswertung!$B583:$E583,0))+AX594)</f>
        <v>100</v>
      </c>
      <c r="AY595" s="1">
        <f>IF(IFERROR(MATCH(Tabelle11[[#Headers],[Spalte38]],Spielauswertung!$B583:$E583,0),0)=0,AY594,INDEX(Spielauswertung!$AB583:$AE583,MATCH(Tabelle11[[#Headers],[Spalte38]],Spielauswertung!$B583:$E583,0))+AY594)</f>
        <v>100</v>
      </c>
      <c r="AZ595" s="1">
        <f>IF(IFERROR(MATCH(Tabelle11[[#Headers],[Spalte39]],Spielauswertung!$B583:$E583,0),0)=0,AZ594,INDEX(Spielauswertung!$AB583:$AE583,MATCH(Tabelle11[[#Headers],[Spalte39]],Spielauswertung!$B583:$E583,0))+AZ594)</f>
        <v>100</v>
      </c>
      <c r="BA595" s="1">
        <f>IF(IFERROR(MATCH(Tabelle11[[#Headers],[Spalte40]],Spielauswertung!$B583:$E583,0),0)=0,BA594,INDEX(Spielauswertung!$AB583:$AE583,MATCH(Tabelle11[[#Headers],[Spalte40]],Spielauswertung!$B583:$E583,0))+BA594)</f>
        <v>100</v>
      </c>
      <c r="BB595" s="1">
        <f>IF(IFERROR(MATCH(Tabelle11[[#Headers],[Spalte41]],Spielauswertung!$B583:$E583,0),0)=0,BB594,INDEX(Spielauswertung!$AB583:$AE583,MATCH(Tabelle11[[#Headers],[Spalte41]],Spielauswertung!$B583:$E583,0))+BB594)</f>
        <v>100</v>
      </c>
      <c r="BC595" s="1">
        <f>IF(IFERROR(MATCH(Tabelle11[[#Headers],[Spalte42]],Spielauswertung!$B583:$E583,0),0)=0,BC594,INDEX(Spielauswertung!$AB583:$AE583,MATCH(Tabelle11[[#Headers],[Spalte42]],Spielauswertung!$B583:$E583,0))+BC594)</f>
        <v>100</v>
      </c>
      <c r="BD595" s="1">
        <f>IF(IFERROR(MATCH(Tabelle11[[#Headers],[Spalte43]],Spielauswertung!$B583:$E583,0),0)=0,BD594,INDEX(Spielauswertung!$AB583:$AE583,MATCH(Tabelle11[[#Headers],[Spalte43]],Spielauswertung!$B583:$E583,0))+BD594)</f>
        <v>100</v>
      </c>
      <c r="BE595" s="1">
        <f>IF(IFERROR(MATCH(Tabelle11[[#Headers],[Spalte44]],Spielauswertung!$B583:$E583,0),0)=0,BE594,INDEX(Spielauswertung!$AB583:$AE583,MATCH(Tabelle11[[#Headers],[Spalte44]],Spielauswertung!$B583:$E583,0))+BE594)</f>
        <v>100</v>
      </c>
      <c r="BF595" s="1">
        <f>IF(IFERROR(MATCH(Tabelle11[[#Headers],[Spalte45]],Spielauswertung!$B583:$E583,0),0)=0,BF594,INDEX(Spielauswertung!$AB583:$AE583,MATCH(Tabelle11[[#Headers],[Spalte45]],Spielauswertung!$B583:$E583,0))+BF594)</f>
        <v>100</v>
      </c>
      <c r="BG595" s="1">
        <f>IF(IFERROR(MATCH(Tabelle11[[#Headers],[Spalte46]],Spielauswertung!$B583:$E583,0),0)=0,BG594,INDEX(Spielauswertung!$AB583:$AE583,MATCH(Tabelle11[[#Headers],[Spalte46]],Spielauswertung!$B583:$E583,0))+BG594)</f>
        <v>100</v>
      </c>
      <c r="BH595" s="1">
        <f>IF(IFERROR(MATCH(Tabelle11[[#Headers],[Spalte47]],Spielauswertung!$B583:$E583,0),0)=0,BH594,INDEX(Spielauswertung!$AB583:$AE583,MATCH(Tabelle11[[#Headers],[Spalte47]],Spielauswertung!$B583:$E583,0))+BH594)</f>
        <v>100</v>
      </c>
    </row>
    <row r="596" spans="1:60" x14ac:dyDescent="0.25">
      <c r="A596">
        <f t="shared" si="10"/>
        <v>583</v>
      </c>
      <c r="B596" s="1">
        <f>IF(IFERROR(MATCH(Tabelle11[[#Headers],[Aleix_V]],Spielauswertung!$B584:$E584,0),0)=0,B595,INDEX(Spielauswertung!$AB584:$AE584,MATCH(Tabelle11[[#Headers],[Aleix_V]],Spielauswertung!$B584:$E584,0))+B595)</f>
        <v>102.47318019444646</v>
      </c>
      <c r="C596" s="1">
        <f>IF(IFERROR(MATCH(Tabelle11[[#Headers],[Andres_H]],Spielauswertung!$B584:$E584,0),0)=0,C595,INDEX(Spielauswertung!$AB584:$AE584,MATCH(Tabelle11[[#Headers],[Andres_H]],Spielauswertung!$B584:$E584,0))+C595)</f>
        <v>95.535732339111306</v>
      </c>
      <c r="D596" s="1">
        <f>IF(IFERROR(MATCH(Tabelle11[[#Headers],[Anton_K]],Spielauswertung!$B584:$E584,0),0)=0,D595,INDEX(Spielauswertung!$AB584:$AE584,MATCH(Tabelle11[[#Headers],[Anton_K]],Spielauswertung!$B584:$E584,0))+D595)</f>
        <v>99.287728777054667</v>
      </c>
      <c r="E596" s="1">
        <f>IF(IFERROR(MATCH(Tabelle11[[#Headers],[Bastian_G]],Spielauswertung!$B584:$E584,0),0)=0,E595,INDEX(Spielauswertung!$AB584:$AE584,MATCH(Tabelle11[[#Headers],[Bastian_G]],Spielauswertung!$B584:$E584,0))+E595)</f>
        <v>117.49978695184252</v>
      </c>
      <c r="F596" s="1">
        <f>IF(IFERROR(MATCH(Tabelle11[[#Headers],[Ben_S]],Spielauswertung!$B584:$E584,0),0)=0,F595,INDEX(Spielauswertung!$AB584:$AE584,MATCH(Tabelle11[[#Headers],[Ben_S]],Spielauswertung!$B584:$E584,0))+F595)</f>
        <v>95.932799101521084</v>
      </c>
      <c r="G596" s="1">
        <f>IF(IFERROR(MATCH(Tabelle11[[#Headers],[Benedikt_K]],Spielauswertung!$B584:$E584,0),0)=0,G595,INDEX(Spielauswertung!$AB584:$AE584,MATCH(Tabelle11[[#Headers],[Benedikt_K]],Spielauswertung!$B584:$E584,0))+G595)</f>
        <v>101.20264176422626</v>
      </c>
      <c r="H596" s="1">
        <f>IF(IFERROR(MATCH(Tabelle11[[#Headers],[Benedikt_R]],Spielauswertung!$B584:$E584,0),0)=0,H595,INDEX(Spielauswertung!$AB584:$AE584,MATCH(Tabelle11[[#Headers],[Benedikt_R]],Spielauswertung!$B584:$E584,0))+H595)</f>
        <v>102.6264770510757</v>
      </c>
      <c r="I596" s="1">
        <f>IF(IFERROR(MATCH(Tabelle11[[#Headers],[Carsten_H]],Spielauswertung!$B584:$E584,0),0)=0,I595,INDEX(Spielauswertung!$AB584:$AE584,MATCH(Tabelle11[[#Headers],[Carsten_H]],Spielauswertung!$B584:$E584,0))+I595)</f>
        <v>90.817185094326874</v>
      </c>
      <c r="J596" s="1">
        <f>IF(IFERROR(MATCH(Tabelle11[[#Headers],[Christoph_R]],Spielauswertung!$B584:$E584,0),0)=0,J595,INDEX(Spielauswertung!$AB584:$AE584,MATCH(Tabelle11[[#Headers],[Christoph_R]],Spielauswertung!$B584:$E584,0))+J595)</f>
        <v>109.73261611443155</v>
      </c>
      <c r="K596" s="1">
        <f>IF(IFERROR(MATCH(Tabelle11[[#Headers],[Claudius_J]],Spielauswertung!$B584:$E584,0),0)=0,K595,INDEX(Spielauswertung!$AB584:$AE584,MATCH(Tabelle11[[#Headers],[Claudius_J]],Spielauswertung!$B584:$E584,0))+K595)</f>
        <v>106.16590636000029</v>
      </c>
      <c r="L596" s="1">
        <f>IF(IFERROR(MATCH(Tabelle11[[#Headers],[Daniel_D]],Spielauswertung!$B584:$E584,0),0)=0,L595,INDEX(Spielauswertung!$AB584:$AE584,MATCH(Tabelle11[[#Headers],[Daniel_D]],Spielauswertung!$B584:$E584,0))+L595)</f>
        <v>99.990299180470089</v>
      </c>
      <c r="M596" s="1">
        <f>IF(IFERROR(MATCH(Tabelle11[[#Headers],[David_R]],Spielauswertung!$B584:$E584,0),0)=0,M595,INDEX(Spielauswertung!$AB584:$AE584,MATCH(Tabelle11[[#Headers],[David_R]],Spielauswertung!$B584:$E584,0))+M595)</f>
        <v>96.715943522481638</v>
      </c>
      <c r="N596" s="1">
        <f>IF(IFERROR(MATCH(Tabelle11[[#Headers],[Dennis_P]],Spielauswertung!$B584:$E584,0),0)=0,N595,INDEX(Spielauswertung!$AB584:$AE584,MATCH(Tabelle11[[#Headers],[Dennis_P]],Spielauswertung!$B584:$E584,0))+N595)</f>
        <v>100.04773223105254</v>
      </c>
      <c r="O596" s="1">
        <f>IF(IFERROR(MATCH(Tabelle11[[#Headers],[Dennis_R]],Spielauswertung!$B584:$E584,0),0)=0,O595,INDEX(Spielauswertung!$AB584:$AE584,MATCH(Tabelle11[[#Headers],[Dennis_R]],Spielauswertung!$B584:$E584,0))+O595)</f>
        <v>75.131680864937195</v>
      </c>
      <c r="P596" s="1">
        <f>IF(IFERROR(MATCH(Tabelle11[[#Headers],[Detlef_R]],Spielauswertung!$B584:$E584,0),0)=0,P595,INDEX(Spielauswertung!$AB584:$AE584,MATCH(Tabelle11[[#Headers],[Detlef_R]],Spielauswertung!$B584:$E584,0))+P595)</f>
        <v>87.984671797367014</v>
      </c>
      <c r="Q596" s="1">
        <f>IF(IFERROR(MATCH(Tabelle11[[#Headers],[Dmitrij_M]],Spielauswertung!$B584:$E584,0),0)=0,Q595,INDEX(Spielauswertung!$AB584:$AE584,MATCH(Tabelle11[[#Headers],[Dmitrij_M]],Spielauswertung!$B584:$E584,0))+Q595)</f>
        <v>100.69975721846207</v>
      </c>
      <c r="R596" s="1">
        <f>IF(IFERROR(MATCH(Tabelle11[[#Headers],[Fabian_M]],Spielauswertung!$B584:$E584,0),0)=0,R595,INDEX(Spielauswertung!$AB584:$AE584,MATCH(Tabelle11[[#Headers],[Fabian_M]],Spielauswertung!$B584:$E584,0))+R595)</f>
        <v>95.805387841610738</v>
      </c>
      <c r="S596" s="1">
        <f>IF(IFERROR(MATCH(Tabelle11[[#Headers],[Hannes_S]],Spielauswertung!$B584:$E584,0),0)=0,S595,INDEX(Spielauswertung!$AB584:$AE584,MATCH(Tabelle11[[#Headers],[Hannes_S]],Spielauswertung!$B584:$E584,0))+S595)</f>
        <v>104.83899184012799</v>
      </c>
      <c r="T596" s="1">
        <f>IF(IFERROR(MATCH(Tabelle11[[#Headers],[Jan_B]],Spielauswertung!$B584:$E584,0),0)=0,T595,INDEX(Spielauswertung!$AB584:$AE584,MATCH(Tabelle11[[#Headers],[Jan_B]],Spielauswertung!$B584:$E584,0))+T595)</f>
        <v>100.2794420429173</v>
      </c>
      <c r="U596" s="1">
        <f>IF(IFERROR(MATCH(Tabelle11[[#Headers],[Jan_Hendrik_B]],Spielauswertung!$B584:$E584,0),0)=0,U595,INDEX(Spielauswertung!$AB584:$AE584,MATCH(Tabelle11[[#Headers],[Jan_Hendrik_B]],Spielauswertung!$B584:$E584,0))+U595)</f>
        <v>100.75492416935522</v>
      </c>
      <c r="V596" s="1">
        <f>IF(IFERROR(MATCH(Tabelle11[[#Headers],[Jens_N]],Spielauswertung!$B584:$E584,0),0)=0,V595,INDEX(Spielauswertung!$AB584:$AE584,MATCH(Tabelle11[[#Headers],[Jens_N]],Spielauswertung!$B584:$E584,0))+V595)</f>
        <v>99.643534710196832</v>
      </c>
      <c r="W596" s="1">
        <f>IF(IFERROR(MATCH(Tabelle11[[#Headers],[Johannes_S]],Spielauswertung!$B584:$E584,0),0)=0,W595,INDEX(Spielauswertung!$AB584:$AE584,MATCH(Tabelle11[[#Headers],[Johannes_S]],Spielauswertung!$B584:$E584,0))+W595)</f>
        <v>102.20284750979505</v>
      </c>
      <c r="X596" s="1">
        <f>IF(IFERROR(MATCH(Tabelle11[[#Headers],[Jonathan_F]],Spielauswertung!$B584:$E584,0),0)=0,X595,INDEX(Spielauswertung!$AB584:$AE584,MATCH(Tabelle11[[#Headers],[Jonathan_F]],Spielauswertung!$B584:$E584,0))+X595)</f>
        <v>98.938308797866256</v>
      </c>
      <c r="Y596" s="1">
        <f>IF(IFERROR(MATCH(Tabelle11[[#Headers],[Julius_P]],Spielauswertung!$B584:$E584,0),0)=0,Y595,INDEX(Spielauswertung!$AB584:$AE584,MATCH(Tabelle11[[#Headers],[Julius_P]],Spielauswertung!$B584:$E584,0))+Y595)</f>
        <v>96.540305101873642</v>
      </c>
      <c r="Z596" s="1">
        <f>IF(IFERROR(MATCH(Tabelle11[[#Headers],[Louis_W]],Spielauswertung!$B584:$E584,0),0)=0,Z595,INDEX(Spielauswertung!$AB584:$AE584,MATCH(Tabelle11[[#Headers],[Louis_W]],Spielauswertung!$B584:$E584,0))+Z595)</f>
        <v>87.497452285475362</v>
      </c>
      <c r="AA596" s="1">
        <f>IF(IFERROR(MATCH(Tabelle11[[#Headers],[Lukas_L]],Spielauswertung!$B584:$E584,0),0)=0,AA595,INDEX(Spielauswertung!$AB584:$AE584,MATCH(Tabelle11[[#Headers],[Lukas_L]],Spielauswertung!$B584:$E584,0))+AA595)</f>
        <v>98.447931341404143</v>
      </c>
      <c r="AB596" s="1">
        <f>IF(IFERROR(MATCH(Tabelle11[[#Headers],[Marcin_S]],Spielauswertung!$B584:$E584,0),0)=0,AB595,INDEX(Spielauswertung!$AB584:$AE584,MATCH(Tabelle11[[#Headers],[Marcin_S]],Spielauswertung!$B584:$E584,0))+AB595)</f>
        <v>85.463329105556824</v>
      </c>
      <c r="AC596" s="1">
        <f>IF(IFERROR(MATCH(Tabelle11[[#Headers],[Marco_K]],Spielauswertung!$B584:$E584,0),0)=0,AC595,INDEX(Spielauswertung!$AB584:$AE584,MATCH(Tabelle11[[#Headers],[Marco_K]],Spielauswertung!$B584:$E584,0))+AC595)</f>
        <v>102.12169819441469</v>
      </c>
      <c r="AD596" s="1">
        <f>IF(IFERROR(MATCH(Tabelle11[[#Headers],[Marius_M]],Spielauswertung!$B584:$E584,0),0)=0,AD595,INDEX(Spielauswertung!$AB584:$AE584,MATCH(Tabelle11[[#Headers],[Marius_M]],Spielauswertung!$B584:$E584,0))+AD595)</f>
        <v>124.54012374585781</v>
      </c>
      <c r="AE596" s="1">
        <f>IF(IFERROR(MATCH(Tabelle11[[#Headers],[Marvin_W]],Spielauswertung!$B584:$E584,0),0)=0,AE595,INDEX(Spielauswertung!$AB584:$AE584,MATCH(Tabelle11[[#Headers],[Marvin_W]],Spielauswertung!$B584:$E584,0))+AE595)</f>
        <v>96.700266280577438</v>
      </c>
      <c r="AF596" s="1">
        <f>IF(IFERROR(MATCH(Tabelle11[[#Headers],[Matthias_H]],Spielauswertung!$B584:$E584,0),0)=0,AF595,INDEX(Spielauswertung!$AB584:$AE584,MATCH(Tabelle11[[#Headers],[Matthias_H]],Spielauswertung!$B584:$E584,0))+AF595)</f>
        <v>105.42130178599372</v>
      </c>
      <c r="AG596" s="1">
        <f>IF(IFERROR(MATCH(Tabelle11[[#Headers],[Michael_D]],Spielauswertung!$B584:$E584,0),0)=0,AG595,INDEX(Spielauswertung!$AB584:$AE584,MATCH(Tabelle11[[#Headers],[Michael_D]],Spielauswertung!$B584:$E584,0))+AG595)</f>
        <v>96.436276170375336</v>
      </c>
      <c r="AH596" s="1">
        <f>IF(IFERROR(MATCH(Tabelle11[[#Headers],[Patrick_S]],Spielauswertung!$B584:$E584,0),0)=0,AH595,INDEX(Spielauswertung!$AB584:$AE584,MATCH(Tabelle11[[#Headers],[Patrick_S]],Spielauswertung!$B584:$E584,0))+AH595)</f>
        <v>98.975330692053802</v>
      </c>
      <c r="AI596" s="1">
        <f>IF(IFERROR(MATCH(Tabelle11[[#Headers],[Rano_M]],Spielauswertung!$B584:$E584,0),0)=0,AI595,INDEX(Spielauswertung!$AB584:$AE584,MATCH(Tabelle11[[#Headers],[Rano_M]],Spielauswertung!$B584:$E584,0))+AI595)</f>
        <v>109.38890657420265</v>
      </c>
      <c r="AJ596" s="1">
        <f>IF(IFERROR(MATCH(Tabelle11[[#Headers],[Rene_N]],Spielauswertung!$B584:$E584,0),0)=0,AJ595,INDEX(Spielauswertung!$AB584:$AE584,MATCH(Tabelle11[[#Headers],[Rene_N]],Spielauswertung!$B584:$E584,0))+AJ595)</f>
        <v>101.06482124619033</v>
      </c>
      <c r="AK596" s="1">
        <f>IF(IFERROR(MATCH(Tabelle11[[#Headers],[Rene_P]],Spielauswertung!$B584:$E584,0),0)=0,AK595,INDEX(Spielauswertung!$AB584:$AE584,MATCH(Tabelle11[[#Headers],[Rene_P]],Spielauswertung!$B584:$E584,0))+AK595)</f>
        <v>88.762543186332877</v>
      </c>
      <c r="AL596" s="1">
        <f>IF(IFERROR(MATCH(Tabelle11[[#Headers],[Richard_D]],Spielauswertung!$B584:$E584,0),0)=0,AL595,INDEX(Spielauswertung!$AB584:$AE584,MATCH(Tabelle11[[#Headers],[Richard_D]],Spielauswertung!$B584:$E584,0))+AL595)</f>
        <v>107.23233592026223</v>
      </c>
      <c r="AM596" s="1">
        <f>IF(IFERROR(MATCH(Tabelle11[[#Headers],[Rodrigo_R]],Spielauswertung!$B584:$E584,0),0)=0,AM595,INDEX(Spielauswertung!$AB584:$AE584,MATCH(Tabelle11[[#Headers],[Rodrigo_R]],Spielauswertung!$B584:$E584,0))+AM595)</f>
        <v>116.7028707921346</v>
      </c>
      <c r="AN596" s="1">
        <f>IF(IFERROR(MATCH(Tabelle11[[#Headers],[Sebastian_A]],Spielauswertung!$B584:$E584,0),0)=0,AN595,INDEX(Spielauswertung!$AB584:$AE584,MATCH(Tabelle11[[#Headers],[Sebastian_A]],Spielauswertung!$B584:$E584,0))+AN595)</f>
        <v>102.89457418671324</v>
      </c>
      <c r="AO596" s="1">
        <f>IF(IFERROR(MATCH(Tabelle11[[#Headers],[Sebastian_St]],Spielauswertung!$B584:$E584,0),0)=0,AO595,INDEX(Spielauswertung!$AB584:$AE584,MATCH(Tabelle11[[#Headers],[Sebastian_St]],Spielauswertung!$B584:$E584,0))+AO595)</f>
        <v>97.749574367408982</v>
      </c>
      <c r="AP596" s="1">
        <f>IF(IFERROR(MATCH(Tabelle11[[#Headers],[Simon_U]],Spielauswertung!$B584:$E584,0),0)=0,AP595,INDEX(Spielauswertung!$AB584:$AE584,MATCH(Tabelle11[[#Headers],[Simon_U]],Spielauswertung!$B584:$E584,0))+AP595)</f>
        <v>99.623054841470903</v>
      </c>
      <c r="AQ596" s="1">
        <f>IF(IFERROR(MATCH(Tabelle11[[#Headers],[Steffen_R]],Spielauswertung!$B584:$E584,0),0)=0,AQ595,INDEX(Spielauswertung!$AB584:$AE584,MATCH(Tabelle11[[#Headers],[Steffen_R]],Spielauswertung!$B584:$E584,0))+AQ595)</f>
        <v>93.247497067190949</v>
      </c>
      <c r="AR596" s="1">
        <f>IF(IFERROR(MATCH(Tabelle11[[#Headers],[Tim_R]],Spielauswertung!$B584:$E584,0),0)=0,AR595,INDEX(Spielauswertung!$AB584:$AE584,MATCH(Tabelle11[[#Headers],[Tim_R]],Spielauswertung!$B584:$E584,0))+AR595)</f>
        <v>103.07503787023374</v>
      </c>
      <c r="AS596" s="1">
        <f>IF(IFERROR(MATCH(Tabelle11[[#Headers],[Tobias_S]],Spielauswertung!$B584:$E584,0),0)=0,AS595,INDEX(Spielauswertung!$AB584:$AE584,MATCH(Tabelle11[[#Headers],[Tobias_S]],Spielauswertung!$B584:$E584,0))+AS595)</f>
        <v>98.6003422659997</v>
      </c>
      <c r="AT596" s="1">
        <f>IF(IFERROR(MATCH(Tabelle11[[#Headers],[Tom_R]],Spielauswertung!$B584:$E584,0),0)=0,AT595,INDEX(Spielauswertung!$AB584:$AE584,MATCH(Tabelle11[[#Headers],[Tom_R]],Spielauswertung!$B584:$E584,0))+AT595)</f>
        <v>112.62344492949197</v>
      </c>
      <c r="AU596" s="1">
        <f>IF(IFERROR(MATCH(Tabelle11[[#Headers],[Ton_L]],Spielauswertung!$B584:$E584,0),0)=0,AU595,INDEX(Spielauswertung!$AB584:$AE584,MATCH(Tabelle11[[#Headers],[Ton_L]],Spielauswertung!$B584:$E584,0))+AU595)</f>
        <v>92.683083360025861</v>
      </c>
      <c r="AV596" s="1">
        <f>IF(IFERROR(MATCH(Tabelle11[[#Headers],[Yixin_G]],Spielauswertung!$B584:$E584,0),0)=0,AV595,INDEX(Spielauswertung!$AB584:$AE584,MATCH(Tabelle11[[#Headers],[Yixin_G]],Spielauswertung!$B584:$E584,0))+AV595)</f>
        <v>99.900323214082661</v>
      </c>
      <c r="AW596" s="1">
        <f>IF(IFERROR(MATCH(Tabelle11[[#Headers],[Spalte36]],Spielauswertung!$B584:$E584,0),0)=0,AW595,INDEX(Spielauswertung!$AB584:$AE584,MATCH(Tabelle11[[#Headers],[Spalte36]],Spielauswertung!$B584:$E584,0))+AW595)</f>
        <v>100</v>
      </c>
      <c r="AX596" s="1">
        <f>IF(IFERROR(MATCH(Tabelle11[[#Headers],[Spalte37]],Spielauswertung!$B584:$E584,0),0)=0,AX595,INDEX(Spielauswertung!$AB584:$AE584,MATCH(Tabelle11[[#Headers],[Spalte37]],Spielauswertung!$B584:$E584,0))+AX595)</f>
        <v>100</v>
      </c>
      <c r="AY596" s="1">
        <f>IF(IFERROR(MATCH(Tabelle11[[#Headers],[Spalte38]],Spielauswertung!$B584:$E584,0),0)=0,AY595,INDEX(Spielauswertung!$AB584:$AE584,MATCH(Tabelle11[[#Headers],[Spalte38]],Spielauswertung!$B584:$E584,0))+AY595)</f>
        <v>100</v>
      </c>
      <c r="AZ596" s="1">
        <f>IF(IFERROR(MATCH(Tabelle11[[#Headers],[Spalte39]],Spielauswertung!$B584:$E584,0),0)=0,AZ595,INDEX(Spielauswertung!$AB584:$AE584,MATCH(Tabelle11[[#Headers],[Spalte39]],Spielauswertung!$B584:$E584,0))+AZ595)</f>
        <v>100</v>
      </c>
      <c r="BA596" s="1">
        <f>IF(IFERROR(MATCH(Tabelle11[[#Headers],[Spalte40]],Spielauswertung!$B584:$E584,0),0)=0,BA595,INDEX(Spielauswertung!$AB584:$AE584,MATCH(Tabelle11[[#Headers],[Spalte40]],Spielauswertung!$B584:$E584,0))+BA595)</f>
        <v>100</v>
      </c>
      <c r="BB596" s="1">
        <f>IF(IFERROR(MATCH(Tabelle11[[#Headers],[Spalte41]],Spielauswertung!$B584:$E584,0),0)=0,BB595,INDEX(Spielauswertung!$AB584:$AE584,MATCH(Tabelle11[[#Headers],[Spalte41]],Spielauswertung!$B584:$E584,0))+BB595)</f>
        <v>100</v>
      </c>
      <c r="BC596" s="1">
        <f>IF(IFERROR(MATCH(Tabelle11[[#Headers],[Spalte42]],Spielauswertung!$B584:$E584,0),0)=0,BC595,INDEX(Spielauswertung!$AB584:$AE584,MATCH(Tabelle11[[#Headers],[Spalte42]],Spielauswertung!$B584:$E584,0))+BC595)</f>
        <v>100</v>
      </c>
      <c r="BD596" s="1">
        <f>IF(IFERROR(MATCH(Tabelle11[[#Headers],[Spalte43]],Spielauswertung!$B584:$E584,0),0)=0,BD595,INDEX(Spielauswertung!$AB584:$AE584,MATCH(Tabelle11[[#Headers],[Spalte43]],Spielauswertung!$B584:$E584,0))+BD595)</f>
        <v>100</v>
      </c>
      <c r="BE596" s="1">
        <f>IF(IFERROR(MATCH(Tabelle11[[#Headers],[Spalte44]],Spielauswertung!$B584:$E584,0),0)=0,BE595,INDEX(Spielauswertung!$AB584:$AE584,MATCH(Tabelle11[[#Headers],[Spalte44]],Spielauswertung!$B584:$E584,0))+BE595)</f>
        <v>100</v>
      </c>
      <c r="BF596" s="1">
        <f>IF(IFERROR(MATCH(Tabelle11[[#Headers],[Spalte45]],Spielauswertung!$B584:$E584,0),0)=0,BF595,INDEX(Spielauswertung!$AB584:$AE584,MATCH(Tabelle11[[#Headers],[Spalte45]],Spielauswertung!$B584:$E584,0))+BF595)</f>
        <v>100</v>
      </c>
      <c r="BG596" s="1">
        <f>IF(IFERROR(MATCH(Tabelle11[[#Headers],[Spalte46]],Spielauswertung!$B584:$E584,0),0)=0,BG595,INDEX(Spielauswertung!$AB584:$AE584,MATCH(Tabelle11[[#Headers],[Spalte46]],Spielauswertung!$B584:$E584,0))+BG595)</f>
        <v>100</v>
      </c>
      <c r="BH596" s="1">
        <f>IF(IFERROR(MATCH(Tabelle11[[#Headers],[Spalte47]],Spielauswertung!$B584:$E584,0),0)=0,BH595,INDEX(Spielauswertung!$AB584:$AE584,MATCH(Tabelle11[[#Headers],[Spalte47]],Spielauswertung!$B584:$E584,0))+BH595)</f>
        <v>100</v>
      </c>
    </row>
    <row r="597" spans="1:60" x14ac:dyDescent="0.25">
      <c r="A597">
        <f t="shared" si="10"/>
        <v>584</v>
      </c>
      <c r="B597" s="1">
        <f>IF(IFERROR(MATCH(Tabelle11[[#Headers],[Aleix_V]],Spielauswertung!$B585:$E585,0),0)=0,B596,INDEX(Spielauswertung!$AB585:$AE585,MATCH(Tabelle11[[#Headers],[Aleix_V]],Spielauswertung!$B585:$E585,0))+B596)</f>
        <v>102.47318019444646</v>
      </c>
      <c r="C597" s="1">
        <f>IF(IFERROR(MATCH(Tabelle11[[#Headers],[Andres_H]],Spielauswertung!$B585:$E585,0),0)=0,C596,INDEX(Spielauswertung!$AB585:$AE585,MATCH(Tabelle11[[#Headers],[Andres_H]],Spielauswertung!$B585:$E585,0))+C596)</f>
        <v>95.535732339111306</v>
      </c>
      <c r="D597" s="1">
        <f>IF(IFERROR(MATCH(Tabelle11[[#Headers],[Anton_K]],Spielauswertung!$B585:$E585,0),0)=0,D596,INDEX(Spielauswertung!$AB585:$AE585,MATCH(Tabelle11[[#Headers],[Anton_K]],Spielauswertung!$B585:$E585,0))+D596)</f>
        <v>99.287728777054667</v>
      </c>
      <c r="E597" s="1">
        <f>IF(IFERROR(MATCH(Tabelle11[[#Headers],[Bastian_G]],Spielauswertung!$B585:$E585,0),0)=0,E596,INDEX(Spielauswertung!$AB585:$AE585,MATCH(Tabelle11[[#Headers],[Bastian_G]],Spielauswertung!$B585:$E585,0))+E596)</f>
        <v>117.49978695184252</v>
      </c>
      <c r="F597" s="1">
        <f>IF(IFERROR(MATCH(Tabelle11[[#Headers],[Ben_S]],Spielauswertung!$B585:$E585,0),0)=0,F596,INDEX(Spielauswertung!$AB585:$AE585,MATCH(Tabelle11[[#Headers],[Ben_S]],Spielauswertung!$B585:$E585,0))+F596)</f>
        <v>95.932799101521084</v>
      </c>
      <c r="G597" s="1">
        <f>IF(IFERROR(MATCH(Tabelle11[[#Headers],[Benedikt_K]],Spielauswertung!$B585:$E585,0),0)=0,G596,INDEX(Spielauswertung!$AB585:$AE585,MATCH(Tabelle11[[#Headers],[Benedikt_K]],Spielauswertung!$B585:$E585,0))+G596)</f>
        <v>101.20264176422626</v>
      </c>
      <c r="H597" s="1">
        <f>IF(IFERROR(MATCH(Tabelle11[[#Headers],[Benedikt_R]],Spielauswertung!$B585:$E585,0),0)=0,H596,INDEX(Spielauswertung!$AB585:$AE585,MATCH(Tabelle11[[#Headers],[Benedikt_R]],Spielauswertung!$B585:$E585,0))+H596)</f>
        <v>102.6264770510757</v>
      </c>
      <c r="I597" s="1">
        <f>IF(IFERROR(MATCH(Tabelle11[[#Headers],[Carsten_H]],Spielauswertung!$B585:$E585,0),0)=0,I596,INDEX(Spielauswertung!$AB585:$AE585,MATCH(Tabelle11[[#Headers],[Carsten_H]],Spielauswertung!$B585:$E585,0))+I596)</f>
        <v>90.817185094326874</v>
      </c>
      <c r="J597" s="1">
        <f>IF(IFERROR(MATCH(Tabelle11[[#Headers],[Christoph_R]],Spielauswertung!$B585:$E585,0),0)=0,J596,INDEX(Spielauswertung!$AB585:$AE585,MATCH(Tabelle11[[#Headers],[Christoph_R]],Spielauswertung!$B585:$E585,0))+J596)</f>
        <v>109.73261611443155</v>
      </c>
      <c r="K597" s="1">
        <f>IF(IFERROR(MATCH(Tabelle11[[#Headers],[Claudius_J]],Spielauswertung!$B585:$E585,0),0)=0,K596,INDEX(Spielauswertung!$AB585:$AE585,MATCH(Tabelle11[[#Headers],[Claudius_J]],Spielauswertung!$B585:$E585,0))+K596)</f>
        <v>106.16590636000029</v>
      </c>
      <c r="L597" s="1">
        <f>IF(IFERROR(MATCH(Tabelle11[[#Headers],[Daniel_D]],Spielauswertung!$B585:$E585,0),0)=0,L596,INDEX(Spielauswertung!$AB585:$AE585,MATCH(Tabelle11[[#Headers],[Daniel_D]],Spielauswertung!$B585:$E585,0))+L596)</f>
        <v>99.990299180470089</v>
      </c>
      <c r="M597" s="1">
        <f>IF(IFERROR(MATCH(Tabelle11[[#Headers],[David_R]],Spielauswertung!$B585:$E585,0),0)=0,M596,INDEX(Spielauswertung!$AB585:$AE585,MATCH(Tabelle11[[#Headers],[David_R]],Spielauswertung!$B585:$E585,0))+M596)</f>
        <v>96.715943522481638</v>
      </c>
      <c r="N597" s="1">
        <f>IF(IFERROR(MATCH(Tabelle11[[#Headers],[Dennis_P]],Spielauswertung!$B585:$E585,0),0)=0,N596,INDEX(Spielauswertung!$AB585:$AE585,MATCH(Tabelle11[[#Headers],[Dennis_P]],Spielauswertung!$B585:$E585,0))+N596)</f>
        <v>100.04773223105254</v>
      </c>
      <c r="O597" s="1">
        <f>IF(IFERROR(MATCH(Tabelle11[[#Headers],[Dennis_R]],Spielauswertung!$B585:$E585,0),0)=0,O596,INDEX(Spielauswertung!$AB585:$AE585,MATCH(Tabelle11[[#Headers],[Dennis_R]],Spielauswertung!$B585:$E585,0))+O596)</f>
        <v>75.131680864937195</v>
      </c>
      <c r="P597" s="1">
        <f>IF(IFERROR(MATCH(Tabelle11[[#Headers],[Detlef_R]],Spielauswertung!$B585:$E585,0),0)=0,P596,INDEX(Spielauswertung!$AB585:$AE585,MATCH(Tabelle11[[#Headers],[Detlef_R]],Spielauswertung!$B585:$E585,0))+P596)</f>
        <v>87.984671797367014</v>
      </c>
      <c r="Q597" s="1">
        <f>IF(IFERROR(MATCH(Tabelle11[[#Headers],[Dmitrij_M]],Spielauswertung!$B585:$E585,0),0)=0,Q596,INDEX(Spielauswertung!$AB585:$AE585,MATCH(Tabelle11[[#Headers],[Dmitrij_M]],Spielauswertung!$B585:$E585,0))+Q596)</f>
        <v>100.69975721846207</v>
      </c>
      <c r="R597" s="1">
        <f>IF(IFERROR(MATCH(Tabelle11[[#Headers],[Fabian_M]],Spielauswertung!$B585:$E585,0),0)=0,R596,INDEX(Spielauswertung!$AB585:$AE585,MATCH(Tabelle11[[#Headers],[Fabian_M]],Spielauswertung!$B585:$E585,0))+R596)</f>
        <v>95.805387841610738</v>
      </c>
      <c r="S597" s="1">
        <f>IF(IFERROR(MATCH(Tabelle11[[#Headers],[Hannes_S]],Spielauswertung!$B585:$E585,0),0)=0,S596,INDEX(Spielauswertung!$AB585:$AE585,MATCH(Tabelle11[[#Headers],[Hannes_S]],Spielauswertung!$B585:$E585,0))+S596)</f>
        <v>104.83899184012799</v>
      </c>
      <c r="T597" s="1">
        <f>IF(IFERROR(MATCH(Tabelle11[[#Headers],[Jan_B]],Spielauswertung!$B585:$E585,0),0)=0,T596,INDEX(Spielauswertung!$AB585:$AE585,MATCH(Tabelle11[[#Headers],[Jan_B]],Spielauswertung!$B585:$E585,0))+T596)</f>
        <v>100.2794420429173</v>
      </c>
      <c r="U597" s="1">
        <f>IF(IFERROR(MATCH(Tabelle11[[#Headers],[Jan_Hendrik_B]],Spielauswertung!$B585:$E585,0),0)=0,U596,INDEX(Spielauswertung!$AB585:$AE585,MATCH(Tabelle11[[#Headers],[Jan_Hendrik_B]],Spielauswertung!$B585:$E585,0))+U596)</f>
        <v>100.75492416935522</v>
      </c>
      <c r="V597" s="1">
        <f>IF(IFERROR(MATCH(Tabelle11[[#Headers],[Jens_N]],Spielauswertung!$B585:$E585,0),0)=0,V596,INDEX(Spielauswertung!$AB585:$AE585,MATCH(Tabelle11[[#Headers],[Jens_N]],Spielauswertung!$B585:$E585,0))+V596)</f>
        <v>99.643534710196832</v>
      </c>
      <c r="W597" s="1">
        <f>IF(IFERROR(MATCH(Tabelle11[[#Headers],[Johannes_S]],Spielauswertung!$B585:$E585,0),0)=0,W596,INDEX(Spielauswertung!$AB585:$AE585,MATCH(Tabelle11[[#Headers],[Johannes_S]],Spielauswertung!$B585:$E585,0))+W596)</f>
        <v>102.20284750979505</v>
      </c>
      <c r="X597" s="1">
        <f>IF(IFERROR(MATCH(Tabelle11[[#Headers],[Jonathan_F]],Spielauswertung!$B585:$E585,0),0)=0,X596,INDEX(Spielauswertung!$AB585:$AE585,MATCH(Tabelle11[[#Headers],[Jonathan_F]],Spielauswertung!$B585:$E585,0))+X596)</f>
        <v>98.938308797866256</v>
      </c>
      <c r="Y597" s="1">
        <f>IF(IFERROR(MATCH(Tabelle11[[#Headers],[Julius_P]],Spielauswertung!$B585:$E585,0),0)=0,Y596,INDEX(Spielauswertung!$AB585:$AE585,MATCH(Tabelle11[[#Headers],[Julius_P]],Spielauswertung!$B585:$E585,0))+Y596)</f>
        <v>96.540305101873642</v>
      </c>
      <c r="Z597" s="1">
        <f>IF(IFERROR(MATCH(Tabelle11[[#Headers],[Louis_W]],Spielauswertung!$B585:$E585,0),0)=0,Z596,INDEX(Spielauswertung!$AB585:$AE585,MATCH(Tabelle11[[#Headers],[Louis_W]],Spielauswertung!$B585:$E585,0))+Z596)</f>
        <v>87.497452285475362</v>
      </c>
      <c r="AA597" s="1">
        <f>IF(IFERROR(MATCH(Tabelle11[[#Headers],[Lukas_L]],Spielauswertung!$B585:$E585,0),0)=0,AA596,INDEX(Spielauswertung!$AB585:$AE585,MATCH(Tabelle11[[#Headers],[Lukas_L]],Spielauswertung!$B585:$E585,0))+AA596)</f>
        <v>98.447931341404143</v>
      </c>
      <c r="AB597" s="1">
        <f>IF(IFERROR(MATCH(Tabelle11[[#Headers],[Marcin_S]],Spielauswertung!$B585:$E585,0),0)=0,AB596,INDEX(Spielauswertung!$AB585:$AE585,MATCH(Tabelle11[[#Headers],[Marcin_S]],Spielauswertung!$B585:$E585,0))+AB596)</f>
        <v>85.463329105556824</v>
      </c>
      <c r="AC597" s="1">
        <f>IF(IFERROR(MATCH(Tabelle11[[#Headers],[Marco_K]],Spielauswertung!$B585:$E585,0),0)=0,AC596,INDEX(Spielauswertung!$AB585:$AE585,MATCH(Tabelle11[[#Headers],[Marco_K]],Spielauswertung!$B585:$E585,0))+AC596)</f>
        <v>102.12169819441469</v>
      </c>
      <c r="AD597" s="1">
        <f>IF(IFERROR(MATCH(Tabelle11[[#Headers],[Marius_M]],Spielauswertung!$B585:$E585,0),0)=0,AD596,INDEX(Spielauswertung!$AB585:$AE585,MATCH(Tabelle11[[#Headers],[Marius_M]],Spielauswertung!$B585:$E585,0))+AD596)</f>
        <v>124.54012374585781</v>
      </c>
      <c r="AE597" s="1">
        <f>IF(IFERROR(MATCH(Tabelle11[[#Headers],[Marvin_W]],Spielauswertung!$B585:$E585,0),0)=0,AE596,INDEX(Spielauswertung!$AB585:$AE585,MATCH(Tabelle11[[#Headers],[Marvin_W]],Spielauswertung!$B585:$E585,0))+AE596)</f>
        <v>96.700266280577438</v>
      </c>
      <c r="AF597" s="1">
        <f>IF(IFERROR(MATCH(Tabelle11[[#Headers],[Matthias_H]],Spielauswertung!$B585:$E585,0),0)=0,AF596,INDEX(Spielauswertung!$AB585:$AE585,MATCH(Tabelle11[[#Headers],[Matthias_H]],Spielauswertung!$B585:$E585,0))+AF596)</f>
        <v>105.42130178599372</v>
      </c>
      <c r="AG597" s="1">
        <f>IF(IFERROR(MATCH(Tabelle11[[#Headers],[Michael_D]],Spielauswertung!$B585:$E585,0),0)=0,AG596,INDEX(Spielauswertung!$AB585:$AE585,MATCH(Tabelle11[[#Headers],[Michael_D]],Spielauswertung!$B585:$E585,0))+AG596)</f>
        <v>96.436276170375336</v>
      </c>
      <c r="AH597" s="1">
        <f>IF(IFERROR(MATCH(Tabelle11[[#Headers],[Patrick_S]],Spielauswertung!$B585:$E585,0),0)=0,AH596,INDEX(Spielauswertung!$AB585:$AE585,MATCH(Tabelle11[[#Headers],[Patrick_S]],Spielauswertung!$B585:$E585,0))+AH596)</f>
        <v>98.975330692053802</v>
      </c>
      <c r="AI597" s="1">
        <f>IF(IFERROR(MATCH(Tabelle11[[#Headers],[Rano_M]],Spielauswertung!$B585:$E585,0),0)=0,AI596,INDEX(Spielauswertung!$AB585:$AE585,MATCH(Tabelle11[[#Headers],[Rano_M]],Spielauswertung!$B585:$E585,0))+AI596)</f>
        <v>109.38890657420265</v>
      </c>
      <c r="AJ597" s="1">
        <f>IF(IFERROR(MATCH(Tabelle11[[#Headers],[Rene_N]],Spielauswertung!$B585:$E585,0),0)=0,AJ596,INDEX(Spielauswertung!$AB585:$AE585,MATCH(Tabelle11[[#Headers],[Rene_N]],Spielauswertung!$B585:$E585,0))+AJ596)</f>
        <v>101.06482124619033</v>
      </c>
      <c r="AK597" s="1">
        <f>IF(IFERROR(MATCH(Tabelle11[[#Headers],[Rene_P]],Spielauswertung!$B585:$E585,0),0)=0,AK596,INDEX(Spielauswertung!$AB585:$AE585,MATCH(Tabelle11[[#Headers],[Rene_P]],Spielauswertung!$B585:$E585,0))+AK596)</f>
        <v>88.762543186332877</v>
      </c>
      <c r="AL597" s="1">
        <f>IF(IFERROR(MATCH(Tabelle11[[#Headers],[Richard_D]],Spielauswertung!$B585:$E585,0),0)=0,AL596,INDEX(Spielauswertung!$AB585:$AE585,MATCH(Tabelle11[[#Headers],[Richard_D]],Spielauswertung!$B585:$E585,0))+AL596)</f>
        <v>107.23233592026223</v>
      </c>
      <c r="AM597" s="1">
        <f>IF(IFERROR(MATCH(Tabelle11[[#Headers],[Rodrigo_R]],Spielauswertung!$B585:$E585,0),0)=0,AM596,INDEX(Spielauswertung!$AB585:$AE585,MATCH(Tabelle11[[#Headers],[Rodrigo_R]],Spielauswertung!$B585:$E585,0))+AM596)</f>
        <v>116.7028707921346</v>
      </c>
      <c r="AN597" s="1">
        <f>IF(IFERROR(MATCH(Tabelle11[[#Headers],[Sebastian_A]],Spielauswertung!$B585:$E585,0),0)=0,AN596,INDEX(Spielauswertung!$AB585:$AE585,MATCH(Tabelle11[[#Headers],[Sebastian_A]],Spielauswertung!$B585:$E585,0))+AN596)</f>
        <v>102.89457418671324</v>
      </c>
      <c r="AO597" s="1">
        <f>IF(IFERROR(MATCH(Tabelle11[[#Headers],[Sebastian_St]],Spielauswertung!$B585:$E585,0),0)=0,AO596,INDEX(Spielauswertung!$AB585:$AE585,MATCH(Tabelle11[[#Headers],[Sebastian_St]],Spielauswertung!$B585:$E585,0))+AO596)</f>
        <v>97.749574367408982</v>
      </c>
      <c r="AP597" s="1">
        <f>IF(IFERROR(MATCH(Tabelle11[[#Headers],[Simon_U]],Spielauswertung!$B585:$E585,0),0)=0,AP596,INDEX(Spielauswertung!$AB585:$AE585,MATCH(Tabelle11[[#Headers],[Simon_U]],Spielauswertung!$B585:$E585,0))+AP596)</f>
        <v>99.623054841470903</v>
      </c>
      <c r="AQ597" s="1">
        <f>IF(IFERROR(MATCH(Tabelle11[[#Headers],[Steffen_R]],Spielauswertung!$B585:$E585,0),0)=0,AQ596,INDEX(Spielauswertung!$AB585:$AE585,MATCH(Tabelle11[[#Headers],[Steffen_R]],Spielauswertung!$B585:$E585,0))+AQ596)</f>
        <v>93.247497067190949</v>
      </c>
      <c r="AR597" s="1">
        <f>IF(IFERROR(MATCH(Tabelle11[[#Headers],[Tim_R]],Spielauswertung!$B585:$E585,0),0)=0,AR596,INDEX(Spielauswertung!$AB585:$AE585,MATCH(Tabelle11[[#Headers],[Tim_R]],Spielauswertung!$B585:$E585,0))+AR596)</f>
        <v>103.07503787023374</v>
      </c>
      <c r="AS597" s="1">
        <f>IF(IFERROR(MATCH(Tabelle11[[#Headers],[Tobias_S]],Spielauswertung!$B585:$E585,0),0)=0,AS596,INDEX(Spielauswertung!$AB585:$AE585,MATCH(Tabelle11[[#Headers],[Tobias_S]],Spielauswertung!$B585:$E585,0))+AS596)</f>
        <v>98.6003422659997</v>
      </c>
      <c r="AT597" s="1">
        <f>IF(IFERROR(MATCH(Tabelle11[[#Headers],[Tom_R]],Spielauswertung!$B585:$E585,0),0)=0,AT596,INDEX(Spielauswertung!$AB585:$AE585,MATCH(Tabelle11[[#Headers],[Tom_R]],Spielauswertung!$B585:$E585,0))+AT596)</f>
        <v>112.62344492949197</v>
      </c>
      <c r="AU597" s="1">
        <f>IF(IFERROR(MATCH(Tabelle11[[#Headers],[Ton_L]],Spielauswertung!$B585:$E585,0),0)=0,AU596,INDEX(Spielauswertung!$AB585:$AE585,MATCH(Tabelle11[[#Headers],[Ton_L]],Spielauswertung!$B585:$E585,0))+AU596)</f>
        <v>92.683083360025861</v>
      </c>
      <c r="AV597" s="1">
        <f>IF(IFERROR(MATCH(Tabelle11[[#Headers],[Yixin_G]],Spielauswertung!$B585:$E585,0),0)=0,AV596,INDEX(Spielauswertung!$AB585:$AE585,MATCH(Tabelle11[[#Headers],[Yixin_G]],Spielauswertung!$B585:$E585,0))+AV596)</f>
        <v>99.900323214082661</v>
      </c>
      <c r="AW597" s="1">
        <f>IF(IFERROR(MATCH(Tabelle11[[#Headers],[Spalte36]],Spielauswertung!$B585:$E585,0),0)=0,AW596,INDEX(Spielauswertung!$AB585:$AE585,MATCH(Tabelle11[[#Headers],[Spalte36]],Spielauswertung!$B585:$E585,0))+AW596)</f>
        <v>100</v>
      </c>
      <c r="AX597" s="1">
        <f>IF(IFERROR(MATCH(Tabelle11[[#Headers],[Spalte37]],Spielauswertung!$B585:$E585,0),0)=0,AX596,INDEX(Spielauswertung!$AB585:$AE585,MATCH(Tabelle11[[#Headers],[Spalte37]],Spielauswertung!$B585:$E585,0))+AX596)</f>
        <v>100</v>
      </c>
      <c r="AY597" s="1">
        <f>IF(IFERROR(MATCH(Tabelle11[[#Headers],[Spalte38]],Spielauswertung!$B585:$E585,0),0)=0,AY596,INDEX(Spielauswertung!$AB585:$AE585,MATCH(Tabelle11[[#Headers],[Spalte38]],Spielauswertung!$B585:$E585,0))+AY596)</f>
        <v>100</v>
      </c>
      <c r="AZ597" s="1">
        <f>IF(IFERROR(MATCH(Tabelle11[[#Headers],[Spalte39]],Spielauswertung!$B585:$E585,0),0)=0,AZ596,INDEX(Spielauswertung!$AB585:$AE585,MATCH(Tabelle11[[#Headers],[Spalte39]],Spielauswertung!$B585:$E585,0))+AZ596)</f>
        <v>100</v>
      </c>
      <c r="BA597" s="1">
        <f>IF(IFERROR(MATCH(Tabelle11[[#Headers],[Spalte40]],Spielauswertung!$B585:$E585,0),0)=0,BA596,INDEX(Spielauswertung!$AB585:$AE585,MATCH(Tabelle11[[#Headers],[Spalte40]],Spielauswertung!$B585:$E585,0))+BA596)</f>
        <v>100</v>
      </c>
      <c r="BB597" s="1">
        <f>IF(IFERROR(MATCH(Tabelle11[[#Headers],[Spalte41]],Spielauswertung!$B585:$E585,0),0)=0,BB596,INDEX(Spielauswertung!$AB585:$AE585,MATCH(Tabelle11[[#Headers],[Spalte41]],Spielauswertung!$B585:$E585,0))+BB596)</f>
        <v>100</v>
      </c>
      <c r="BC597" s="1">
        <f>IF(IFERROR(MATCH(Tabelle11[[#Headers],[Spalte42]],Spielauswertung!$B585:$E585,0),0)=0,BC596,INDEX(Spielauswertung!$AB585:$AE585,MATCH(Tabelle11[[#Headers],[Spalte42]],Spielauswertung!$B585:$E585,0))+BC596)</f>
        <v>100</v>
      </c>
      <c r="BD597" s="1">
        <f>IF(IFERROR(MATCH(Tabelle11[[#Headers],[Spalte43]],Spielauswertung!$B585:$E585,0),0)=0,BD596,INDEX(Spielauswertung!$AB585:$AE585,MATCH(Tabelle11[[#Headers],[Spalte43]],Spielauswertung!$B585:$E585,0))+BD596)</f>
        <v>100</v>
      </c>
      <c r="BE597" s="1">
        <f>IF(IFERROR(MATCH(Tabelle11[[#Headers],[Spalte44]],Spielauswertung!$B585:$E585,0),0)=0,BE596,INDEX(Spielauswertung!$AB585:$AE585,MATCH(Tabelle11[[#Headers],[Spalte44]],Spielauswertung!$B585:$E585,0))+BE596)</f>
        <v>100</v>
      </c>
      <c r="BF597" s="1">
        <f>IF(IFERROR(MATCH(Tabelle11[[#Headers],[Spalte45]],Spielauswertung!$B585:$E585,0),0)=0,BF596,INDEX(Spielauswertung!$AB585:$AE585,MATCH(Tabelle11[[#Headers],[Spalte45]],Spielauswertung!$B585:$E585,0))+BF596)</f>
        <v>100</v>
      </c>
      <c r="BG597" s="1">
        <f>IF(IFERROR(MATCH(Tabelle11[[#Headers],[Spalte46]],Spielauswertung!$B585:$E585,0),0)=0,BG596,INDEX(Spielauswertung!$AB585:$AE585,MATCH(Tabelle11[[#Headers],[Spalte46]],Spielauswertung!$B585:$E585,0))+BG596)</f>
        <v>100</v>
      </c>
      <c r="BH597" s="1">
        <f>IF(IFERROR(MATCH(Tabelle11[[#Headers],[Spalte47]],Spielauswertung!$B585:$E585,0),0)=0,BH596,INDEX(Spielauswertung!$AB585:$AE585,MATCH(Tabelle11[[#Headers],[Spalte47]],Spielauswertung!$B585:$E585,0))+BH596)</f>
        <v>100</v>
      </c>
    </row>
    <row r="598" spans="1:60" x14ac:dyDescent="0.25">
      <c r="A598">
        <f t="shared" si="10"/>
        <v>585</v>
      </c>
      <c r="B598" s="1">
        <f>IF(IFERROR(MATCH(Tabelle11[[#Headers],[Aleix_V]],Spielauswertung!$B586:$E586,0),0)=0,B597,INDEX(Spielauswertung!$AB586:$AE586,MATCH(Tabelle11[[#Headers],[Aleix_V]],Spielauswertung!$B586:$E586,0))+B597)</f>
        <v>102.47318019444646</v>
      </c>
      <c r="C598" s="1">
        <f>IF(IFERROR(MATCH(Tabelle11[[#Headers],[Andres_H]],Spielauswertung!$B586:$E586,0),0)=0,C597,INDEX(Spielauswertung!$AB586:$AE586,MATCH(Tabelle11[[#Headers],[Andres_H]],Spielauswertung!$B586:$E586,0))+C597)</f>
        <v>95.535732339111306</v>
      </c>
      <c r="D598" s="1">
        <f>IF(IFERROR(MATCH(Tabelle11[[#Headers],[Anton_K]],Spielauswertung!$B586:$E586,0),0)=0,D597,INDEX(Spielauswertung!$AB586:$AE586,MATCH(Tabelle11[[#Headers],[Anton_K]],Spielauswertung!$B586:$E586,0))+D597)</f>
        <v>99.287728777054667</v>
      </c>
      <c r="E598" s="1">
        <f>IF(IFERROR(MATCH(Tabelle11[[#Headers],[Bastian_G]],Spielauswertung!$B586:$E586,0),0)=0,E597,INDEX(Spielauswertung!$AB586:$AE586,MATCH(Tabelle11[[#Headers],[Bastian_G]],Spielauswertung!$B586:$E586,0))+E597)</f>
        <v>117.49978695184252</v>
      </c>
      <c r="F598" s="1">
        <f>IF(IFERROR(MATCH(Tabelle11[[#Headers],[Ben_S]],Spielauswertung!$B586:$E586,0),0)=0,F597,INDEX(Spielauswertung!$AB586:$AE586,MATCH(Tabelle11[[#Headers],[Ben_S]],Spielauswertung!$B586:$E586,0))+F597)</f>
        <v>95.932799101521084</v>
      </c>
      <c r="G598" s="1">
        <f>IF(IFERROR(MATCH(Tabelle11[[#Headers],[Benedikt_K]],Spielauswertung!$B586:$E586,0),0)=0,G597,INDEX(Spielauswertung!$AB586:$AE586,MATCH(Tabelle11[[#Headers],[Benedikt_K]],Spielauswertung!$B586:$E586,0))+G597)</f>
        <v>101.20264176422626</v>
      </c>
      <c r="H598" s="1">
        <f>IF(IFERROR(MATCH(Tabelle11[[#Headers],[Benedikt_R]],Spielauswertung!$B586:$E586,0),0)=0,H597,INDEX(Spielauswertung!$AB586:$AE586,MATCH(Tabelle11[[#Headers],[Benedikt_R]],Spielauswertung!$B586:$E586,0))+H597)</f>
        <v>102.6264770510757</v>
      </c>
      <c r="I598" s="1">
        <f>IF(IFERROR(MATCH(Tabelle11[[#Headers],[Carsten_H]],Spielauswertung!$B586:$E586,0),0)=0,I597,INDEX(Spielauswertung!$AB586:$AE586,MATCH(Tabelle11[[#Headers],[Carsten_H]],Spielauswertung!$B586:$E586,0))+I597)</f>
        <v>90.817185094326874</v>
      </c>
      <c r="J598" s="1">
        <f>IF(IFERROR(MATCH(Tabelle11[[#Headers],[Christoph_R]],Spielauswertung!$B586:$E586,0),0)=0,J597,INDEX(Spielauswertung!$AB586:$AE586,MATCH(Tabelle11[[#Headers],[Christoph_R]],Spielauswertung!$B586:$E586,0))+J597)</f>
        <v>109.73261611443155</v>
      </c>
      <c r="K598" s="1">
        <f>IF(IFERROR(MATCH(Tabelle11[[#Headers],[Claudius_J]],Spielauswertung!$B586:$E586,0),0)=0,K597,INDEX(Spielauswertung!$AB586:$AE586,MATCH(Tabelle11[[#Headers],[Claudius_J]],Spielauswertung!$B586:$E586,0))+K597)</f>
        <v>106.16590636000029</v>
      </c>
      <c r="L598" s="1">
        <f>IF(IFERROR(MATCH(Tabelle11[[#Headers],[Daniel_D]],Spielauswertung!$B586:$E586,0),0)=0,L597,INDEX(Spielauswertung!$AB586:$AE586,MATCH(Tabelle11[[#Headers],[Daniel_D]],Spielauswertung!$B586:$E586,0))+L597)</f>
        <v>99.990299180470089</v>
      </c>
      <c r="M598" s="1">
        <f>IF(IFERROR(MATCH(Tabelle11[[#Headers],[David_R]],Spielauswertung!$B586:$E586,0),0)=0,M597,INDEX(Spielauswertung!$AB586:$AE586,MATCH(Tabelle11[[#Headers],[David_R]],Spielauswertung!$B586:$E586,0))+M597)</f>
        <v>96.715943522481638</v>
      </c>
      <c r="N598" s="1">
        <f>IF(IFERROR(MATCH(Tabelle11[[#Headers],[Dennis_P]],Spielauswertung!$B586:$E586,0),0)=0,N597,INDEX(Spielauswertung!$AB586:$AE586,MATCH(Tabelle11[[#Headers],[Dennis_P]],Spielauswertung!$B586:$E586,0))+N597)</f>
        <v>100.04773223105254</v>
      </c>
      <c r="O598" s="1">
        <f>IF(IFERROR(MATCH(Tabelle11[[#Headers],[Dennis_R]],Spielauswertung!$B586:$E586,0),0)=0,O597,INDEX(Spielauswertung!$AB586:$AE586,MATCH(Tabelle11[[#Headers],[Dennis_R]],Spielauswertung!$B586:$E586,0))+O597)</f>
        <v>75.131680864937195</v>
      </c>
      <c r="P598" s="1">
        <f>IF(IFERROR(MATCH(Tabelle11[[#Headers],[Detlef_R]],Spielauswertung!$B586:$E586,0),0)=0,P597,INDEX(Spielauswertung!$AB586:$AE586,MATCH(Tabelle11[[#Headers],[Detlef_R]],Spielauswertung!$B586:$E586,0))+P597)</f>
        <v>87.984671797367014</v>
      </c>
      <c r="Q598" s="1">
        <f>IF(IFERROR(MATCH(Tabelle11[[#Headers],[Dmitrij_M]],Spielauswertung!$B586:$E586,0),0)=0,Q597,INDEX(Spielauswertung!$AB586:$AE586,MATCH(Tabelle11[[#Headers],[Dmitrij_M]],Spielauswertung!$B586:$E586,0))+Q597)</f>
        <v>100.69975721846207</v>
      </c>
      <c r="R598" s="1">
        <f>IF(IFERROR(MATCH(Tabelle11[[#Headers],[Fabian_M]],Spielauswertung!$B586:$E586,0),0)=0,R597,INDEX(Spielauswertung!$AB586:$AE586,MATCH(Tabelle11[[#Headers],[Fabian_M]],Spielauswertung!$B586:$E586,0))+R597)</f>
        <v>95.805387841610738</v>
      </c>
      <c r="S598" s="1">
        <f>IF(IFERROR(MATCH(Tabelle11[[#Headers],[Hannes_S]],Spielauswertung!$B586:$E586,0),0)=0,S597,INDEX(Spielauswertung!$AB586:$AE586,MATCH(Tabelle11[[#Headers],[Hannes_S]],Spielauswertung!$B586:$E586,0))+S597)</f>
        <v>104.83899184012799</v>
      </c>
      <c r="T598" s="1">
        <f>IF(IFERROR(MATCH(Tabelle11[[#Headers],[Jan_B]],Spielauswertung!$B586:$E586,0),0)=0,T597,INDEX(Spielauswertung!$AB586:$AE586,MATCH(Tabelle11[[#Headers],[Jan_B]],Spielauswertung!$B586:$E586,0))+T597)</f>
        <v>100.2794420429173</v>
      </c>
      <c r="U598" s="1">
        <f>IF(IFERROR(MATCH(Tabelle11[[#Headers],[Jan_Hendrik_B]],Spielauswertung!$B586:$E586,0),0)=0,U597,INDEX(Spielauswertung!$AB586:$AE586,MATCH(Tabelle11[[#Headers],[Jan_Hendrik_B]],Spielauswertung!$B586:$E586,0))+U597)</f>
        <v>100.75492416935522</v>
      </c>
      <c r="V598" s="1">
        <f>IF(IFERROR(MATCH(Tabelle11[[#Headers],[Jens_N]],Spielauswertung!$B586:$E586,0),0)=0,V597,INDEX(Spielauswertung!$AB586:$AE586,MATCH(Tabelle11[[#Headers],[Jens_N]],Spielauswertung!$B586:$E586,0))+V597)</f>
        <v>99.643534710196832</v>
      </c>
      <c r="W598" s="1">
        <f>IF(IFERROR(MATCH(Tabelle11[[#Headers],[Johannes_S]],Spielauswertung!$B586:$E586,0),0)=0,W597,INDEX(Spielauswertung!$AB586:$AE586,MATCH(Tabelle11[[#Headers],[Johannes_S]],Spielauswertung!$B586:$E586,0))+W597)</f>
        <v>102.20284750979505</v>
      </c>
      <c r="X598" s="1">
        <f>IF(IFERROR(MATCH(Tabelle11[[#Headers],[Jonathan_F]],Spielauswertung!$B586:$E586,0),0)=0,X597,INDEX(Spielauswertung!$AB586:$AE586,MATCH(Tabelle11[[#Headers],[Jonathan_F]],Spielauswertung!$B586:$E586,0))+X597)</f>
        <v>98.938308797866256</v>
      </c>
      <c r="Y598" s="1">
        <f>IF(IFERROR(MATCH(Tabelle11[[#Headers],[Julius_P]],Spielauswertung!$B586:$E586,0),0)=0,Y597,INDEX(Spielauswertung!$AB586:$AE586,MATCH(Tabelle11[[#Headers],[Julius_P]],Spielauswertung!$B586:$E586,0))+Y597)</f>
        <v>96.540305101873642</v>
      </c>
      <c r="Z598" s="1">
        <f>IF(IFERROR(MATCH(Tabelle11[[#Headers],[Louis_W]],Spielauswertung!$B586:$E586,0),0)=0,Z597,INDEX(Spielauswertung!$AB586:$AE586,MATCH(Tabelle11[[#Headers],[Louis_W]],Spielauswertung!$B586:$E586,0))+Z597)</f>
        <v>87.497452285475362</v>
      </c>
      <c r="AA598" s="1">
        <f>IF(IFERROR(MATCH(Tabelle11[[#Headers],[Lukas_L]],Spielauswertung!$B586:$E586,0),0)=0,AA597,INDEX(Spielauswertung!$AB586:$AE586,MATCH(Tabelle11[[#Headers],[Lukas_L]],Spielauswertung!$B586:$E586,0))+AA597)</f>
        <v>98.447931341404143</v>
      </c>
      <c r="AB598" s="1">
        <f>IF(IFERROR(MATCH(Tabelle11[[#Headers],[Marcin_S]],Spielauswertung!$B586:$E586,0),0)=0,AB597,INDEX(Spielauswertung!$AB586:$AE586,MATCH(Tabelle11[[#Headers],[Marcin_S]],Spielauswertung!$B586:$E586,0))+AB597)</f>
        <v>85.463329105556824</v>
      </c>
      <c r="AC598" s="1">
        <f>IF(IFERROR(MATCH(Tabelle11[[#Headers],[Marco_K]],Spielauswertung!$B586:$E586,0),0)=0,AC597,INDEX(Spielauswertung!$AB586:$AE586,MATCH(Tabelle11[[#Headers],[Marco_K]],Spielauswertung!$B586:$E586,0))+AC597)</f>
        <v>102.12169819441469</v>
      </c>
      <c r="AD598" s="1">
        <f>IF(IFERROR(MATCH(Tabelle11[[#Headers],[Marius_M]],Spielauswertung!$B586:$E586,0),0)=0,AD597,INDEX(Spielauswertung!$AB586:$AE586,MATCH(Tabelle11[[#Headers],[Marius_M]],Spielauswertung!$B586:$E586,0))+AD597)</f>
        <v>124.54012374585781</v>
      </c>
      <c r="AE598" s="1">
        <f>IF(IFERROR(MATCH(Tabelle11[[#Headers],[Marvin_W]],Spielauswertung!$B586:$E586,0),0)=0,AE597,INDEX(Spielauswertung!$AB586:$AE586,MATCH(Tabelle11[[#Headers],[Marvin_W]],Spielauswertung!$B586:$E586,0))+AE597)</f>
        <v>96.700266280577438</v>
      </c>
      <c r="AF598" s="1">
        <f>IF(IFERROR(MATCH(Tabelle11[[#Headers],[Matthias_H]],Spielauswertung!$B586:$E586,0),0)=0,AF597,INDEX(Spielauswertung!$AB586:$AE586,MATCH(Tabelle11[[#Headers],[Matthias_H]],Spielauswertung!$B586:$E586,0))+AF597)</f>
        <v>105.42130178599372</v>
      </c>
      <c r="AG598" s="1">
        <f>IF(IFERROR(MATCH(Tabelle11[[#Headers],[Michael_D]],Spielauswertung!$B586:$E586,0),0)=0,AG597,INDEX(Spielauswertung!$AB586:$AE586,MATCH(Tabelle11[[#Headers],[Michael_D]],Spielauswertung!$B586:$E586,0))+AG597)</f>
        <v>96.436276170375336</v>
      </c>
      <c r="AH598" s="1">
        <f>IF(IFERROR(MATCH(Tabelle11[[#Headers],[Patrick_S]],Spielauswertung!$B586:$E586,0),0)=0,AH597,INDEX(Spielauswertung!$AB586:$AE586,MATCH(Tabelle11[[#Headers],[Patrick_S]],Spielauswertung!$B586:$E586,0))+AH597)</f>
        <v>98.975330692053802</v>
      </c>
      <c r="AI598" s="1">
        <f>IF(IFERROR(MATCH(Tabelle11[[#Headers],[Rano_M]],Spielauswertung!$B586:$E586,0),0)=0,AI597,INDEX(Spielauswertung!$AB586:$AE586,MATCH(Tabelle11[[#Headers],[Rano_M]],Spielauswertung!$B586:$E586,0))+AI597)</f>
        <v>109.38890657420265</v>
      </c>
      <c r="AJ598" s="1">
        <f>IF(IFERROR(MATCH(Tabelle11[[#Headers],[Rene_N]],Spielauswertung!$B586:$E586,0),0)=0,AJ597,INDEX(Spielauswertung!$AB586:$AE586,MATCH(Tabelle11[[#Headers],[Rene_N]],Spielauswertung!$B586:$E586,0))+AJ597)</f>
        <v>101.06482124619033</v>
      </c>
      <c r="AK598" s="1">
        <f>IF(IFERROR(MATCH(Tabelle11[[#Headers],[Rene_P]],Spielauswertung!$B586:$E586,0),0)=0,AK597,INDEX(Spielauswertung!$AB586:$AE586,MATCH(Tabelle11[[#Headers],[Rene_P]],Spielauswertung!$B586:$E586,0))+AK597)</f>
        <v>88.762543186332877</v>
      </c>
      <c r="AL598" s="1">
        <f>IF(IFERROR(MATCH(Tabelle11[[#Headers],[Richard_D]],Spielauswertung!$B586:$E586,0),0)=0,AL597,INDEX(Spielauswertung!$AB586:$AE586,MATCH(Tabelle11[[#Headers],[Richard_D]],Spielauswertung!$B586:$E586,0))+AL597)</f>
        <v>107.23233592026223</v>
      </c>
      <c r="AM598" s="1">
        <f>IF(IFERROR(MATCH(Tabelle11[[#Headers],[Rodrigo_R]],Spielauswertung!$B586:$E586,0),0)=0,AM597,INDEX(Spielauswertung!$AB586:$AE586,MATCH(Tabelle11[[#Headers],[Rodrigo_R]],Spielauswertung!$B586:$E586,0))+AM597)</f>
        <v>116.7028707921346</v>
      </c>
      <c r="AN598" s="1">
        <f>IF(IFERROR(MATCH(Tabelle11[[#Headers],[Sebastian_A]],Spielauswertung!$B586:$E586,0),0)=0,AN597,INDEX(Spielauswertung!$AB586:$AE586,MATCH(Tabelle11[[#Headers],[Sebastian_A]],Spielauswertung!$B586:$E586,0))+AN597)</f>
        <v>102.89457418671324</v>
      </c>
      <c r="AO598" s="1">
        <f>IF(IFERROR(MATCH(Tabelle11[[#Headers],[Sebastian_St]],Spielauswertung!$B586:$E586,0),0)=0,AO597,INDEX(Spielauswertung!$AB586:$AE586,MATCH(Tabelle11[[#Headers],[Sebastian_St]],Spielauswertung!$B586:$E586,0))+AO597)</f>
        <v>97.749574367408982</v>
      </c>
      <c r="AP598" s="1">
        <f>IF(IFERROR(MATCH(Tabelle11[[#Headers],[Simon_U]],Spielauswertung!$B586:$E586,0),0)=0,AP597,INDEX(Spielauswertung!$AB586:$AE586,MATCH(Tabelle11[[#Headers],[Simon_U]],Spielauswertung!$B586:$E586,0))+AP597)</f>
        <v>99.623054841470903</v>
      </c>
      <c r="AQ598" s="1">
        <f>IF(IFERROR(MATCH(Tabelle11[[#Headers],[Steffen_R]],Spielauswertung!$B586:$E586,0),0)=0,AQ597,INDEX(Spielauswertung!$AB586:$AE586,MATCH(Tabelle11[[#Headers],[Steffen_R]],Spielauswertung!$B586:$E586,0))+AQ597)</f>
        <v>93.247497067190949</v>
      </c>
      <c r="AR598" s="1">
        <f>IF(IFERROR(MATCH(Tabelle11[[#Headers],[Tim_R]],Spielauswertung!$B586:$E586,0),0)=0,AR597,INDEX(Spielauswertung!$AB586:$AE586,MATCH(Tabelle11[[#Headers],[Tim_R]],Spielauswertung!$B586:$E586,0))+AR597)</f>
        <v>103.07503787023374</v>
      </c>
      <c r="AS598" s="1">
        <f>IF(IFERROR(MATCH(Tabelle11[[#Headers],[Tobias_S]],Spielauswertung!$B586:$E586,0),0)=0,AS597,INDEX(Spielauswertung!$AB586:$AE586,MATCH(Tabelle11[[#Headers],[Tobias_S]],Spielauswertung!$B586:$E586,0))+AS597)</f>
        <v>98.6003422659997</v>
      </c>
      <c r="AT598" s="1">
        <f>IF(IFERROR(MATCH(Tabelle11[[#Headers],[Tom_R]],Spielauswertung!$B586:$E586,0),0)=0,AT597,INDEX(Spielauswertung!$AB586:$AE586,MATCH(Tabelle11[[#Headers],[Tom_R]],Spielauswertung!$B586:$E586,0))+AT597)</f>
        <v>112.62344492949197</v>
      </c>
      <c r="AU598" s="1">
        <f>IF(IFERROR(MATCH(Tabelle11[[#Headers],[Ton_L]],Spielauswertung!$B586:$E586,0),0)=0,AU597,INDEX(Spielauswertung!$AB586:$AE586,MATCH(Tabelle11[[#Headers],[Ton_L]],Spielauswertung!$B586:$E586,0))+AU597)</f>
        <v>92.683083360025861</v>
      </c>
      <c r="AV598" s="1">
        <f>IF(IFERROR(MATCH(Tabelle11[[#Headers],[Yixin_G]],Spielauswertung!$B586:$E586,0),0)=0,AV597,INDEX(Spielauswertung!$AB586:$AE586,MATCH(Tabelle11[[#Headers],[Yixin_G]],Spielauswertung!$B586:$E586,0))+AV597)</f>
        <v>99.900323214082661</v>
      </c>
      <c r="AW598" s="1">
        <f>IF(IFERROR(MATCH(Tabelle11[[#Headers],[Spalte36]],Spielauswertung!$B586:$E586,0),0)=0,AW597,INDEX(Spielauswertung!$AB586:$AE586,MATCH(Tabelle11[[#Headers],[Spalte36]],Spielauswertung!$B586:$E586,0))+AW597)</f>
        <v>100</v>
      </c>
      <c r="AX598" s="1">
        <f>IF(IFERROR(MATCH(Tabelle11[[#Headers],[Spalte37]],Spielauswertung!$B586:$E586,0),0)=0,AX597,INDEX(Spielauswertung!$AB586:$AE586,MATCH(Tabelle11[[#Headers],[Spalte37]],Spielauswertung!$B586:$E586,0))+AX597)</f>
        <v>100</v>
      </c>
      <c r="AY598" s="1">
        <f>IF(IFERROR(MATCH(Tabelle11[[#Headers],[Spalte38]],Spielauswertung!$B586:$E586,0),0)=0,AY597,INDEX(Spielauswertung!$AB586:$AE586,MATCH(Tabelle11[[#Headers],[Spalte38]],Spielauswertung!$B586:$E586,0))+AY597)</f>
        <v>100</v>
      </c>
      <c r="AZ598" s="1">
        <f>IF(IFERROR(MATCH(Tabelle11[[#Headers],[Spalte39]],Spielauswertung!$B586:$E586,0),0)=0,AZ597,INDEX(Spielauswertung!$AB586:$AE586,MATCH(Tabelle11[[#Headers],[Spalte39]],Spielauswertung!$B586:$E586,0))+AZ597)</f>
        <v>100</v>
      </c>
      <c r="BA598" s="1">
        <f>IF(IFERROR(MATCH(Tabelle11[[#Headers],[Spalte40]],Spielauswertung!$B586:$E586,0),0)=0,BA597,INDEX(Spielauswertung!$AB586:$AE586,MATCH(Tabelle11[[#Headers],[Spalte40]],Spielauswertung!$B586:$E586,0))+BA597)</f>
        <v>100</v>
      </c>
      <c r="BB598" s="1">
        <f>IF(IFERROR(MATCH(Tabelle11[[#Headers],[Spalte41]],Spielauswertung!$B586:$E586,0),0)=0,BB597,INDEX(Spielauswertung!$AB586:$AE586,MATCH(Tabelle11[[#Headers],[Spalte41]],Spielauswertung!$B586:$E586,0))+BB597)</f>
        <v>100</v>
      </c>
      <c r="BC598" s="1">
        <f>IF(IFERROR(MATCH(Tabelle11[[#Headers],[Spalte42]],Spielauswertung!$B586:$E586,0),0)=0,BC597,INDEX(Spielauswertung!$AB586:$AE586,MATCH(Tabelle11[[#Headers],[Spalte42]],Spielauswertung!$B586:$E586,0))+BC597)</f>
        <v>100</v>
      </c>
      <c r="BD598" s="1">
        <f>IF(IFERROR(MATCH(Tabelle11[[#Headers],[Spalte43]],Spielauswertung!$B586:$E586,0),0)=0,BD597,INDEX(Spielauswertung!$AB586:$AE586,MATCH(Tabelle11[[#Headers],[Spalte43]],Spielauswertung!$B586:$E586,0))+BD597)</f>
        <v>100</v>
      </c>
      <c r="BE598" s="1">
        <f>IF(IFERROR(MATCH(Tabelle11[[#Headers],[Spalte44]],Spielauswertung!$B586:$E586,0),0)=0,BE597,INDEX(Spielauswertung!$AB586:$AE586,MATCH(Tabelle11[[#Headers],[Spalte44]],Spielauswertung!$B586:$E586,0))+BE597)</f>
        <v>100</v>
      </c>
      <c r="BF598" s="1">
        <f>IF(IFERROR(MATCH(Tabelle11[[#Headers],[Spalte45]],Spielauswertung!$B586:$E586,0),0)=0,BF597,INDEX(Spielauswertung!$AB586:$AE586,MATCH(Tabelle11[[#Headers],[Spalte45]],Spielauswertung!$B586:$E586,0))+BF597)</f>
        <v>100</v>
      </c>
      <c r="BG598" s="1">
        <f>IF(IFERROR(MATCH(Tabelle11[[#Headers],[Spalte46]],Spielauswertung!$B586:$E586,0),0)=0,BG597,INDEX(Spielauswertung!$AB586:$AE586,MATCH(Tabelle11[[#Headers],[Spalte46]],Spielauswertung!$B586:$E586,0))+BG597)</f>
        <v>100</v>
      </c>
      <c r="BH598" s="1">
        <f>IF(IFERROR(MATCH(Tabelle11[[#Headers],[Spalte47]],Spielauswertung!$B586:$E586,0),0)=0,BH597,INDEX(Spielauswertung!$AB586:$AE586,MATCH(Tabelle11[[#Headers],[Spalte47]],Spielauswertung!$B586:$E586,0))+BH597)</f>
        <v>100</v>
      </c>
    </row>
    <row r="599" spans="1:60" x14ac:dyDescent="0.25">
      <c r="A599">
        <f t="shared" si="10"/>
        <v>586</v>
      </c>
      <c r="B599" s="1">
        <f>IF(IFERROR(MATCH(Tabelle11[[#Headers],[Aleix_V]],Spielauswertung!$B587:$E587,0),0)=0,B598,INDEX(Spielauswertung!$AB587:$AE587,MATCH(Tabelle11[[#Headers],[Aleix_V]],Spielauswertung!$B587:$E587,0))+B598)</f>
        <v>102.47318019444646</v>
      </c>
      <c r="C599" s="1">
        <f>IF(IFERROR(MATCH(Tabelle11[[#Headers],[Andres_H]],Spielauswertung!$B587:$E587,0),0)=0,C598,INDEX(Spielauswertung!$AB587:$AE587,MATCH(Tabelle11[[#Headers],[Andres_H]],Spielauswertung!$B587:$E587,0))+C598)</f>
        <v>95.535732339111306</v>
      </c>
      <c r="D599" s="1">
        <f>IF(IFERROR(MATCH(Tabelle11[[#Headers],[Anton_K]],Spielauswertung!$B587:$E587,0),0)=0,D598,INDEX(Spielauswertung!$AB587:$AE587,MATCH(Tabelle11[[#Headers],[Anton_K]],Spielauswertung!$B587:$E587,0))+D598)</f>
        <v>99.287728777054667</v>
      </c>
      <c r="E599" s="1">
        <f>IF(IFERROR(MATCH(Tabelle11[[#Headers],[Bastian_G]],Spielauswertung!$B587:$E587,0),0)=0,E598,INDEX(Spielauswertung!$AB587:$AE587,MATCH(Tabelle11[[#Headers],[Bastian_G]],Spielauswertung!$B587:$E587,0))+E598)</f>
        <v>117.49978695184252</v>
      </c>
      <c r="F599" s="1">
        <f>IF(IFERROR(MATCH(Tabelle11[[#Headers],[Ben_S]],Spielauswertung!$B587:$E587,0),0)=0,F598,INDEX(Spielauswertung!$AB587:$AE587,MATCH(Tabelle11[[#Headers],[Ben_S]],Spielauswertung!$B587:$E587,0))+F598)</f>
        <v>95.932799101521084</v>
      </c>
      <c r="G599" s="1">
        <f>IF(IFERROR(MATCH(Tabelle11[[#Headers],[Benedikt_K]],Spielauswertung!$B587:$E587,0),0)=0,G598,INDEX(Spielauswertung!$AB587:$AE587,MATCH(Tabelle11[[#Headers],[Benedikt_K]],Spielauswertung!$B587:$E587,0))+G598)</f>
        <v>101.20264176422626</v>
      </c>
      <c r="H599" s="1">
        <f>IF(IFERROR(MATCH(Tabelle11[[#Headers],[Benedikt_R]],Spielauswertung!$B587:$E587,0),0)=0,H598,INDEX(Spielauswertung!$AB587:$AE587,MATCH(Tabelle11[[#Headers],[Benedikt_R]],Spielauswertung!$B587:$E587,0))+H598)</f>
        <v>102.6264770510757</v>
      </c>
      <c r="I599" s="1">
        <f>IF(IFERROR(MATCH(Tabelle11[[#Headers],[Carsten_H]],Spielauswertung!$B587:$E587,0),0)=0,I598,INDEX(Spielauswertung!$AB587:$AE587,MATCH(Tabelle11[[#Headers],[Carsten_H]],Spielauswertung!$B587:$E587,0))+I598)</f>
        <v>90.817185094326874</v>
      </c>
      <c r="J599" s="1">
        <f>IF(IFERROR(MATCH(Tabelle11[[#Headers],[Christoph_R]],Spielauswertung!$B587:$E587,0),0)=0,J598,INDEX(Spielauswertung!$AB587:$AE587,MATCH(Tabelle11[[#Headers],[Christoph_R]],Spielauswertung!$B587:$E587,0))+J598)</f>
        <v>109.73261611443155</v>
      </c>
      <c r="K599" s="1">
        <f>IF(IFERROR(MATCH(Tabelle11[[#Headers],[Claudius_J]],Spielauswertung!$B587:$E587,0),0)=0,K598,INDEX(Spielauswertung!$AB587:$AE587,MATCH(Tabelle11[[#Headers],[Claudius_J]],Spielauswertung!$B587:$E587,0))+K598)</f>
        <v>106.16590636000029</v>
      </c>
      <c r="L599" s="1">
        <f>IF(IFERROR(MATCH(Tabelle11[[#Headers],[Daniel_D]],Spielauswertung!$B587:$E587,0),0)=0,L598,INDEX(Spielauswertung!$AB587:$AE587,MATCH(Tabelle11[[#Headers],[Daniel_D]],Spielauswertung!$B587:$E587,0))+L598)</f>
        <v>99.990299180470089</v>
      </c>
      <c r="M599" s="1">
        <f>IF(IFERROR(MATCH(Tabelle11[[#Headers],[David_R]],Spielauswertung!$B587:$E587,0),0)=0,M598,INDEX(Spielauswertung!$AB587:$AE587,MATCH(Tabelle11[[#Headers],[David_R]],Spielauswertung!$B587:$E587,0))+M598)</f>
        <v>96.715943522481638</v>
      </c>
      <c r="N599" s="1">
        <f>IF(IFERROR(MATCH(Tabelle11[[#Headers],[Dennis_P]],Spielauswertung!$B587:$E587,0),0)=0,N598,INDEX(Spielauswertung!$AB587:$AE587,MATCH(Tabelle11[[#Headers],[Dennis_P]],Spielauswertung!$B587:$E587,0))+N598)</f>
        <v>100.04773223105254</v>
      </c>
      <c r="O599" s="1">
        <f>IF(IFERROR(MATCH(Tabelle11[[#Headers],[Dennis_R]],Spielauswertung!$B587:$E587,0),0)=0,O598,INDEX(Spielauswertung!$AB587:$AE587,MATCH(Tabelle11[[#Headers],[Dennis_R]],Spielauswertung!$B587:$E587,0))+O598)</f>
        <v>75.131680864937195</v>
      </c>
      <c r="P599" s="1">
        <f>IF(IFERROR(MATCH(Tabelle11[[#Headers],[Detlef_R]],Spielauswertung!$B587:$E587,0),0)=0,P598,INDEX(Spielauswertung!$AB587:$AE587,MATCH(Tabelle11[[#Headers],[Detlef_R]],Spielauswertung!$B587:$E587,0))+P598)</f>
        <v>87.984671797367014</v>
      </c>
      <c r="Q599" s="1">
        <f>IF(IFERROR(MATCH(Tabelle11[[#Headers],[Dmitrij_M]],Spielauswertung!$B587:$E587,0),0)=0,Q598,INDEX(Spielauswertung!$AB587:$AE587,MATCH(Tabelle11[[#Headers],[Dmitrij_M]],Spielauswertung!$B587:$E587,0))+Q598)</f>
        <v>100.69975721846207</v>
      </c>
      <c r="R599" s="1">
        <f>IF(IFERROR(MATCH(Tabelle11[[#Headers],[Fabian_M]],Spielauswertung!$B587:$E587,0),0)=0,R598,INDEX(Spielauswertung!$AB587:$AE587,MATCH(Tabelle11[[#Headers],[Fabian_M]],Spielauswertung!$B587:$E587,0))+R598)</f>
        <v>95.805387841610738</v>
      </c>
      <c r="S599" s="1">
        <f>IF(IFERROR(MATCH(Tabelle11[[#Headers],[Hannes_S]],Spielauswertung!$B587:$E587,0),0)=0,S598,INDEX(Spielauswertung!$AB587:$AE587,MATCH(Tabelle11[[#Headers],[Hannes_S]],Spielauswertung!$B587:$E587,0))+S598)</f>
        <v>104.83899184012799</v>
      </c>
      <c r="T599" s="1">
        <f>IF(IFERROR(MATCH(Tabelle11[[#Headers],[Jan_B]],Spielauswertung!$B587:$E587,0),0)=0,T598,INDEX(Spielauswertung!$AB587:$AE587,MATCH(Tabelle11[[#Headers],[Jan_B]],Spielauswertung!$B587:$E587,0))+T598)</f>
        <v>100.2794420429173</v>
      </c>
      <c r="U599" s="1">
        <f>IF(IFERROR(MATCH(Tabelle11[[#Headers],[Jan_Hendrik_B]],Spielauswertung!$B587:$E587,0),0)=0,U598,INDEX(Spielauswertung!$AB587:$AE587,MATCH(Tabelle11[[#Headers],[Jan_Hendrik_B]],Spielauswertung!$B587:$E587,0))+U598)</f>
        <v>100.75492416935522</v>
      </c>
      <c r="V599" s="1">
        <f>IF(IFERROR(MATCH(Tabelle11[[#Headers],[Jens_N]],Spielauswertung!$B587:$E587,0),0)=0,V598,INDEX(Spielauswertung!$AB587:$AE587,MATCH(Tabelle11[[#Headers],[Jens_N]],Spielauswertung!$B587:$E587,0))+V598)</f>
        <v>99.643534710196832</v>
      </c>
      <c r="W599" s="1">
        <f>IF(IFERROR(MATCH(Tabelle11[[#Headers],[Johannes_S]],Spielauswertung!$B587:$E587,0),0)=0,W598,INDEX(Spielauswertung!$AB587:$AE587,MATCH(Tabelle11[[#Headers],[Johannes_S]],Spielauswertung!$B587:$E587,0))+W598)</f>
        <v>102.20284750979505</v>
      </c>
      <c r="X599" s="1">
        <f>IF(IFERROR(MATCH(Tabelle11[[#Headers],[Jonathan_F]],Spielauswertung!$B587:$E587,0),0)=0,X598,INDEX(Spielauswertung!$AB587:$AE587,MATCH(Tabelle11[[#Headers],[Jonathan_F]],Spielauswertung!$B587:$E587,0))+X598)</f>
        <v>98.938308797866256</v>
      </c>
      <c r="Y599" s="1">
        <f>IF(IFERROR(MATCH(Tabelle11[[#Headers],[Julius_P]],Spielauswertung!$B587:$E587,0),0)=0,Y598,INDEX(Spielauswertung!$AB587:$AE587,MATCH(Tabelle11[[#Headers],[Julius_P]],Spielauswertung!$B587:$E587,0))+Y598)</f>
        <v>96.540305101873642</v>
      </c>
      <c r="Z599" s="1">
        <f>IF(IFERROR(MATCH(Tabelle11[[#Headers],[Louis_W]],Spielauswertung!$B587:$E587,0),0)=0,Z598,INDEX(Spielauswertung!$AB587:$AE587,MATCH(Tabelle11[[#Headers],[Louis_W]],Spielauswertung!$B587:$E587,0))+Z598)</f>
        <v>87.497452285475362</v>
      </c>
      <c r="AA599" s="1">
        <f>IF(IFERROR(MATCH(Tabelle11[[#Headers],[Lukas_L]],Spielauswertung!$B587:$E587,0),0)=0,AA598,INDEX(Spielauswertung!$AB587:$AE587,MATCH(Tabelle11[[#Headers],[Lukas_L]],Spielauswertung!$B587:$E587,0))+AA598)</f>
        <v>98.447931341404143</v>
      </c>
      <c r="AB599" s="1">
        <f>IF(IFERROR(MATCH(Tabelle11[[#Headers],[Marcin_S]],Spielauswertung!$B587:$E587,0),0)=0,AB598,INDEX(Spielauswertung!$AB587:$AE587,MATCH(Tabelle11[[#Headers],[Marcin_S]],Spielauswertung!$B587:$E587,0))+AB598)</f>
        <v>85.463329105556824</v>
      </c>
      <c r="AC599" s="1">
        <f>IF(IFERROR(MATCH(Tabelle11[[#Headers],[Marco_K]],Spielauswertung!$B587:$E587,0),0)=0,AC598,INDEX(Spielauswertung!$AB587:$AE587,MATCH(Tabelle11[[#Headers],[Marco_K]],Spielauswertung!$B587:$E587,0))+AC598)</f>
        <v>102.12169819441469</v>
      </c>
      <c r="AD599" s="1">
        <f>IF(IFERROR(MATCH(Tabelle11[[#Headers],[Marius_M]],Spielauswertung!$B587:$E587,0),0)=0,AD598,INDEX(Spielauswertung!$AB587:$AE587,MATCH(Tabelle11[[#Headers],[Marius_M]],Spielauswertung!$B587:$E587,0))+AD598)</f>
        <v>124.54012374585781</v>
      </c>
      <c r="AE599" s="1">
        <f>IF(IFERROR(MATCH(Tabelle11[[#Headers],[Marvin_W]],Spielauswertung!$B587:$E587,0),0)=0,AE598,INDEX(Spielauswertung!$AB587:$AE587,MATCH(Tabelle11[[#Headers],[Marvin_W]],Spielauswertung!$B587:$E587,0))+AE598)</f>
        <v>96.700266280577438</v>
      </c>
      <c r="AF599" s="1">
        <f>IF(IFERROR(MATCH(Tabelle11[[#Headers],[Matthias_H]],Spielauswertung!$B587:$E587,0),0)=0,AF598,INDEX(Spielauswertung!$AB587:$AE587,MATCH(Tabelle11[[#Headers],[Matthias_H]],Spielauswertung!$B587:$E587,0))+AF598)</f>
        <v>105.42130178599372</v>
      </c>
      <c r="AG599" s="1">
        <f>IF(IFERROR(MATCH(Tabelle11[[#Headers],[Michael_D]],Spielauswertung!$B587:$E587,0),0)=0,AG598,INDEX(Spielauswertung!$AB587:$AE587,MATCH(Tabelle11[[#Headers],[Michael_D]],Spielauswertung!$B587:$E587,0))+AG598)</f>
        <v>96.436276170375336</v>
      </c>
      <c r="AH599" s="1">
        <f>IF(IFERROR(MATCH(Tabelle11[[#Headers],[Patrick_S]],Spielauswertung!$B587:$E587,0),0)=0,AH598,INDEX(Spielauswertung!$AB587:$AE587,MATCH(Tabelle11[[#Headers],[Patrick_S]],Spielauswertung!$B587:$E587,0))+AH598)</f>
        <v>98.975330692053802</v>
      </c>
      <c r="AI599" s="1">
        <f>IF(IFERROR(MATCH(Tabelle11[[#Headers],[Rano_M]],Spielauswertung!$B587:$E587,0),0)=0,AI598,INDEX(Spielauswertung!$AB587:$AE587,MATCH(Tabelle11[[#Headers],[Rano_M]],Spielauswertung!$B587:$E587,0))+AI598)</f>
        <v>109.38890657420265</v>
      </c>
      <c r="AJ599" s="1">
        <f>IF(IFERROR(MATCH(Tabelle11[[#Headers],[Rene_N]],Spielauswertung!$B587:$E587,0),0)=0,AJ598,INDEX(Spielauswertung!$AB587:$AE587,MATCH(Tabelle11[[#Headers],[Rene_N]],Spielauswertung!$B587:$E587,0))+AJ598)</f>
        <v>101.06482124619033</v>
      </c>
      <c r="AK599" s="1">
        <f>IF(IFERROR(MATCH(Tabelle11[[#Headers],[Rene_P]],Spielauswertung!$B587:$E587,0),0)=0,AK598,INDEX(Spielauswertung!$AB587:$AE587,MATCH(Tabelle11[[#Headers],[Rene_P]],Spielauswertung!$B587:$E587,0))+AK598)</f>
        <v>88.762543186332877</v>
      </c>
      <c r="AL599" s="1">
        <f>IF(IFERROR(MATCH(Tabelle11[[#Headers],[Richard_D]],Spielauswertung!$B587:$E587,0),0)=0,AL598,INDEX(Spielauswertung!$AB587:$AE587,MATCH(Tabelle11[[#Headers],[Richard_D]],Spielauswertung!$B587:$E587,0))+AL598)</f>
        <v>107.23233592026223</v>
      </c>
      <c r="AM599" s="1">
        <f>IF(IFERROR(MATCH(Tabelle11[[#Headers],[Rodrigo_R]],Spielauswertung!$B587:$E587,0),0)=0,AM598,INDEX(Spielauswertung!$AB587:$AE587,MATCH(Tabelle11[[#Headers],[Rodrigo_R]],Spielauswertung!$B587:$E587,0))+AM598)</f>
        <v>116.7028707921346</v>
      </c>
      <c r="AN599" s="1">
        <f>IF(IFERROR(MATCH(Tabelle11[[#Headers],[Sebastian_A]],Spielauswertung!$B587:$E587,0),0)=0,AN598,INDEX(Spielauswertung!$AB587:$AE587,MATCH(Tabelle11[[#Headers],[Sebastian_A]],Spielauswertung!$B587:$E587,0))+AN598)</f>
        <v>102.89457418671324</v>
      </c>
      <c r="AO599" s="1">
        <f>IF(IFERROR(MATCH(Tabelle11[[#Headers],[Sebastian_St]],Spielauswertung!$B587:$E587,0),0)=0,AO598,INDEX(Spielauswertung!$AB587:$AE587,MATCH(Tabelle11[[#Headers],[Sebastian_St]],Spielauswertung!$B587:$E587,0))+AO598)</f>
        <v>97.749574367408982</v>
      </c>
      <c r="AP599" s="1">
        <f>IF(IFERROR(MATCH(Tabelle11[[#Headers],[Simon_U]],Spielauswertung!$B587:$E587,0),0)=0,AP598,INDEX(Spielauswertung!$AB587:$AE587,MATCH(Tabelle11[[#Headers],[Simon_U]],Spielauswertung!$B587:$E587,0))+AP598)</f>
        <v>99.623054841470903</v>
      </c>
      <c r="AQ599" s="1">
        <f>IF(IFERROR(MATCH(Tabelle11[[#Headers],[Steffen_R]],Spielauswertung!$B587:$E587,0),0)=0,AQ598,INDEX(Spielauswertung!$AB587:$AE587,MATCH(Tabelle11[[#Headers],[Steffen_R]],Spielauswertung!$B587:$E587,0))+AQ598)</f>
        <v>93.247497067190949</v>
      </c>
      <c r="AR599" s="1">
        <f>IF(IFERROR(MATCH(Tabelle11[[#Headers],[Tim_R]],Spielauswertung!$B587:$E587,0),0)=0,AR598,INDEX(Spielauswertung!$AB587:$AE587,MATCH(Tabelle11[[#Headers],[Tim_R]],Spielauswertung!$B587:$E587,0))+AR598)</f>
        <v>103.07503787023374</v>
      </c>
      <c r="AS599" s="1">
        <f>IF(IFERROR(MATCH(Tabelle11[[#Headers],[Tobias_S]],Spielauswertung!$B587:$E587,0),0)=0,AS598,INDEX(Spielauswertung!$AB587:$AE587,MATCH(Tabelle11[[#Headers],[Tobias_S]],Spielauswertung!$B587:$E587,0))+AS598)</f>
        <v>98.6003422659997</v>
      </c>
      <c r="AT599" s="1">
        <f>IF(IFERROR(MATCH(Tabelle11[[#Headers],[Tom_R]],Spielauswertung!$B587:$E587,0),0)=0,AT598,INDEX(Spielauswertung!$AB587:$AE587,MATCH(Tabelle11[[#Headers],[Tom_R]],Spielauswertung!$B587:$E587,0))+AT598)</f>
        <v>112.62344492949197</v>
      </c>
      <c r="AU599" s="1">
        <f>IF(IFERROR(MATCH(Tabelle11[[#Headers],[Ton_L]],Spielauswertung!$B587:$E587,0),0)=0,AU598,INDEX(Spielauswertung!$AB587:$AE587,MATCH(Tabelle11[[#Headers],[Ton_L]],Spielauswertung!$B587:$E587,0))+AU598)</f>
        <v>92.683083360025861</v>
      </c>
      <c r="AV599" s="1">
        <f>IF(IFERROR(MATCH(Tabelle11[[#Headers],[Yixin_G]],Spielauswertung!$B587:$E587,0),0)=0,AV598,INDEX(Spielauswertung!$AB587:$AE587,MATCH(Tabelle11[[#Headers],[Yixin_G]],Spielauswertung!$B587:$E587,0))+AV598)</f>
        <v>99.900323214082661</v>
      </c>
      <c r="AW599" s="1">
        <f>IF(IFERROR(MATCH(Tabelle11[[#Headers],[Spalte36]],Spielauswertung!$B587:$E587,0),0)=0,AW598,INDEX(Spielauswertung!$AB587:$AE587,MATCH(Tabelle11[[#Headers],[Spalte36]],Spielauswertung!$B587:$E587,0))+AW598)</f>
        <v>100</v>
      </c>
      <c r="AX599" s="1">
        <f>IF(IFERROR(MATCH(Tabelle11[[#Headers],[Spalte37]],Spielauswertung!$B587:$E587,0),0)=0,AX598,INDEX(Spielauswertung!$AB587:$AE587,MATCH(Tabelle11[[#Headers],[Spalte37]],Spielauswertung!$B587:$E587,0))+AX598)</f>
        <v>100</v>
      </c>
      <c r="AY599" s="1">
        <f>IF(IFERROR(MATCH(Tabelle11[[#Headers],[Spalte38]],Spielauswertung!$B587:$E587,0),0)=0,AY598,INDEX(Spielauswertung!$AB587:$AE587,MATCH(Tabelle11[[#Headers],[Spalte38]],Spielauswertung!$B587:$E587,0))+AY598)</f>
        <v>100</v>
      </c>
      <c r="AZ599" s="1">
        <f>IF(IFERROR(MATCH(Tabelle11[[#Headers],[Spalte39]],Spielauswertung!$B587:$E587,0),0)=0,AZ598,INDEX(Spielauswertung!$AB587:$AE587,MATCH(Tabelle11[[#Headers],[Spalte39]],Spielauswertung!$B587:$E587,0))+AZ598)</f>
        <v>100</v>
      </c>
      <c r="BA599" s="1">
        <f>IF(IFERROR(MATCH(Tabelle11[[#Headers],[Spalte40]],Spielauswertung!$B587:$E587,0),0)=0,BA598,INDEX(Spielauswertung!$AB587:$AE587,MATCH(Tabelle11[[#Headers],[Spalte40]],Spielauswertung!$B587:$E587,0))+BA598)</f>
        <v>100</v>
      </c>
      <c r="BB599" s="1">
        <f>IF(IFERROR(MATCH(Tabelle11[[#Headers],[Spalte41]],Spielauswertung!$B587:$E587,0),0)=0,BB598,INDEX(Spielauswertung!$AB587:$AE587,MATCH(Tabelle11[[#Headers],[Spalte41]],Spielauswertung!$B587:$E587,0))+BB598)</f>
        <v>100</v>
      </c>
      <c r="BC599" s="1">
        <f>IF(IFERROR(MATCH(Tabelle11[[#Headers],[Spalte42]],Spielauswertung!$B587:$E587,0),0)=0,BC598,INDEX(Spielauswertung!$AB587:$AE587,MATCH(Tabelle11[[#Headers],[Spalte42]],Spielauswertung!$B587:$E587,0))+BC598)</f>
        <v>100</v>
      </c>
      <c r="BD599" s="1">
        <f>IF(IFERROR(MATCH(Tabelle11[[#Headers],[Spalte43]],Spielauswertung!$B587:$E587,0),0)=0,BD598,INDEX(Spielauswertung!$AB587:$AE587,MATCH(Tabelle11[[#Headers],[Spalte43]],Spielauswertung!$B587:$E587,0))+BD598)</f>
        <v>100</v>
      </c>
      <c r="BE599" s="1">
        <f>IF(IFERROR(MATCH(Tabelle11[[#Headers],[Spalte44]],Spielauswertung!$B587:$E587,0),0)=0,BE598,INDEX(Spielauswertung!$AB587:$AE587,MATCH(Tabelle11[[#Headers],[Spalte44]],Spielauswertung!$B587:$E587,0))+BE598)</f>
        <v>100</v>
      </c>
      <c r="BF599" s="1">
        <f>IF(IFERROR(MATCH(Tabelle11[[#Headers],[Spalte45]],Spielauswertung!$B587:$E587,0),0)=0,BF598,INDEX(Spielauswertung!$AB587:$AE587,MATCH(Tabelle11[[#Headers],[Spalte45]],Spielauswertung!$B587:$E587,0))+BF598)</f>
        <v>100</v>
      </c>
      <c r="BG599" s="1">
        <f>IF(IFERROR(MATCH(Tabelle11[[#Headers],[Spalte46]],Spielauswertung!$B587:$E587,0),0)=0,BG598,INDEX(Spielauswertung!$AB587:$AE587,MATCH(Tabelle11[[#Headers],[Spalte46]],Spielauswertung!$B587:$E587,0))+BG598)</f>
        <v>100</v>
      </c>
      <c r="BH599" s="1">
        <f>IF(IFERROR(MATCH(Tabelle11[[#Headers],[Spalte47]],Spielauswertung!$B587:$E587,0),0)=0,BH598,INDEX(Spielauswertung!$AB587:$AE587,MATCH(Tabelle11[[#Headers],[Spalte47]],Spielauswertung!$B587:$E587,0))+BH598)</f>
        <v>100</v>
      </c>
    </row>
    <row r="600" spans="1:60" x14ac:dyDescent="0.25">
      <c r="A600">
        <f t="shared" si="10"/>
        <v>587</v>
      </c>
      <c r="B600" s="1">
        <f>IF(IFERROR(MATCH(Tabelle11[[#Headers],[Aleix_V]],Spielauswertung!$B588:$E588,0),0)=0,B599,INDEX(Spielauswertung!$AB588:$AE588,MATCH(Tabelle11[[#Headers],[Aleix_V]],Spielauswertung!$B588:$E588,0))+B599)</f>
        <v>102.47318019444646</v>
      </c>
      <c r="C600" s="1">
        <f>IF(IFERROR(MATCH(Tabelle11[[#Headers],[Andres_H]],Spielauswertung!$B588:$E588,0),0)=0,C599,INDEX(Spielauswertung!$AB588:$AE588,MATCH(Tabelle11[[#Headers],[Andres_H]],Spielauswertung!$B588:$E588,0))+C599)</f>
        <v>95.535732339111306</v>
      </c>
      <c r="D600" s="1">
        <f>IF(IFERROR(MATCH(Tabelle11[[#Headers],[Anton_K]],Spielauswertung!$B588:$E588,0),0)=0,D599,INDEX(Spielauswertung!$AB588:$AE588,MATCH(Tabelle11[[#Headers],[Anton_K]],Spielauswertung!$B588:$E588,0))+D599)</f>
        <v>99.287728777054667</v>
      </c>
      <c r="E600" s="1">
        <f>IF(IFERROR(MATCH(Tabelle11[[#Headers],[Bastian_G]],Spielauswertung!$B588:$E588,0),0)=0,E599,INDEX(Spielauswertung!$AB588:$AE588,MATCH(Tabelle11[[#Headers],[Bastian_G]],Spielauswertung!$B588:$E588,0))+E599)</f>
        <v>117.49978695184252</v>
      </c>
      <c r="F600" s="1">
        <f>IF(IFERROR(MATCH(Tabelle11[[#Headers],[Ben_S]],Spielauswertung!$B588:$E588,0),0)=0,F599,INDEX(Spielauswertung!$AB588:$AE588,MATCH(Tabelle11[[#Headers],[Ben_S]],Spielauswertung!$B588:$E588,0))+F599)</f>
        <v>95.932799101521084</v>
      </c>
      <c r="G600" s="1">
        <f>IF(IFERROR(MATCH(Tabelle11[[#Headers],[Benedikt_K]],Spielauswertung!$B588:$E588,0),0)=0,G599,INDEX(Spielauswertung!$AB588:$AE588,MATCH(Tabelle11[[#Headers],[Benedikt_K]],Spielauswertung!$B588:$E588,0))+G599)</f>
        <v>101.20264176422626</v>
      </c>
      <c r="H600" s="1">
        <f>IF(IFERROR(MATCH(Tabelle11[[#Headers],[Benedikt_R]],Spielauswertung!$B588:$E588,0),0)=0,H599,INDEX(Spielauswertung!$AB588:$AE588,MATCH(Tabelle11[[#Headers],[Benedikt_R]],Spielauswertung!$B588:$E588,0))+H599)</f>
        <v>102.6264770510757</v>
      </c>
      <c r="I600" s="1">
        <f>IF(IFERROR(MATCH(Tabelle11[[#Headers],[Carsten_H]],Spielauswertung!$B588:$E588,0),0)=0,I599,INDEX(Spielauswertung!$AB588:$AE588,MATCH(Tabelle11[[#Headers],[Carsten_H]],Spielauswertung!$B588:$E588,0))+I599)</f>
        <v>90.817185094326874</v>
      </c>
      <c r="J600" s="1">
        <f>IF(IFERROR(MATCH(Tabelle11[[#Headers],[Christoph_R]],Spielauswertung!$B588:$E588,0),0)=0,J599,INDEX(Spielauswertung!$AB588:$AE588,MATCH(Tabelle11[[#Headers],[Christoph_R]],Spielauswertung!$B588:$E588,0))+J599)</f>
        <v>109.73261611443155</v>
      </c>
      <c r="K600" s="1">
        <f>IF(IFERROR(MATCH(Tabelle11[[#Headers],[Claudius_J]],Spielauswertung!$B588:$E588,0),0)=0,K599,INDEX(Spielauswertung!$AB588:$AE588,MATCH(Tabelle11[[#Headers],[Claudius_J]],Spielauswertung!$B588:$E588,0))+K599)</f>
        <v>106.16590636000029</v>
      </c>
      <c r="L600" s="1">
        <f>IF(IFERROR(MATCH(Tabelle11[[#Headers],[Daniel_D]],Spielauswertung!$B588:$E588,0),0)=0,L599,INDEX(Spielauswertung!$AB588:$AE588,MATCH(Tabelle11[[#Headers],[Daniel_D]],Spielauswertung!$B588:$E588,0))+L599)</f>
        <v>99.990299180470089</v>
      </c>
      <c r="M600" s="1">
        <f>IF(IFERROR(MATCH(Tabelle11[[#Headers],[David_R]],Spielauswertung!$B588:$E588,0),0)=0,M599,INDEX(Spielauswertung!$AB588:$AE588,MATCH(Tabelle11[[#Headers],[David_R]],Spielauswertung!$B588:$E588,0))+M599)</f>
        <v>96.715943522481638</v>
      </c>
      <c r="N600" s="1">
        <f>IF(IFERROR(MATCH(Tabelle11[[#Headers],[Dennis_P]],Spielauswertung!$B588:$E588,0),0)=0,N599,INDEX(Spielauswertung!$AB588:$AE588,MATCH(Tabelle11[[#Headers],[Dennis_P]],Spielauswertung!$B588:$E588,0))+N599)</f>
        <v>100.04773223105254</v>
      </c>
      <c r="O600" s="1">
        <f>IF(IFERROR(MATCH(Tabelle11[[#Headers],[Dennis_R]],Spielauswertung!$B588:$E588,0),0)=0,O599,INDEX(Spielauswertung!$AB588:$AE588,MATCH(Tabelle11[[#Headers],[Dennis_R]],Spielauswertung!$B588:$E588,0))+O599)</f>
        <v>75.131680864937195</v>
      </c>
      <c r="P600" s="1">
        <f>IF(IFERROR(MATCH(Tabelle11[[#Headers],[Detlef_R]],Spielauswertung!$B588:$E588,0),0)=0,P599,INDEX(Spielauswertung!$AB588:$AE588,MATCH(Tabelle11[[#Headers],[Detlef_R]],Spielauswertung!$B588:$E588,0))+P599)</f>
        <v>87.984671797367014</v>
      </c>
      <c r="Q600" s="1">
        <f>IF(IFERROR(MATCH(Tabelle11[[#Headers],[Dmitrij_M]],Spielauswertung!$B588:$E588,0),0)=0,Q599,INDEX(Spielauswertung!$AB588:$AE588,MATCH(Tabelle11[[#Headers],[Dmitrij_M]],Spielauswertung!$B588:$E588,0))+Q599)</f>
        <v>100.69975721846207</v>
      </c>
      <c r="R600" s="1">
        <f>IF(IFERROR(MATCH(Tabelle11[[#Headers],[Fabian_M]],Spielauswertung!$B588:$E588,0),0)=0,R599,INDEX(Spielauswertung!$AB588:$AE588,MATCH(Tabelle11[[#Headers],[Fabian_M]],Spielauswertung!$B588:$E588,0))+R599)</f>
        <v>95.805387841610738</v>
      </c>
      <c r="S600" s="1">
        <f>IF(IFERROR(MATCH(Tabelle11[[#Headers],[Hannes_S]],Spielauswertung!$B588:$E588,0),0)=0,S599,INDEX(Spielauswertung!$AB588:$AE588,MATCH(Tabelle11[[#Headers],[Hannes_S]],Spielauswertung!$B588:$E588,0))+S599)</f>
        <v>104.83899184012799</v>
      </c>
      <c r="T600" s="1">
        <f>IF(IFERROR(MATCH(Tabelle11[[#Headers],[Jan_B]],Spielauswertung!$B588:$E588,0),0)=0,T599,INDEX(Spielauswertung!$AB588:$AE588,MATCH(Tabelle11[[#Headers],[Jan_B]],Spielauswertung!$B588:$E588,0))+T599)</f>
        <v>100.2794420429173</v>
      </c>
      <c r="U600" s="1">
        <f>IF(IFERROR(MATCH(Tabelle11[[#Headers],[Jan_Hendrik_B]],Spielauswertung!$B588:$E588,0),0)=0,U599,INDEX(Spielauswertung!$AB588:$AE588,MATCH(Tabelle11[[#Headers],[Jan_Hendrik_B]],Spielauswertung!$B588:$E588,0))+U599)</f>
        <v>100.75492416935522</v>
      </c>
      <c r="V600" s="1">
        <f>IF(IFERROR(MATCH(Tabelle11[[#Headers],[Jens_N]],Spielauswertung!$B588:$E588,0),0)=0,V599,INDEX(Spielauswertung!$AB588:$AE588,MATCH(Tabelle11[[#Headers],[Jens_N]],Spielauswertung!$B588:$E588,0))+V599)</f>
        <v>99.643534710196832</v>
      </c>
      <c r="W600" s="1">
        <f>IF(IFERROR(MATCH(Tabelle11[[#Headers],[Johannes_S]],Spielauswertung!$B588:$E588,0),0)=0,W599,INDEX(Spielauswertung!$AB588:$AE588,MATCH(Tabelle11[[#Headers],[Johannes_S]],Spielauswertung!$B588:$E588,0))+W599)</f>
        <v>102.20284750979505</v>
      </c>
      <c r="X600" s="1">
        <f>IF(IFERROR(MATCH(Tabelle11[[#Headers],[Jonathan_F]],Spielauswertung!$B588:$E588,0),0)=0,X599,INDEX(Spielauswertung!$AB588:$AE588,MATCH(Tabelle11[[#Headers],[Jonathan_F]],Spielauswertung!$B588:$E588,0))+X599)</f>
        <v>98.938308797866256</v>
      </c>
      <c r="Y600" s="1">
        <f>IF(IFERROR(MATCH(Tabelle11[[#Headers],[Julius_P]],Spielauswertung!$B588:$E588,0),0)=0,Y599,INDEX(Spielauswertung!$AB588:$AE588,MATCH(Tabelle11[[#Headers],[Julius_P]],Spielauswertung!$B588:$E588,0))+Y599)</f>
        <v>96.540305101873642</v>
      </c>
      <c r="Z600" s="1">
        <f>IF(IFERROR(MATCH(Tabelle11[[#Headers],[Louis_W]],Spielauswertung!$B588:$E588,0),0)=0,Z599,INDEX(Spielauswertung!$AB588:$AE588,MATCH(Tabelle11[[#Headers],[Louis_W]],Spielauswertung!$B588:$E588,0))+Z599)</f>
        <v>87.497452285475362</v>
      </c>
      <c r="AA600" s="1">
        <f>IF(IFERROR(MATCH(Tabelle11[[#Headers],[Lukas_L]],Spielauswertung!$B588:$E588,0),0)=0,AA599,INDEX(Spielauswertung!$AB588:$AE588,MATCH(Tabelle11[[#Headers],[Lukas_L]],Spielauswertung!$B588:$E588,0))+AA599)</f>
        <v>98.447931341404143</v>
      </c>
      <c r="AB600" s="1">
        <f>IF(IFERROR(MATCH(Tabelle11[[#Headers],[Marcin_S]],Spielauswertung!$B588:$E588,0),0)=0,AB599,INDEX(Spielauswertung!$AB588:$AE588,MATCH(Tabelle11[[#Headers],[Marcin_S]],Spielauswertung!$B588:$E588,0))+AB599)</f>
        <v>85.463329105556824</v>
      </c>
      <c r="AC600" s="1">
        <f>IF(IFERROR(MATCH(Tabelle11[[#Headers],[Marco_K]],Spielauswertung!$B588:$E588,0),0)=0,AC599,INDEX(Spielauswertung!$AB588:$AE588,MATCH(Tabelle11[[#Headers],[Marco_K]],Spielauswertung!$B588:$E588,0))+AC599)</f>
        <v>102.12169819441469</v>
      </c>
      <c r="AD600" s="1">
        <f>IF(IFERROR(MATCH(Tabelle11[[#Headers],[Marius_M]],Spielauswertung!$B588:$E588,0),0)=0,AD599,INDEX(Spielauswertung!$AB588:$AE588,MATCH(Tabelle11[[#Headers],[Marius_M]],Spielauswertung!$B588:$E588,0))+AD599)</f>
        <v>124.54012374585781</v>
      </c>
      <c r="AE600" s="1">
        <f>IF(IFERROR(MATCH(Tabelle11[[#Headers],[Marvin_W]],Spielauswertung!$B588:$E588,0),0)=0,AE599,INDEX(Spielauswertung!$AB588:$AE588,MATCH(Tabelle11[[#Headers],[Marvin_W]],Spielauswertung!$B588:$E588,0))+AE599)</f>
        <v>96.700266280577438</v>
      </c>
      <c r="AF600" s="1">
        <f>IF(IFERROR(MATCH(Tabelle11[[#Headers],[Matthias_H]],Spielauswertung!$B588:$E588,0),0)=0,AF599,INDEX(Spielauswertung!$AB588:$AE588,MATCH(Tabelle11[[#Headers],[Matthias_H]],Spielauswertung!$B588:$E588,0))+AF599)</f>
        <v>105.42130178599372</v>
      </c>
      <c r="AG600" s="1">
        <f>IF(IFERROR(MATCH(Tabelle11[[#Headers],[Michael_D]],Spielauswertung!$B588:$E588,0),0)=0,AG599,INDEX(Spielauswertung!$AB588:$AE588,MATCH(Tabelle11[[#Headers],[Michael_D]],Spielauswertung!$B588:$E588,0))+AG599)</f>
        <v>96.436276170375336</v>
      </c>
      <c r="AH600" s="1">
        <f>IF(IFERROR(MATCH(Tabelle11[[#Headers],[Patrick_S]],Spielauswertung!$B588:$E588,0),0)=0,AH599,INDEX(Spielauswertung!$AB588:$AE588,MATCH(Tabelle11[[#Headers],[Patrick_S]],Spielauswertung!$B588:$E588,0))+AH599)</f>
        <v>98.975330692053802</v>
      </c>
      <c r="AI600" s="1">
        <f>IF(IFERROR(MATCH(Tabelle11[[#Headers],[Rano_M]],Spielauswertung!$B588:$E588,0),0)=0,AI599,INDEX(Spielauswertung!$AB588:$AE588,MATCH(Tabelle11[[#Headers],[Rano_M]],Spielauswertung!$B588:$E588,0))+AI599)</f>
        <v>109.38890657420265</v>
      </c>
      <c r="AJ600" s="1">
        <f>IF(IFERROR(MATCH(Tabelle11[[#Headers],[Rene_N]],Spielauswertung!$B588:$E588,0),0)=0,AJ599,INDEX(Spielauswertung!$AB588:$AE588,MATCH(Tabelle11[[#Headers],[Rene_N]],Spielauswertung!$B588:$E588,0))+AJ599)</f>
        <v>101.06482124619033</v>
      </c>
      <c r="AK600" s="1">
        <f>IF(IFERROR(MATCH(Tabelle11[[#Headers],[Rene_P]],Spielauswertung!$B588:$E588,0),0)=0,AK599,INDEX(Spielauswertung!$AB588:$AE588,MATCH(Tabelle11[[#Headers],[Rene_P]],Spielauswertung!$B588:$E588,0))+AK599)</f>
        <v>88.762543186332877</v>
      </c>
      <c r="AL600" s="1">
        <f>IF(IFERROR(MATCH(Tabelle11[[#Headers],[Richard_D]],Spielauswertung!$B588:$E588,0),0)=0,AL599,INDEX(Spielauswertung!$AB588:$AE588,MATCH(Tabelle11[[#Headers],[Richard_D]],Spielauswertung!$B588:$E588,0))+AL599)</f>
        <v>107.23233592026223</v>
      </c>
      <c r="AM600" s="1">
        <f>IF(IFERROR(MATCH(Tabelle11[[#Headers],[Rodrigo_R]],Spielauswertung!$B588:$E588,0),0)=0,AM599,INDEX(Spielauswertung!$AB588:$AE588,MATCH(Tabelle11[[#Headers],[Rodrigo_R]],Spielauswertung!$B588:$E588,0))+AM599)</f>
        <v>116.7028707921346</v>
      </c>
      <c r="AN600" s="1">
        <f>IF(IFERROR(MATCH(Tabelle11[[#Headers],[Sebastian_A]],Spielauswertung!$B588:$E588,0),0)=0,AN599,INDEX(Spielauswertung!$AB588:$AE588,MATCH(Tabelle11[[#Headers],[Sebastian_A]],Spielauswertung!$B588:$E588,0))+AN599)</f>
        <v>102.89457418671324</v>
      </c>
      <c r="AO600" s="1">
        <f>IF(IFERROR(MATCH(Tabelle11[[#Headers],[Sebastian_St]],Spielauswertung!$B588:$E588,0),0)=0,AO599,INDEX(Spielauswertung!$AB588:$AE588,MATCH(Tabelle11[[#Headers],[Sebastian_St]],Spielauswertung!$B588:$E588,0))+AO599)</f>
        <v>97.749574367408982</v>
      </c>
      <c r="AP600" s="1">
        <f>IF(IFERROR(MATCH(Tabelle11[[#Headers],[Simon_U]],Spielauswertung!$B588:$E588,0),0)=0,AP599,INDEX(Spielauswertung!$AB588:$AE588,MATCH(Tabelle11[[#Headers],[Simon_U]],Spielauswertung!$B588:$E588,0))+AP599)</f>
        <v>99.623054841470903</v>
      </c>
      <c r="AQ600" s="1">
        <f>IF(IFERROR(MATCH(Tabelle11[[#Headers],[Steffen_R]],Spielauswertung!$B588:$E588,0),0)=0,AQ599,INDEX(Spielauswertung!$AB588:$AE588,MATCH(Tabelle11[[#Headers],[Steffen_R]],Spielauswertung!$B588:$E588,0))+AQ599)</f>
        <v>93.247497067190949</v>
      </c>
      <c r="AR600" s="1">
        <f>IF(IFERROR(MATCH(Tabelle11[[#Headers],[Tim_R]],Spielauswertung!$B588:$E588,0),0)=0,AR599,INDEX(Spielauswertung!$AB588:$AE588,MATCH(Tabelle11[[#Headers],[Tim_R]],Spielauswertung!$B588:$E588,0))+AR599)</f>
        <v>103.07503787023374</v>
      </c>
      <c r="AS600" s="1">
        <f>IF(IFERROR(MATCH(Tabelle11[[#Headers],[Tobias_S]],Spielauswertung!$B588:$E588,0),0)=0,AS599,INDEX(Spielauswertung!$AB588:$AE588,MATCH(Tabelle11[[#Headers],[Tobias_S]],Spielauswertung!$B588:$E588,0))+AS599)</f>
        <v>98.6003422659997</v>
      </c>
      <c r="AT600" s="1">
        <f>IF(IFERROR(MATCH(Tabelle11[[#Headers],[Tom_R]],Spielauswertung!$B588:$E588,0),0)=0,AT599,INDEX(Spielauswertung!$AB588:$AE588,MATCH(Tabelle11[[#Headers],[Tom_R]],Spielauswertung!$B588:$E588,0))+AT599)</f>
        <v>112.62344492949197</v>
      </c>
      <c r="AU600" s="1">
        <f>IF(IFERROR(MATCH(Tabelle11[[#Headers],[Ton_L]],Spielauswertung!$B588:$E588,0),0)=0,AU599,INDEX(Spielauswertung!$AB588:$AE588,MATCH(Tabelle11[[#Headers],[Ton_L]],Spielauswertung!$B588:$E588,0))+AU599)</f>
        <v>92.683083360025861</v>
      </c>
      <c r="AV600" s="1">
        <f>IF(IFERROR(MATCH(Tabelle11[[#Headers],[Yixin_G]],Spielauswertung!$B588:$E588,0),0)=0,AV599,INDEX(Spielauswertung!$AB588:$AE588,MATCH(Tabelle11[[#Headers],[Yixin_G]],Spielauswertung!$B588:$E588,0))+AV599)</f>
        <v>99.900323214082661</v>
      </c>
      <c r="AW600" s="1">
        <f>IF(IFERROR(MATCH(Tabelle11[[#Headers],[Spalte36]],Spielauswertung!$B588:$E588,0),0)=0,AW599,INDEX(Spielauswertung!$AB588:$AE588,MATCH(Tabelle11[[#Headers],[Spalte36]],Spielauswertung!$B588:$E588,0))+AW599)</f>
        <v>100</v>
      </c>
      <c r="AX600" s="1">
        <f>IF(IFERROR(MATCH(Tabelle11[[#Headers],[Spalte37]],Spielauswertung!$B588:$E588,0),0)=0,AX599,INDEX(Spielauswertung!$AB588:$AE588,MATCH(Tabelle11[[#Headers],[Spalte37]],Spielauswertung!$B588:$E588,0))+AX599)</f>
        <v>100</v>
      </c>
      <c r="AY600" s="1">
        <f>IF(IFERROR(MATCH(Tabelle11[[#Headers],[Spalte38]],Spielauswertung!$B588:$E588,0),0)=0,AY599,INDEX(Spielauswertung!$AB588:$AE588,MATCH(Tabelle11[[#Headers],[Spalte38]],Spielauswertung!$B588:$E588,0))+AY599)</f>
        <v>100</v>
      </c>
      <c r="AZ600" s="1">
        <f>IF(IFERROR(MATCH(Tabelle11[[#Headers],[Spalte39]],Spielauswertung!$B588:$E588,0),0)=0,AZ599,INDEX(Spielauswertung!$AB588:$AE588,MATCH(Tabelle11[[#Headers],[Spalte39]],Spielauswertung!$B588:$E588,0))+AZ599)</f>
        <v>100</v>
      </c>
      <c r="BA600" s="1">
        <f>IF(IFERROR(MATCH(Tabelle11[[#Headers],[Spalte40]],Spielauswertung!$B588:$E588,0),0)=0,BA599,INDEX(Spielauswertung!$AB588:$AE588,MATCH(Tabelle11[[#Headers],[Spalte40]],Spielauswertung!$B588:$E588,0))+BA599)</f>
        <v>100</v>
      </c>
      <c r="BB600" s="1">
        <f>IF(IFERROR(MATCH(Tabelle11[[#Headers],[Spalte41]],Spielauswertung!$B588:$E588,0),0)=0,BB599,INDEX(Spielauswertung!$AB588:$AE588,MATCH(Tabelle11[[#Headers],[Spalte41]],Spielauswertung!$B588:$E588,0))+BB599)</f>
        <v>100</v>
      </c>
      <c r="BC600" s="1">
        <f>IF(IFERROR(MATCH(Tabelle11[[#Headers],[Spalte42]],Spielauswertung!$B588:$E588,0),0)=0,BC599,INDEX(Spielauswertung!$AB588:$AE588,MATCH(Tabelle11[[#Headers],[Spalte42]],Spielauswertung!$B588:$E588,0))+BC599)</f>
        <v>100</v>
      </c>
      <c r="BD600" s="1">
        <f>IF(IFERROR(MATCH(Tabelle11[[#Headers],[Spalte43]],Spielauswertung!$B588:$E588,0),0)=0,BD599,INDEX(Spielauswertung!$AB588:$AE588,MATCH(Tabelle11[[#Headers],[Spalte43]],Spielauswertung!$B588:$E588,0))+BD599)</f>
        <v>100</v>
      </c>
      <c r="BE600" s="1">
        <f>IF(IFERROR(MATCH(Tabelle11[[#Headers],[Spalte44]],Spielauswertung!$B588:$E588,0),0)=0,BE599,INDEX(Spielauswertung!$AB588:$AE588,MATCH(Tabelle11[[#Headers],[Spalte44]],Spielauswertung!$B588:$E588,0))+BE599)</f>
        <v>100</v>
      </c>
      <c r="BF600" s="1">
        <f>IF(IFERROR(MATCH(Tabelle11[[#Headers],[Spalte45]],Spielauswertung!$B588:$E588,0),0)=0,BF599,INDEX(Spielauswertung!$AB588:$AE588,MATCH(Tabelle11[[#Headers],[Spalte45]],Spielauswertung!$B588:$E588,0))+BF599)</f>
        <v>100</v>
      </c>
      <c r="BG600" s="1">
        <f>IF(IFERROR(MATCH(Tabelle11[[#Headers],[Spalte46]],Spielauswertung!$B588:$E588,0),0)=0,BG599,INDEX(Spielauswertung!$AB588:$AE588,MATCH(Tabelle11[[#Headers],[Spalte46]],Spielauswertung!$B588:$E588,0))+BG599)</f>
        <v>100</v>
      </c>
      <c r="BH600" s="1">
        <f>IF(IFERROR(MATCH(Tabelle11[[#Headers],[Spalte47]],Spielauswertung!$B588:$E588,0),0)=0,BH599,INDEX(Spielauswertung!$AB588:$AE588,MATCH(Tabelle11[[#Headers],[Spalte47]],Spielauswertung!$B588:$E588,0))+BH599)</f>
        <v>100</v>
      </c>
    </row>
    <row r="601" spans="1:60" x14ac:dyDescent="0.25">
      <c r="A601">
        <f t="shared" si="10"/>
        <v>588</v>
      </c>
      <c r="B601" s="1">
        <f>IF(IFERROR(MATCH(Tabelle11[[#Headers],[Aleix_V]],Spielauswertung!$B589:$E589,0),0)=0,B600,INDEX(Spielauswertung!$AB589:$AE589,MATCH(Tabelle11[[#Headers],[Aleix_V]],Spielauswertung!$B589:$E589,0))+B600)</f>
        <v>102.47318019444646</v>
      </c>
      <c r="C601" s="1">
        <f>IF(IFERROR(MATCH(Tabelle11[[#Headers],[Andres_H]],Spielauswertung!$B589:$E589,0),0)=0,C600,INDEX(Spielauswertung!$AB589:$AE589,MATCH(Tabelle11[[#Headers],[Andres_H]],Spielauswertung!$B589:$E589,0))+C600)</f>
        <v>95.535732339111306</v>
      </c>
      <c r="D601" s="1">
        <f>IF(IFERROR(MATCH(Tabelle11[[#Headers],[Anton_K]],Spielauswertung!$B589:$E589,0),0)=0,D600,INDEX(Spielauswertung!$AB589:$AE589,MATCH(Tabelle11[[#Headers],[Anton_K]],Spielauswertung!$B589:$E589,0))+D600)</f>
        <v>99.287728777054667</v>
      </c>
      <c r="E601" s="1">
        <f>IF(IFERROR(MATCH(Tabelle11[[#Headers],[Bastian_G]],Spielauswertung!$B589:$E589,0),0)=0,E600,INDEX(Spielauswertung!$AB589:$AE589,MATCH(Tabelle11[[#Headers],[Bastian_G]],Spielauswertung!$B589:$E589,0))+E600)</f>
        <v>117.49978695184252</v>
      </c>
      <c r="F601" s="1">
        <f>IF(IFERROR(MATCH(Tabelle11[[#Headers],[Ben_S]],Spielauswertung!$B589:$E589,0),0)=0,F600,INDEX(Spielauswertung!$AB589:$AE589,MATCH(Tabelle11[[#Headers],[Ben_S]],Spielauswertung!$B589:$E589,0))+F600)</f>
        <v>95.932799101521084</v>
      </c>
      <c r="G601" s="1">
        <f>IF(IFERROR(MATCH(Tabelle11[[#Headers],[Benedikt_K]],Spielauswertung!$B589:$E589,0),0)=0,G600,INDEX(Spielauswertung!$AB589:$AE589,MATCH(Tabelle11[[#Headers],[Benedikt_K]],Spielauswertung!$B589:$E589,0))+G600)</f>
        <v>101.20264176422626</v>
      </c>
      <c r="H601" s="1">
        <f>IF(IFERROR(MATCH(Tabelle11[[#Headers],[Benedikt_R]],Spielauswertung!$B589:$E589,0),0)=0,H600,INDEX(Spielauswertung!$AB589:$AE589,MATCH(Tabelle11[[#Headers],[Benedikt_R]],Spielauswertung!$B589:$E589,0))+H600)</f>
        <v>102.6264770510757</v>
      </c>
      <c r="I601" s="1">
        <f>IF(IFERROR(MATCH(Tabelle11[[#Headers],[Carsten_H]],Spielauswertung!$B589:$E589,0),0)=0,I600,INDEX(Spielauswertung!$AB589:$AE589,MATCH(Tabelle11[[#Headers],[Carsten_H]],Spielauswertung!$B589:$E589,0))+I600)</f>
        <v>90.817185094326874</v>
      </c>
      <c r="J601" s="1">
        <f>IF(IFERROR(MATCH(Tabelle11[[#Headers],[Christoph_R]],Spielauswertung!$B589:$E589,0),0)=0,J600,INDEX(Spielauswertung!$AB589:$AE589,MATCH(Tabelle11[[#Headers],[Christoph_R]],Spielauswertung!$B589:$E589,0))+J600)</f>
        <v>109.73261611443155</v>
      </c>
      <c r="K601" s="1">
        <f>IF(IFERROR(MATCH(Tabelle11[[#Headers],[Claudius_J]],Spielauswertung!$B589:$E589,0),0)=0,K600,INDEX(Spielauswertung!$AB589:$AE589,MATCH(Tabelle11[[#Headers],[Claudius_J]],Spielauswertung!$B589:$E589,0))+K600)</f>
        <v>106.16590636000029</v>
      </c>
      <c r="L601" s="1">
        <f>IF(IFERROR(MATCH(Tabelle11[[#Headers],[Daniel_D]],Spielauswertung!$B589:$E589,0),0)=0,L600,INDEX(Spielauswertung!$AB589:$AE589,MATCH(Tabelle11[[#Headers],[Daniel_D]],Spielauswertung!$B589:$E589,0))+L600)</f>
        <v>99.990299180470089</v>
      </c>
      <c r="M601" s="1">
        <f>IF(IFERROR(MATCH(Tabelle11[[#Headers],[David_R]],Spielauswertung!$B589:$E589,0),0)=0,M600,INDEX(Spielauswertung!$AB589:$AE589,MATCH(Tabelle11[[#Headers],[David_R]],Spielauswertung!$B589:$E589,0))+M600)</f>
        <v>96.715943522481638</v>
      </c>
      <c r="N601" s="1">
        <f>IF(IFERROR(MATCH(Tabelle11[[#Headers],[Dennis_P]],Spielauswertung!$B589:$E589,0),0)=0,N600,INDEX(Spielauswertung!$AB589:$AE589,MATCH(Tabelle11[[#Headers],[Dennis_P]],Spielauswertung!$B589:$E589,0))+N600)</f>
        <v>100.04773223105254</v>
      </c>
      <c r="O601" s="1">
        <f>IF(IFERROR(MATCH(Tabelle11[[#Headers],[Dennis_R]],Spielauswertung!$B589:$E589,0),0)=0,O600,INDEX(Spielauswertung!$AB589:$AE589,MATCH(Tabelle11[[#Headers],[Dennis_R]],Spielauswertung!$B589:$E589,0))+O600)</f>
        <v>75.131680864937195</v>
      </c>
      <c r="P601" s="1">
        <f>IF(IFERROR(MATCH(Tabelle11[[#Headers],[Detlef_R]],Spielauswertung!$B589:$E589,0),0)=0,P600,INDEX(Spielauswertung!$AB589:$AE589,MATCH(Tabelle11[[#Headers],[Detlef_R]],Spielauswertung!$B589:$E589,0))+P600)</f>
        <v>87.984671797367014</v>
      </c>
      <c r="Q601" s="1">
        <f>IF(IFERROR(MATCH(Tabelle11[[#Headers],[Dmitrij_M]],Spielauswertung!$B589:$E589,0),0)=0,Q600,INDEX(Spielauswertung!$AB589:$AE589,MATCH(Tabelle11[[#Headers],[Dmitrij_M]],Spielauswertung!$B589:$E589,0))+Q600)</f>
        <v>100.69975721846207</v>
      </c>
      <c r="R601" s="1">
        <f>IF(IFERROR(MATCH(Tabelle11[[#Headers],[Fabian_M]],Spielauswertung!$B589:$E589,0),0)=0,R600,INDEX(Spielauswertung!$AB589:$AE589,MATCH(Tabelle11[[#Headers],[Fabian_M]],Spielauswertung!$B589:$E589,0))+R600)</f>
        <v>95.805387841610738</v>
      </c>
      <c r="S601" s="1">
        <f>IF(IFERROR(MATCH(Tabelle11[[#Headers],[Hannes_S]],Spielauswertung!$B589:$E589,0),0)=0,S600,INDEX(Spielauswertung!$AB589:$AE589,MATCH(Tabelle11[[#Headers],[Hannes_S]],Spielauswertung!$B589:$E589,0))+S600)</f>
        <v>104.83899184012799</v>
      </c>
      <c r="T601" s="1">
        <f>IF(IFERROR(MATCH(Tabelle11[[#Headers],[Jan_B]],Spielauswertung!$B589:$E589,0),0)=0,T600,INDEX(Spielauswertung!$AB589:$AE589,MATCH(Tabelle11[[#Headers],[Jan_B]],Spielauswertung!$B589:$E589,0))+T600)</f>
        <v>100.2794420429173</v>
      </c>
      <c r="U601" s="1">
        <f>IF(IFERROR(MATCH(Tabelle11[[#Headers],[Jan_Hendrik_B]],Spielauswertung!$B589:$E589,0),0)=0,U600,INDEX(Spielauswertung!$AB589:$AE589,MATCH(Tabelle11[[#Headers],[Jan_Hendrik_B]],Spielauswertung!$B589:$E589,0))+U600)</f>
        <v>100.75492416935522</v>
      </c>
      <c r="V601" s="1">
        <f>IF(IFERROR(MATCH(Tabelle11[[#Headers],[Jens_N]],Spielauswertung!$B589:$E589,0),0)=0,V600,INDEX(Spielauswertung!$AB589:$AE589,MATCH(Tabelle11[[#Headers],[Jens_N]],Spielauswertung!$B589:$E589,0))+V600)</f>
        <v>99.643534710196832</v>
      </c>
      <c r="W601" s="1">
        <f>IF(IFERROR(MATCH(Tabelle11[[#Headers],[Johannes_S]],Spielauswertung!$B589:$E589,0),0)=0,W600,INDEX(Spielauswertung!$AB589:$AE589,MATCH(Tabelle11[[#Headers],[Johannes_S]],Spielauswertung!$B589:$E589,0))+W600)</f>
        <v>102.20284750979505</v>
      </c>
      <c r="X601" s="1">
        <f>IF(IFERROR(MATCH(Tabelle11[[#Headers],[Jonathan_F]],Spielauswertung!$B589:$E589,0),0)=0,X600,INDEX(Spielauswertung!$AB589:$AE589,MATCH(Tabelle11[[#Headers],[Jonathan_F]],Spielauswertung!$B589:$E589,0))+X600)</f>
        <v>98.938308797866256</v>
      </c>
      <c r="Y601" s="1">
        <f>IF(IFERROR(MATCH(Tabelle11[[#Headers],[Julius_P]],Spielauswertung!$B589:$E589,0),0)=0,Y600,INDEX(Spielauswertung!$AB589:$AE589,MATCH(Tabelle11[[#Headers],[Julius_P]],Spielauswertung!$B589:$E589,0))+Y600)</f>
        <v>96.540305101873642</v>
      </c>
      <c r="Z601" s="1">
        <f>IF(IFERROR(MATCH(Tabelle11[[#Headers],[Louis_W]],Spielauswertung!$B589:$E589,0),0)=0,Z600,INDEX(Spielauswertung!$AB589:$AE589,MATCH(Tabelle11[[#Headers],[Louis_W]],Spielauswertung!$B589:$E589,0))+Z600)</f>
        <v>87.497452285475362</v>
      </c>
      <c r="AA601" s="1">
        <f>IF(IFERROR(MATCH(Tabelle11[[#Headers],[Lukas_L]],Spielauswertung!$B589:$E589,0),0)=0,AA600,INDEX(Spielauswertung!$AB589:$AE589,MATCH(Tabelle11[[#Headers],[Lukas_L]],Spielauswertung!$B589:$E589,0))+AA600)</f>
        <v>98.447931341404143</v>
      </c>
      <c r="AB601" s="1">
        <f>IF(IFERROR(MATCH(Tabelle11[[#Headers],[Marcin_S]],Spielauswertung!$B589:$E589,0),0)=0,AB600,INDEX(Spielauswertung!$AB589:$AE589,MATCH(Tabelle11[[#Headers],[Marcin_S]],Spielauswertung!$B589:$E589,0))+AB600)</f>
        <v>85.463329105556824</v>
      </c>
      <c r="AC601" s="1">
        <f>IF(IFERROR(MATCH(Tabelle11[[#Headers],[Marco_K]],Spielauswertung!$B589:$E589,0),0)=0,AC600,INDEX(Spielauswertung!$AB589:$AE589,MATCH(Tabelle11[[#Headers],[Marco_K]],Spielauswertung!$B589:$E589,0))+AC600)</f>
        <v>102.12169819441469</v>
      </c>
      <c r="AD601" s="1">
        <f>IF(IFERROR(MATCH(Tabelle11[[#Headers],[Marius_M]],Spielauswertung!$B589:$E589,0),0)=0,AD600,INDEX(Spielauswertung!$AB589:$AE589,MATCH(Tabelle11[[#Headers],[Marius_M]],Spielauswertung!$B589:$E589,0))+AD600)</f>
        <v>124.54012374585781</v>
      </c>
      <c r="AE601" s="1">
        <f>IF(IFERROR(MATCH(Tabelle11[[#Headers],[Marvin_W]],Spielauswertung!$B589:$E589,0),0)=0,AE600,INDEX(Spielauswertung!$AB589:$AE589,MATCH(Tabelle11[[#Headers],[Marvin_W]],Spielauswertung!$B589:$E589,0))+AE600)</f>
        <v>96.700266280577438</v>
      </c>
      <c r="AF601" s="1">
        <f>IF(IFERROR(MATCH(Tabelle11[[#Headers],[Matthias_H]],Spielauswertung!$B589:$E589,0),0)=0,AF600,INDEX(Spielauswertung!$AB589:$AE589,MATCH(Tabelle11[[#Headers],[Matthias_H]],Spielauswertung!$B589:$E589,0))+AF600)</f>
        <v>105.42130178599372</v>
      </c>
      <c r="AG601" s="1">
        <f>IF(IFERROR(MATCH(Tabelle11[[#Headers],[Michael_D]],Spielauswertung!$B589:$E589,0),0)=0,AG600,INDEX(Spielauswertung!$AB589:$AE589,MATCH(Tabelle11[[#Headers],[Michael_D]],Spielauswertung!$B589:$E589,0))+AG600)</f>
        <v>96.436276170375336</v>
      </c>
      <c r="AH601" s="1">
        <f>IF(IFERROR(MATCH(Tabelle11[[#Headers],[Patrick_S]],Spielauswertung!$B589:$E589,0),0)=0,AH600,INDEX(Spielauswertung!$AB589:$AE589,MATCH(Tabelle11[[#Headers],[Patrick_S]],Spielauswertung!$B589:$E589,0))+AH600)</f>
        <v>98.975330692053802</v>
      </c>
      <c r="AI601" s="1">
        <f>IF(IFERROR(MATCH(Tabelle11[[#Headers],[Rano_M]],Spielauswertung!$B589:$E589,0),0)=0,AI600,INDEX(Spielauswertung!$AB589:$AE589,MATCH(Tabelle11[[#Headers],[Rano_M]],Spielauswertung!$B589:$E589,0))+AI600)</f>
        <v>109.38890657420265</v>
      </c>
      <c r="AJ601" s="1">
        <f>IF(IFERROR(MATCH(Tabelle11[[#Headers],[Rene_N]],Spielauswertung!$B589:$E589,0),0)=0,AJ600,INDEX(Spielauswertung!$AB589:$AE589,MATCH(Tabelle11[[#Headers],[Rene_N]],Spielauswertung!$B589:$E589,0))+AJ600)</f>
        <v>101.06482124619033</v>
      </c>
      <c r="AK601" s="1">
        <f>IF(IFERROR(MATCH(Tabelle11[[#Headers],[Rene_P]],Spielauswertung!$B589:$E589,0),0)=0,AK600,INDEX(Spielauswertung!$AB589:$AE589,MATCH(Tabelle11[[#Headers],[Rene_P]],Spielauswertung!$B589:$E589,0))+AK600)</f>
        <v>88.762543186332877</v>
      </c>
      <c r="AL601" s="1">
        <f>IF(IFERROR(MATCH(Tabelle11[[#Headers],[Richard_D]],Spielauswertung!$B589:$E589,0),0)=0,AL600,INDEX(Spielauswertung!$AB589:$AE589,MATCH(Tabelle11[[#Headers],[Richard_D]],Spielauswertung!$B589:$E589,0))+AL600)</f>
        <v>107.23233592026223</v>
      </c>
      <c r="AM601" s="1">
        <f>IF(IFERROR(MATCH(Tabelle11[[#Headers],[Rodrigo_R]],Spielauswertung!$B589:$E589,0),0)=0,AM600,INDEX(Spielauswertung!$AB589:$AE589,MATCH(Tabelle11[[#Headers],[Rodrigo_R]],Spielauswertung!$B589:$E589,0))+AM600)</f>
        <v>116.7028707921346</v>
      </c>
      <c r="AN601" s="1">
        <f>IF(IFERROR(MATCH(Tabelle11[[#Headers],[Sebastian_A]],Spielauswertung!$B589:$E589,0),0)=0,AN600,INDEX(Spielauswertung!$AB589:$AE589,MATCH(Tabelle11[[#Headers],[Sebastian_A]],Spielauswertung!$B589:$E589,0))+AN600)</f>
        <v>102.89457418671324</v>
      </c>
      <c r="AO601" s="1">
        <f>IF(IFERROR(MATCH(Tabelle11[[#Headers],[Sebastian_St]],Spielauswertung!$B589:$E589,0),0)=0,AO600,INDEX(Spielauswertung!$AB589:$AE589,MATCH(Tabelle11[[#Headers],[Sebastian_St]],Spielauswertung!$B589:$E589,0))+AO600)</f>
        <v>97.749574367408982</v>
      </c>
      <c r="AP601" s="1">
        <f>IF(IFERROR(MATCH(Tabelle11[[#Headers],[Simon_U]],Spielauswertung!$B589:$E589,0),0)=0,AP600,INDEX(Spielauswertung!$AB589:$AE589,MATCH(Tabelle11[[#Headers],[Simon_U]],Spielauswertung!$B589:$E589,0))+AP600)</f>
        <v>99.623054841470903</v>
      </c>
      <c r="AQ601" s="1">
        <f>IF(IFERROR(MATCH(Tabelle11[[#Headers],[Steffen_R]],Spielauswertung!$B589:$E589,0),0)=0,AQ600,INDEX(Spielauswertung!$AB589:$AE589,MATCH(Tabelle11[[#Headers],[Steffen_R]],Spielauswertung!$B589:$E589,0))+AQ600)</f>
        <v>93.247497067190949</v>
      </c>
      <c r="AR601" s="1">
        <f>IF(IFERROR(MATCH(Tabelle11[[#Headers],[Tim_R]],Spielauswertung!$B589:$E589,0),0)=0,AR600,INDEX(Spielauswertung!$AB589:$AE589,MATCH(Tabelle11[[#Headers],[Tim_R]],Spielauswertung!$B589:$E589,0))+AR600)</f>
        <v>103.07503787023374</v>
      </c>
      <c r="AS601" s="1">
        <f>IF(IFERROR(MATCH(Tabelle11[[#Headers],[Tobias_S]],Spielauswertung!$B589:$E589,0),0)=0,AS600,INDEX(Spielauswertung!$AB589:$AE589,MATCH(Tabelle11[[#Headers],[Tobias_S]],Spielauswertung!$B589:$E589,0))+AS600)</f>
        <v>98.6003422659997</v>
      </c>
      <c r="AT601" s="1">
        <f>IF(IFERROR(MATCH(Tabelle11[[#Headers],[Tom_R]],Spielauswertung!$B589:$E589,0),0)=0,AT600,INDEX(Spielauswertung!$AB589:$AE589,MATCH(Tabelle11[[#Headers],[Tom_R]],Spielauswertung!$B589:$E589,0))+AT600)</f>
        <v>112.62344492949197</v>
      </c>
      <c r="AU601" s="1">
        <f>IF(IFERROR(MATCH(Tabelle11[[#Headers],[Ton_L]],Spielauswertung!$B589:$E589,0),0)=0,AU600,INDEX(Spielauswertung!$AB589:$AE589,MATCH(Tabelle11[[#Headers],[Ton_L]],Spielauswertung!$B589:$E589,0))+AU600)</f>
        <v>92.683083360025861</v>
      </c>
      <c r="AV601" s="1">
        <f>IF(IFERROR(MATCH(Tabelle11[[#Headers],[Yixin_G]],Spielauswertung!$B589:$E589,0),0)=0,AV600,INDEX(Spielauswertung!$AB589:$AE589,MATCH(Tabelle11[[#Headers],[Yixin_G]],Spielauswertung!$B589:$E589,0))+AV600)</f>
        <v>99.900323214082661</v>
      </c>
      <c r="AW601" s="1">
        <f>IF(IFERROR(MATCH(Tabelle11[[#Headers],[Spalte36]],Spielauswertung!$B589:$E589,0),0)=0,AW600,INDEX(Spielauswertung!$AB589:$AE589,MATCH(Tabelle11[[#Headers],[Spalte36]],Spielauswertung!$B589:$E589,0))+AW600)</f>
        <v>100</v>
      </c>
      <c r="AX601" s="1">
        <f>IF(IFERROR(MATCH(Tabelle11[[#Headers],[Spalte37]],Spielauswertung!$B589:$E589,0),0)=0,AX600,INDEX(Spielauswertung!$AB589:$AE589,MATCH(Tabelle11[[#Headers],[Spalte37]],Spielauswertung!$B589:$E589,0))+AX600)</f>
        <v>100</v>
      </c>
      <c r="AY601" s="1">
        <f>IF(IFERROR(MATCH(Tabelle11[[#Headers],[Spalte38]],Spielauswertung!$B589:$E589,0),0)=0,AY600,INDEX(Spielauswertung!$AB589:$AE589,MATCH(Tabelle11[[#Headers],[Spalte38]],Spielauswertung!$B589:$E589,0))+AY600)</f>
        <v>100</v>
      </c>
      <c r="AZ601" s="1">
        <f>IF(IFERROR(MATCH(Tabelle11[[#Headers],[Spalte39]],Spielauswertung!$B589:$E589,0),0)=0,AZ600,INDEX(Spielauswertung!$AB589:$AE589,MATCH(Tabelle11[[#Headers],[Spalte39]],Spielauswertung!$B589:$E589,0))+AZ600)</f>
        <v>100</v>
      </c>
      <c r="BA601" s="1">
        <f>IF(IFERROR(MATCH(Tabelle11[[#Headers],[Spalte40]],Spielauswertung!$B589:$E589,0),0)=0,BA600,INDEX(Spielauswertung!$AB589:$AE589,MATCH(Tabelle11[[#Headers],[Spalte40]],Spielauswertung!$B589:$E589,0))+BA600)</f>
        <v>100</v>
      </c>
      <c r="BB601" s="1">
        <f>IF(IFERROR(MATCH(Tabelle11[[#Headers],[Spalte41]],Spielauswertung!$B589:$E589,0),0)=0,BB600,INDEX(Spielauswertung!$AB589:$AE589,MATCH(Tabelle11[[#Headers],[Spalte41]],Spielauswertung!$B589:$E589,0))+BB600)</f>
        <v>100</v>
      </c>
      <c r="BC601" s="1">
        <f>IF(IFERROR(MATCH(Tabelle11[[#Headers],[Spalte42]],Spielauswertung!$B589:$E589,0),0)=0,BC600,INDEX(Spielauswertung!$AB589:$AE589,MATCH(Tabelle11[[#Headers],[Spalte42]],Spielauswertung!$B589:$E589,0))+BC600)</f>
        <v>100</v>
      </c>
      <c r="BD601" s="1">
        <f>IF(IFERROR(MATCH(Tabelle11[[#Headers],[Spalte43]],Spielauswertung!$B589:$E589,0),0)=0,BD600,INDEX(Spielauswertung!$AB589:$AE589,MATCH(Tabelle11[[#Headers],[Spalte43]],Spielauswertung!$B589:$E589,0))+BD600)</f>
        <v>100</v>
      </c>
      <c r="BE601" s="1">
        <f>IF(IFERROR(MATCH(Tabelle11[[#Headers],[Spalte44]],Spielauswertung!$B589:$E589,0),0)=0,BE600,INDEX(Spielauswertung!$AB589:$AE589,MATCH(Tabelle11[[#Headers],[Spalte44]],Spielauswertung!$B589:$E589,0))+BE600)</f>
        <v>100</v>
      </c>
      <c r="BF601" s="1">
        <f>IF(IFERROR(MATCH(Tabelle11[[#Headers],[Spalte45]],Spielauswertung!$B589:$E589,0),0)=0,BF600,INDEX(Spielauswertung!$AB589:$AE589,MATCH(Tabelle11[[#Headers],[Spalte45]],Spielauswertung!$B589:$E589,0))+BF600)</f>
        <v>100</v>
      </c>
      <c r="BG601" s="1">
        <f>IF(IFERROR(MATCH(Tabelle11[[#Headers],[Spalte46]],Spielauswertung!$B589:$E589,0),0)=0,BG600,INDEX(Spielauswertung!$AB589:$AE589,MATCH(Tabelle11[[#Headers],[Spalte46]],Spielauswertung!$B589:$E589,0))+BG600)</f>
        <v>100</v>
      </c>
      <c r="BH601" s="1">
        <f>IF(IFERROR(MATCH(Tabelle11[[#Headers],[Spalte47]],Spielauswertung!$B589:$E589,0),0)=0,BH600,INDEX(Spielauswertung!$AB589:$AE589,MATCH(Tabelle11[[#Headers],[Spalte47]],Spielauswertung!$B589:$E589,0))+BH600)</f>
        <v>100</v>
      </c>
    </row>
    <row r="602" spans="1:60" x14ac:dyDescent="0.25">
      <c r="A602">
        <f t="shared" si="10"/>
        <v>589</v>
      </c>
      <c r="B602" s="1">
        <f>IF(IFERROR(MATCH(Tabelle11[[#Headers],[Aleix_V]],Spielauswertung!$B590:$E590,0),0)=0,B601,INDEX(Spielauswertung!$AB590:$AE590,MATCH(Tabelle11[[#Headers],[Aleix_V]],Spielauswertung!$B590:$E590,0))+B601)</f>
        <v>102.47318019444646</v>
      </c>
      <c r="C602" s="1">
        <f>IF(IFERROR(MATCH(Tabelle11[[#Headers],[Andres_H]],Spielauswertung!$B590:$E590,0),0)=0,C601,INDEX(Spielauswertung!$AB590:$AE590,MATCH(Tabelle11[[#Headers],[Andres_H]],Spielauswertung!$B590:$E590,0))+C601)</f>
        <v>95.535732339111306</v>
      </c>
      <c r="D602" s="1">
        <f>IF(IFERROR(MATCH(Tabelle11[[#Headers],[Anton_K]],Spielauswertung!$B590:$E590,0),0)=0,D601,INDEX(Spielauswertung!$AB590:$AE590,MATCH(Tabelle11[[#Headers],[Anton_K]],Spielauswertung!$B590:$E590,0))+D601)</f>
        <v>99.287728777054667</v>
      </c>
      <c r="E602" s="1">
        <f>IF(IFERROR(MATCH(Tabelle11[[#Headers],[Bastian_G]],Spielauswertung!$B590:$E590,0),0)=0,E601,INDEX(Spielauswertung!$AB590:$AE590,MATCH(Tabelle11[[#Headers],[Bastian_G]],Spielauswertung!$B590:$E590,0))+E601)</f>
        <v>117.49978695184252</v>
      </c>
      <c r="F602" s="1">
        <f>IF(IFERROR(MATCH(Tabelle11[[#Headers],[Ben_S]],Spielauswertung!$B590:$E590,0),0)=0,F601,INDEX(Spielauswertung!$AB590:$AE590,MATCH(Tabelle11[[#Headers],[Ben_S]],Spielauswertung!$B590:$E590,0))+F601)</f>
        <v>95.932799101521084</v>
      </c>
      <c r="G602" s="1">
        <f>IF(IFERROR(MATCH(Tabelle11[[#Headers],[Benedikt_K]],Spielauswertung!$B590:$E590,0),0)=0,G601,INDEX(Spielauswertung!$AB590:$AE590,MATCH(Tabelle11[[#Headers],[Benedikt_K]],Spielauswertung!$B590:$E590,0))+G601)</f>
        <v>101.20264176422626</v>
      </c>
      <c r="H602" s="1">
        <f>IF(IFERROR(MATCH(Tabelle11[[#Headers],[Benedikt_R]],Spielauswertung!$B590:$E590,0),0)=0,H601,INDEX(Spielauswertung!$AB590:$AE590,MATCH(Tabelle11[[#Headers],[Benedikt_R]],Spielauswertung!$B590:$E590,0))+H601)</f>
        <v>102.6264770510757</v>
      </c>
      <c r="I602" s="1">
        <f>IF(IFERROR(MATCH(Tabelle11[[#Headers],[Carsten_H]],Spielauswertung!$B590:$E590,0),0)=0,I601,INDEX(Spielauswertung!$AB590:$AE590,MATCH(Tabelle11[[#Headers],[Carsten_H]],Spielauswertung!$B590:$E590,0))+I601)</f>
        <v>90.817185094326874</v>
      </c>
      <c r="J602" s="1">
        <f>IF(IFERROR(MATCH(Tabelle11[[#Headers],[Christoph_R]],Spielauswertung!$B590:$E590,0),0)=0,J601,INDEX(Spielauswertung!$AB590:$AE590,MATCH(Tabelle11[[#Headers],[Christoph_R]],Spielauswertung!$B590:$E590,0))+J601)</f>
        <v>109.73261611443155</v>
      </c>
      <c r="K602" s="1">
        <f>IF(IFERROR(MATCH(Tabelle11[[#Headers],[Claudius_J]],Spielauswertung!$B590:$E590,0),0)=0,K601,INDEX(Spielauswertung!$AB590:$AE590,MATCH(Tabelle11[[#Headers],[Claudius_J]],Spielauswertung!$B590:$E590,0))+K601)</f>
        <v>106.16590636000029</v>
      </c>
      <c r="L602" s="1">
        <f>IF(IFERROR(MATCH(Tabelle11[[#Headers],[Daniel_D]],Spielauswertung!$B590:$E590,0),0)=0,L601,INDEX(Spielauswertung!$AB590:$AE590,MATCH(Tabelle11[[#Headers],[Daniel_D]],Spielauswertung!$B590:$E590,0))+L601)</f>
        <v>99.990299180470089</v>
      </c>
      <c r="M602" s="1">
        <f>IF(IFERROR(MATCH(Tabelle11[[#Headers],[David_R]],Spielauswertung!$B590:$E590,0),0)=0,M601,INDEX(Spielauswertung!$AB590:$AE590,MATCH(Tabelle11[[#Headers],[David_R]],Spielauswertung!$B590:$E590,0))+M601)</f>
        <v>96.715943522481638</v>
      </c>
      <c r="N602" s="1">
        <f>IF(IFERROR(MATCH(Tabelle11[[#Headers],[Dennis_P]],Spielauswertung!$B590:$E590,0),0)=0,N601,INDEX(Spielauswertung!$AB590:$AE590,MATCH(Tabelle11[[#Headers],[Dennis_P]],Spielauswertung!$B590:$E590,0))+N601)</f>
        <v>100.04773223105254</v>
      </c>
      <c r="O602" s="1">
        <f>IF(IFERROR(MATCH(Tabelle11[[#Headers],[Dennis_R]],Spielauswertung!$B590:$E590,0),0)=0,O601,INDEX(Spielauswertung!$AB590:$AE590,MATCH(Tabelle11[[#Headers],[Dennis_R]],Spielauswertung!$B590:$E590,0))+O601)</f>
        <v>75.131680864937195</v>
      </c>
      <c r="P602" s="1">
        <f>IF(IFERROR(MATCH(Tabelle11[[#Headers],[Detlef_R]],Spielauswertung!$B590:$E590,0),0)=0,P601,INDEX(Spielauswertung!$AB590:$AE590,MATCH(Tabelle11[[#Headers],[Detlef_R]],Spielauswertung!$B590:$E590,0))+P601)</f>
        <v>87.984671797367014</v>
      </c>
      <c r="Q602" s="1">
        <f>IF(IFERROR(MATCH(Tabelle11[[#Headers],[Dmitrij_M]],Spielauswertung!$B590:$E590,0),0)=0,Q601,INDEX(Spielauswertung!$AB590:$AE590,MATCH(Tabelle11[[#Headers],[Dmitrij_M]],Spielauswertung!$B590:$E590,0))+Q601)</f>
        <v>100.69975721846207</v>
      </c>
      <c r="R602" s="1">
        <f>IF(IFERROR(MATCH(Tabelle11[[#Headers],[Fabian_M]],Spielauswertung!$B590:$E590,0),0)=0,R601,INDEX(Spielauswertung!$AB590:$AE590,MATCH(Tabelle11[[#Headers],[Fabian_M]],Spielauswertung!$B590:$E590,0))+R601)</f>
        <v>95.805387841610738</v>
      </c>
      <c r="S602" s="1">
        <f>IF(IFERROR(MATCH(Tabelle11[[#Headers],[Hannes_S]],Spielauswertung!$B590:$E590,0),0)=0,S601,INDEX(Spielauswertung!$AB590:$AE590,MATCH(Tabelle11[[#Headers],[Hannes_S]],Spielauswertung!$B590:$E590,0))+S601)</f>
        <v>104.83899184012799</v>
      </c>
      <c r="T602" s="1">
        <f>IF(IFERROR(MATCH(Tabelle11[[#Headers],[Jan_B]],Spielauswertung!$B590:$E590,0),0)=0,T601,INDEX(Spielauswertung!$AB590:$AE590,MATCH(Tabelle11[[#Headers],[Jan_B]],Spielauswertung!$B590:$E590,0))+T601)</f>
        <v>100.2794420429173</v>
      </c>
      <c r="U602" s="1">
        <f>IF(IFERROR(MATCH(Tabelle11[[#Headers],[Jan_Hendrik_B]],Spielauswertung!$B590:$E590,0),0)=0,U601,INDEX(Spielauswertung!$AB590:$AE590,MATCH(Tabelle11[[#Headers],[Jan_Hendrik_B]],Spielauswertung!$B590:$E590,0))+U601)</f>
        <v>100.75492416935522</v>
      </c>
      <c r="V602" s="1">
        <f>IF(IFERROR(MATCH(Tabelle11[[#Headers],[Jens_N]],Spielauswertung!$B590:$E590,0),0)=0,V601,INDEX(Spielauswertung!$AB590:$AE590,MATCH(Tabelle11[[#Headers],[Jens_N]],Spielauswertung!$B590:$E590,0))+V601)</f>
        <v>99.643534710196832</v>
      </c>
      <c r="W602" s="1">
        <f>IF(IFERROR(MATCH(Tabelle11[[#Headers],[Johannes_S]],Spielauswertung!$B590:$E590,0),0)=0,W601,INDEX(Spielauswertung!$AB590:$AE590,MATCH(Tabelle11[[#Headers],[Johannes_S]],Spielauswertung!$B590:$E590,0))+W601)</f>
        <v>102.20284750979505</v>
      </c>
      <c r="X602" s="1">
        <f>IF(IFERROR(MATCH(Tabelle11[[#Headers],[Jonathan_F]],Spielauswertung!$B590:$E590,0),0)=0,X601,INDEX(Spielauswertung!$AB590:$AE590,MATCH(Tabelle11[[#Headers],[Jonathan_F]],Spielauswertung!$B590:$E590,0))+X601)</f>
        <v>98.938308797866256</v>
      </c>
      <c r="Y602" s="1">
        <f>IF(IFERROR(MATCH(Tabelle11[[#Headers],[Julius_P]],Spielauswertung!$B590:$E590,0),0)=0,Y601,INDEX(Spielauswertung!$AB590:$AE590,MATCH(Tabelle11[[#Headers],[Julius_P]],Spielauswertung!$B590:$E590,0))+Y601)</f>
        <v>96.540305101873642</v>
      </c>
      <c r="Z602" s="1">
        <f>IF(IFERROR(MATCH(Tabelle11[[#Headers],[Louis_W]],Spielauswertung!$B590:$E590,0),0)=0,Z601,INDEX(Spielauswertung!$AB590:$AE590,MATCH(Tabelle11[[#Headers],[Louis_W]],Spielauswertung!$B590:$E590,0))+Z601)</f>
        <v>87.497452285475362</v>
      </c>
      <c r="AA602" s="1">
        <f>IF(IFERROR(MATCH(Tabelle11[[#Headers],[Lukas_L]],Spielauswertung!$B590:$E590,0),0)=0,AA601,INDEX(Spielauswertung!$AB590:$AE590,MATCH(Tabelle11[[#Headers],[Lukas_L]],Spielauswertung!$B590:$E590,0))+AA601)</f>
        <v>98.447931341404143</v>
      </c>
      <c r="AB602" s="1">
        <f>IF(IFERROR(MATCH(Tabelle11[[#Headers],[Marcin_S]],Spielauswertung!$B590:$E590,0),0)=0,AB601,INDEX(Spielauswertung!$AB590:$AE590,MATCH(Tabelle11[[#Headers],[Marcin_S]],Spielauswertung!$B590:$E590,0))+AB601)</f>
        <v>85.463329105556824</v>
      </c>
      <c r="AC602" s="1">
        <f>IF(IFERROR(MATCH(Tabelle11[[#Headers],[Marco_K]],Spielauswertung!$B590:$E590,0),0)=0,AC601,INDEX(Spielauswertung!$AB590:$AE590,MATCH(Tabelle11[[#Headers],[Marco_K]],Spielauswertung!$B590:$E590,0))+AC601)</f>
        <v>102.12169819441469</v>
      </c>
      <c r="AD602" s="1">
        <f>IF(IFERROR(MATCH(Tabelle11[[#Headers],[Marius_M]],Spielauswertung!$B590:$E590,0),0)=0,AD601,INDEX(Spielauswertung!$AB590:$AE590,MATCH(Tabelle11[[#Headers],[Marius_M]],Spielauswertung!$B590:$E590,0))+AD601)</f>
        <v>124.54012374585781</v>
      </c>
      <c r="AE602" s="1">
        <f>IF(IFERROR(MATCH(Tabelle11[[#Headers],[Marvin_W]],Spielauswertung!$B590:$E590,0),0)=0,AE601,INDEX(Spielauswertung!$AB590:$AE590,MATCH(Tabelle11[[#Headers],[Marvin_W]],Spielauswertung!$B590:$E590,0))+AE601)</f>
        <v>96.700266280577438</v>
      </c>
      <c r="AF602" s="1">
        <f>IF(IFERROR(MATCH(Tabelle11[[#Headers],[Matthias_H]],Spielauswertung!$B590:$E590,0),0)=0,AF601,INDEX(Spielauswertung!$AB590:$AE590,MATCH(Tabelle11[[#Headers],[Matthias_H]],Spielauswertung!$B590:$E590,0))+AF601)</f>
        <v>105.42130178599372</v>
      </c>
      <c r="AG602" s="1">
        <f>IF(IFERROR(MATCH(Tabelle11[[#Headers],[Michael_D]],Spielauswertung!$B590:$E590,0),0)=0,AG601,INDEX(Spielauswertung!$AB590:$AE590,MATCH(Tabelle11[[#Headers],[Michael_D]],Spielauswertung!$B590:$E590,0))+AG601)</f>
        <v>96.436276170375336</v>
      </c>
      <c r="AH602" s="1">
        <f>IF(IFERROR(MATCH(Tabelle11[[#Headers],[Patrick_S]],Spielauswertung!$B590:$E590,0),0)=0,AH601,INDEX(Spielauswertung!$AB590:$AE590,MATCH(Tabelle11[[#Headers],[Patrick_S]],Spielauswertung!$B590:$E590,0))+AH601)</f>
        <v>98.975330692053802</v>
      </c>
      <c r="AI602" s="1">
        <f>IF(IFERROR(MATCH(Tabelle11[[#Headers],[Rano_M]],Spielauswertung!$B590:$E590,0),0)=0,AI601,INDEX(Spielauswertung!$AB590:$AE590,MATCH(Tabelle11[[#Headers],[Rano_M]],Spielauswertung!$B590:$E590,0))+AI601)</f>
        <v>109.38890657420265</v>
      </c>
      <c r="AJ602" s="1">
        <f>IF(IFERROR(MATCH(Tabelle11[[#Headers],[Rene_N]],Spielauswertung!$B590:$E590,0),0)=0,AJ601,INDEX(Spielauswertung!$AB590:$AE590,MATCH(Tabelle11[[#Headers],[Rene_N]],Spielauswertung!$B590:$E590,0))+AJ601)</f>
        <v>101.06482124619033</v>
      </c>
      <c r="AK602" s="1">
        <f>IF(IFERROR(MATCH(Tabelle11[[#Headers],[Rene_P]],Spielauswertung!$B590:$E590,0),0)=0,AK601,INDEX(Spielauswertung!$AB590:$AE590,MATCH(Tabelle11[[#Headers],[Rene_P]],Spielauswertung!$B590:$E590,0))+AK601)</f>
        <v>88.762543186332877</v>
      </c>
      <c r="AL602" s="1">
        <f>IF(IFERROR(MATCH(Tabelle11[[#Headers],[Richard_D]],Spielauswertung!$B590:$E590,0),0)=0,AL601,INDEX(Spielauswertung!$AB590:$AE590,MATCH(Tabelle11[[#Headers],[Richard_D]],Spielauswertung!$B590:$E590,0))+AL601)</f>
        <v>107.23233592026223</v>
      </c>
      <c r="AM602" s="1">
        <f>IF(IFERROR(MATCH(Tabelle11[[#Headers],[Rodrigo_R]],Spielauswertung!$B590:$E590,0),0)=0,AM601,INDEX(Spielauswertung!$AB590:$AE590,MATCH(Tabelle11[[#Headers],[Rodrigo_R]],Spielauswertung!$B590:$E590,0))+AM601)</f>
        <v>116.7028707921346</v>
      </c>
      <c r="AN602" s="1">
        <f>IF(IFERROR(MATCH(Tabelle11[[#Headers],[Sebastian_A]],Spielauswertung!$B590:$E590,0),0)=0,AN601,INDEX(Spielauswertung!$AB590:$AE590,MATCH(Tabelle11[[#Headers],[Sebastian_A]],Spielauswertung!$B590:$E590,0))+AN601)</f>
        <v>102.89457418671324</v>
      </c>
      <c r="AO602" s="1">
        <f>IF(IFERROR(MATCH(Tabelle11[[#Headers],[Sebastian_St]],Spielauswertung!$B590:$E590,0),0)=0,AO601,INDEX(Spielauswertung!$AB590:$AE590,MATCH(Tabelle11[[#Headers],[Sebastian_St]],Spielauswertung!$B590:$E590,0))+AO601)</f>
        <v>97.749574367408982</v>
      </c>
      <c r="AP602" s="1">
        <f>IF(IFERROR(MATCH(Tabelle11[[#Headers],[Simon_U]],Spielauswertung!$B590:$E590,0),0)=0,AP601,INDEX(Spielauswertung!$AB590:$AE590,MATCH(Tabelle11[[#Headers],[Simon_U]],Spielauswertung!$B590:$E590,0))+AP601)</f>
        <v>99.623054841470903</v>
      </c>
      <c r="AQ602" s="1">
        <f>IF(IFERROR(MATCH(Tabelle11[[#Headers],[Steffen_R]],Spielauswertung!$B590:$E590,0),0)=0,AQ601,INDEX(Spielauswertung!$AB590:$AE590,MATCH(Tabelle11[[#Headers],[Steffen_R]],Spielauswertung!$B590:$E590,0))+AQ601)</f>
        <v>93.247497067190949</v>
      </c>
      <c r="AR602" s="1">
        <f>IF(IFERROR(MATCH(Tabelle11[[#Headers],[Tim_R]],Spielauswertung!$B590:$E590,0),0)=0,AR601,INDEX(Spielauswertung!$AB590:$AE590,MATCH(Tabelle11[[#Headers],[Tim_R]],Spielauswertung!$B590:$E590,0))+AR601)</f>
        <v>103.07503787023374</v>
      </c>
      <c r="AS602" s="1">
        <f>IF(IFERROR(MATCH(Tabelle11[[#Headers],[Tobias_S]],Spielauswertung!$B590:$E590,0),0)=0,AS601,INDEX(Spielauswertung!$AB590:$AE590,MATCH(Tabelle11[[#Headers],[Tobias_S]],Spielauswertung!$B590:$E590,0))+AS601)</f>
        <v>98.6003422659997</v>
      </c>
      <c r="AT602" s="1">
        <f>IF(IFERROR(MATCH(Tabelle11[[#Headers],[Tom_R]],Spielauswertung!$B590:$E590,0),0)=0,AT601,INDEX(Spielauswertung!$AB590:$AE590,MATCH(Tabelle11[[#Headers],[Tom_R]],Spielauswertung!$B590:$E590,0))+AT601)</f>
        <v>112.62344492949197</v>
      </c>
      <c r="AU602" s="1">
        <f>IF(IFERROR(MATCH(Tabelle11[[#Headers],[Ton_L]],Spielauswertung!$B590:$E590,0),0)=0,AU601,INDEX(Spielauswertung!$AB590:$AE590,MATCH(Tabelle11[[#Headers],[Ton_L]],Spielauswertung!$B590:$E590,0))+AU601)</f>
        <v>92.683083360025861</v>
      </c>
      <c r="AV602" s="1">
        <f>IF(IFERROR(MATCH(Tabelle11[[#Headers],[Yixin_G]],Spielauswertung!$B590:$E590,0),0)=0,AV601,INDEX(Spielauswertung!$AB590:$AE590,MATCH(Tabelle11[[#Headers],[Yixin_G]],Spielauswertung!$B590:$E590,0))+AV601)</f>
        <v>99.900323214082661</v>
      </c>
      <c r="AW602" s="1">
        <f>IF(IFERROR(MATCH(Tabelle11[[#Headers],[Spalte36]],Spielauswertung!$B590:$E590,0),0)=0,AW601,INDEX(Spielauswertung!$AB590:$AE590,MATCH(Tabelle11[[#Headers],[Spalte36]],Spielauswertung!$B590:$E590,0))+AW601)</f>
        <v>100</v>
      </c>
      <c r="AX602" s="1">
        <f>IF(IFERROR(MATCH(Tabelle11[[#Headers],[Spalte37]],Spielauswertung!$B590:$E590,0),0)=0,AX601,INDEX(Spielauswertung!$AB590:$AE590,MATCH(Tabelle11[[#Headers],[Spalte37]],Spielauswertung!$B590:$E590,0))+AX601)</f>
        <v>100</v>
      </c>
      <c r="AY602" s="1">
        <f>IF(IFERROR(MATCH(Tabelle11[[#Headers],[Spalte38]],Spielauswertung!$B590:$E590,0),0)=0,AY601,INDEX(Spielauswertung!$AB590:$AE590,MATCH(Tabelle11[[#Headers],[Spalte38]],Spielauswertung!$B590:$E590,0))+AY601)</f>
        <v>100</v>
      </c>
      <c r="AZ602" s="1">
        <f>IF(IFERROR(MATCH(Tabelle11[[#Headers],[Spalte39]],Spielauswertung!$B590:$E590,0),0)=0,AZ601,INDEX(Spielauswertung!$AB590:$AE590,MATCH(Tabelle11[[#Headers],[Spalte39]],Spielauswertung!$B590:$E590,0))+AZ601)</f>
        <v>100</v>
      </c>
      <c r="BA602" s="1">
        <f>IF(IFERROR(MATCH(Tabelle11[[#Headers],[Spalte40]],Spielauswertung!$B590:$E590,0),0)=0,BA601,INDEX(Spielauswertung!$AB590:$AE590,MATCH(Tabelle11[[#Headers],[Spalte40]],Spielauswertung!$B590:$E590,0))+BA601)</f>
        <v>100</v>
      </c>
      <c r="BB602" s="1">
        <f>IF(IFERROR(MATCH(Tabelle11[[#Headers],[Spalte41]],Spielauswertung!$B590:$E590,0),0)=0,BB601,INDEX(Spielauswertung!$AB590:$AE590,MATCH(Tabelle11[[#Headers],[Spalte41]],Spielauswertung!$B590:$E590,0))+BB601)</f>
        <v>100</v>
      </c>
      <c r="BC602" s="1">
        <f>IF(IFERROR(MATCH(Tabelle11[[#Headers],[Spalte42]],Spielauswertung!$B590:$E590,0),0)=0,BC601,INDEX(Spielauswertung!$AB590:$AE590,MATCH(Tabelle11[[#Headers],[Spalte42]],Spielauswertung!$B590:$E590,0))+BC601)</f>
        <v>100</v>
      </c>
      <c r="BD602" s="1">
        <f>IF(IFERROR(MATCH(Tabelle11[[#Headers],[Spalte43]],Spielauswertung!$B590:$E590,0),0)=0,BD601,INDEX(Spielauswertung!$AB590:$AE590,MATCH(Tabelle11[[#Headers],[Spalte43]],Spielauswertung!$B590:$E590,0))+BD601)</f>
        <v>100</v>
      </c>
      <c r="BE602" s="1">
        <f>IF(IFERROR(MATCH(Tabelle11[[#Headers],[Spalte44]],Spielauswertung!$B590:$E590,0),0)=0,BE601,INDEX(Spielauswertung!$AB590:$AE590,MATCH(Tabelle11[[#Headers],[Spalte44]],Spielauswertung!$B590:$E590,0))+BE601)</f>
        <v>100</v>
      </c>
      <c r="BF602" s="1">
        <f>IF(IFERROR(MATCH(Tabelle11[[#Headers],[Spalte45]],Spielauswertung!$B590:$E590,0),0)=0,BF601,INDEX(Spielauswertung!$AB590:$AE590,MATCH(Tabelle11[[#Headers],[Spalte45]],Spielauswertung!$B590:$E590,0))+BF601)</f>
        <v>100</v>
      </c>
      <c r="BG602" s="1">
        <f>IF(IFERROR(MATCH(Tabelle11[[#Headers],[Spalte46]],Spielauswertung!$B590:$E590,0),0)=0,BG601,INDEX(Spielauswertung!$AB590:$AE590,MATCH(Tabelle11[[#Headers],[Spalte46]],Spielauswertung!$B590:$E590,0))+BG601)</f>
        <v>100</v>
      </c>
      <c r="BH602" s="1">
        <f>IF(IFERROR(MATCH(Tabelle11[[#Headers],[Spalte47]],Spielauswertung!$B590:$E590,0),0)=0,BH601,INDEX(Spielauswertung!$AB590:$AE590,MATCH(Tabelle11[[#Headers],[Spalte47]],Spielauswertung!$B590:$E590,0))+BH601)</f>
        <v>100</v>
      </c>
    </row>
    <row r="603" spans="1:60" x14ac:dyDescent="0.25">
      <c r="A603">
        <f t="shared" si="10"/>
        <v>590</v>
      </c>
      <c r="B603" s="1">
        <f>IF(IFERROR(MATCH(Tabelle11[[#Headers],[Aleix_V]],Spielauswertung!$B591:$E591,0),0)=0,B602,INDEX(Spielauswertung!$AB591:$AE591,MATCH(Tabelle11[[#Headers],[Aleix_V]],Spielauswertung!$B591:$E591,0))+B602)</f>
        <v>102.47318019444646</v>
      </c>
      <c r="C603" s="1">
        <f>IF(IFERROR(MATCH(Tabelle11[[#Headers],[Andres_H]],Spielauswertung!$B591:$E591,0),0)=0,C602,INDEX(Spielauswertung!$AB591:$AE591,MATCH(Tabelle11[[#Headers],[Andres_H]],Spielauswertung!$B591:$E591,0))+C602)</f>
        <v>95.535732339111306</v>
      </c>
      <c r="D603" s="1">
        <f>IF(IFERROR(MATCH(Tabelle11[[#Headers],[Anton_K]],Spielauswertung!$B591:$E591,0),0)=0,D602,INDEX(Spielauswertung!$AB591:$AE591,MATCH(Tabelle11[[#Headers],[Anton_K]],Spielauswertung!$B591:$E591,0))+D602)</f>
        <v>99.287728777054667</v>
      </c>
      <c r="E603" s="1">
        <f>IF(IFERROR(MATCH(Tabelle11[[#Headers],[Bastian_G]],Spielauswertung!$B591:$E591,0),0)=0,E602,INDEX(Spielauswertung!$AB591:$AE591,MATCH(Tabelle11[[#Headers],[Bastian_G]],Spielauswertung!$B591:$E591,0))+E602)</f>
        <v>117.49978695184252</v>
      </c>
      <c r="F603" s="1">
        <f>IF(IFERROR(MATCH(Tabelle11[[#Headers],[Ben_S]],Spielauswertung!$B591:$E591,0),0)=0,F602,INDEX(Spielauswertung!$AB591:$AE591,MATCH(Tabelle11[[#Headers],[Ben_S]],Spielauswertung!$B591:$E591,0))+F602)</f>
        <v>95.932799101521084</v>
      </c>
      <c r="G603" s="1">
        <f>IF(IFERROR(MATCH(Tabelle11[[#Headers],[Benedikt_K]],Spielauswertung!$B591:$E591,0),0)=0,G602,INDEX(Spielauswertung!$AB591:$AE591,MATCH(Tabelle11[[#Headers],[Benedikt_K]],Spielauswertung!$B591:$E591,0))+G602)</f>
        <v>101.20264176422626</v>
      </c>
      <c r="H603" s="1">
        <f>IF(IFERROR(MATCH(Tabelle11[[#Headers],[Benedikt_R]],Spielauswertung!$B591:$E591,0),0)=0,H602,INDEX(Spielauswertung!$AB591:$AE591,MATCH(Tabelle11[[#Headers],[Benedikt_R]],Spielauswertung!$B591:$E591,0))+H602)</f>
        <v>102.6264770510757</v>
      </c>
      <c r="I603" s="1">
        <f>IF(IFERROR(MATCH(Tabelle11[[#Headers],[Carsten_H]],Spielauswertung!$B591:$E591,0),0)=0,I602,INDEX(Spielauswertung!$AB591:$AE591,MATCH(Tabelle11[[#Headers],[Carsten_H]],Spielauswertung!$B591:$E591,0))+I602)</f>
        <v>90.817185094326874</v>
      </c>
      <c r="J603" s="1">
        <f>IF(IFERROR(MATCH(Tabelle11[[#Headers],[Christoph_R]],Spielauswertung!$B591:$E591,0),0)=0,J602,INDEX(Spielauswertung!$AB591:$AE591,MATCH(Tabelle11[[#Headers],[Christoph_R]],Spielauswertung!$B591:$E591,0))+J602)</f>
        <v>109.73261611443155</v>
      </c>
      <c r="K603" s="1">
        <f>IF(IFERROR(MATCH(Tabelle11[[#Headers],[Claudius_J]],Spielauswertung!$B591:$E591,0),0)=0,K602,INDEX(Spielauswertung!$AB591:$AE591,MATCH(Tabelle11[[#Headers],[Claudius_J]],Spielauswertung!$B591:$E591,0))+K602)</f>
        <v>106.16590636000029</v>
      </c>
      <c r="L603" s="1">
        <f>IF(IFERROR(MATCH(Tabelle11[[#Headers],[Daniel_D]],Spielauswertung!$B591:$E591,0),0)=0,L602,INDEX(Spielauswertung!$AB591:$AE591,MATCH(Tabelle11[[#Headers],[Daniel_D]],Spielauswertung!$B591:$E591,0))+L602)</f>
        <v>99.990299180470089</v>
      </c>
      <c r="M603" s="1">
        <f>IF(IFERROR(MATCH(Tabelle11[[#Headers],[David_R]],Spielauswertung!$B591:$E591,0),0)=0,M602,INDEX(Spielauswertung!$AB591:$AE591,MATCH(Tabelle11[[#Headers],[David_R]],Spielauswertung!$B591:$E591,0))+M602)</f>
        <v>96.715943522481638</v>
      </c>
      <c r="N603" s="1">
        <f>IF(IFERROR(MATCH(Tabelle11[[#Headers],[Dennis_P]],Spielauswertung!$B591:$E591,0),0)=0,N602,INDEX(Spielauswertung!$AB591:$AE591,MATCH(Tabelle11[[#Headers],[Dennis_P]],Spielauswertung!$B591:$E591,0))+N602)</f>
        <v>100.04773223105254</v>
      </c>
      <c r="O603" s="1">
        <f>IF(IFERROR(MATCH(Tabelle11[[#Headers],[Dennis_R]],Spielauswertung!$B591:$E591,0),0)=0,O602,INDEX(Spielauswertung!$AB591:$AE591,MATCH(Tabelle11[[#Headers],[Dennis_R]],Spielauswertung!$B591:$E591,0))+O602)</f>
        <v>75.131680864937195</v>
      </c>
      <c r="P603" s="1">
        <f>IF(IFERROR(MATCH(Tabelle11[[#Headers],[Detlef_R]],Spielauswertung!$B591:$E591,0),0)=0,P602,INDEX(Spielauswertung!$AB591:$AE591,MATCH(Tabelle11[[#Headers],[Detlef_R]],Spielauswertung!$B591:$E591,0))+P602)</f>
        <v>87.984671797367014</v>
      </c>
      <c r="Q603" s="1">
        <f>IF(IFERROR(MATCH(Tabelle11[[#Headers],[Dmitrij_M]],Spielauswertung!$B591:$E591,0),0)=0,Q602,INDEX(Spielauswertung!$AB591:$AE591,MATCH(Tabelle11[[#Headers],[Dmitrij_M]],Spielauswertung!$B591:$E591,0))+Q602)</f>
        <v>100.69975721846207</v>
      </c>
      <c r="R603" s="1">
        <f>IF(IFERROR(MATCH(Tabelle11[[#Headers],[Fabian_M]],Spielauswertung!$B591:$E591,0),0)=0,R602,INDEX(Spielauswertung!$AB591:$AE591,MATCH(Tabelle11[[#Headers],[Fabian_M]],Spielauswertung!$B591:$E591,0))+R602)</f>
        <v>95.805387841610738</v>
      </c>
      <c r="S603" s="1">
        <f>IF(IFERROR(MATCH(Tabelle11[[#Headers],[Hannes_S]],Spielauswertung!$B591:$E591,0),0)=0,S602,INDEX(Spielauswertung!$AB591:$AE591,MATCH(Tabelle11[[#Headers],[Hannes_S]],Spielauswertung!$B591:$E591,0))+S602)</f>
        <v>104.83899184012799</v>
      </c>
      <c r="T603" s="1">
        <f>IF(IFERROR(MATCH(Tabelle11[[#Headers],[Jan_B]],Spielauswertung!$B591:$E591,0),0)=0,T602,INDEX(Spielauswertung!$AB591:$AE591,MATCH(Tabelle11[[#Headers],[Jan_B]],Spielauswertung!$B591:$E591,0))+T602)</f>
        <v>100.2794420429173</v>
      </c>
      <c r="U603" s="1">
        <f>IF(IFERROR(MATCH(Tabelle11[[#Headers],[Jan_Hendrik_B]],Spielauswertung!$B591:$E591,0),0)=0,U602,INDEX(Spielauswertung!$AB591:$AE591,MATCH(Tabelle11[[#Headers],[Jan_Hendrik_B]],Spielauswertung!$B591:$E591,0))+U602)</f>
        <v>100.75492416935522</v>
      </c>
      <c r="V603" s="1">
        <f>IF(IFERROR(MATCH(Tabelle11[[#Headers],[Jens_N]],Spielauswertung!$B591:$E591,0),0)=0,V602,INDEX(Spielauswertung!$AB591:$AE591,MATCH(Tabelle11[[#Headers],[Jens_N]],Spielauswertung!$B591:$E591,0))+V602)</f>
        <v>99.643534710196832</v>
      </c>
      <c r="W603" s="1">
        <f>IF(IFERROR(MATCH(Tabelle11[[#Headers],[Johannes_S]],Spielauswertung!$B591:$E591,0),0)=0,W602,INDEX(Spielauswertung!$AB591:$AE591,MATCH(Tabelle11[[#Headers],[Johannes_S]],Spielauswertung!$B591:$E591,0))+W602)</f>
        <v>102.20284750979505</v>
      </c>
      <c r="X603" s="1">
        <f>IF(IFERROR(MATCH(Tabelle11[[#Headers],[Jonathan_F]],Spielauswertung!$B591:$E591,0),0)=0,X602,INDEX(Spielauswertung!$AB591:$AE591,MATCH(Tabelle11[[#Headers],[Jonathan_F]],Spielauswertung!$B591:$E591,0))+X602)</f>
        <v>98.938308797866256</v>
      </c>
      <c r="Y603" s="1">
        <f>IF(IFERROR(MATCH(Tabelle11[[#Headers],[Julius_P]],Spielauswertung!$B591:$E591,0),0)=0,Y602,INDEX(Spielauswertung!$AB591:$AE591,MATCH(Tabelle11[[#Headers],[Julius_P]],Spielauswertung!$B591:$E591,0))+Y602)</f>
        <v>96.540305101873642</v>
      </c>
      <c r="Z603" s="1">
        <f>IF(IFERROR(MATCH(Tabelle11[[#Headers],[Louis_W]],Spielauswertung!$B591:$E591,0),0)=0,Z602,INDEX(Spielauswertung!$AB591:$AE591,MATCH(Tabelle11[[#Headers],[Louis_W]],Spielauswertung!$B591:$E591,0))+Z602)</f>
        <v>87.497452285475362</v>
      </c>
      <c r="AA603" s="1">
        <f>IF(IFERROR(MATCH(Tabelle11[[#Headers],[Lukas_L]],Spielauswertung!$B591:$E591,0),0)=0,AA602,INDEX(Spielauswertung!$AB591:$AE591,MATCH(Tabelle11[[#Headers],[Lukas_L]],Spielauswertung!$B591:$E591,0))+AA602)</f>
        <v>98.447931341404143</v>
      </c>
      <c r="AB603" s="1">
        <f>IF(IFERROR(MATCH(Tabelle11[[#Headers],[Marcin_S]],Spielauswertung!$B591:$E591,0),0)=0,AB602,INDEX(Spielauswertung!$AB591:$AE591,MATCH(Tabelle11[[#Headers],[Marcin_S]],Spielauswertung!$B591:$E591,0))+AB602)</f>
        <v>85.463329105556824</v>
      </c>
      <c r="AC603" s="1">
        <f>IF(IFERROR(MATCH(Tabelle11[[#Headers],[Marco_K]],Spielauswertung!$B591:$E591,0),0)=0,AC602,INDEX(Spielauswertung!$AB591:$AE591,MATCH(Tabelle11[[#Headers],[Marco_K]],Spielauswertung!$B591:$E591,0))+AC602)</f>
        <v>102.12169819441469</v>
      </c>
      <c r="AD603" s="1">
        <f>IF(IFERROR(MATCH(Tabelle11[[#Headers],[Marius_M]],Spielauswertung!$B591:$E591,0),0)=0,AD602,INDEX(Spielauswertung!$AB591:$AE591,MATCH(Tabelle11[[#Headers],[Marius_M]],Spielauswertung!$B591:$E591,0))+AD602)</f>
        <v>124.54012374585781</v>
      </c>
      <c r="AE603" s="1">
        <f>IF(IFERROR(MATCH(Tabelle11[[#Headers],[Marvin_W]],Spielauswertung!$B591:$E591,0),0)=0,AE602,INDEX(Spielauswertung!$AB591:$AE591,MATCH(Tabelle11[[#Headers],[Marvin_W]],Spielauswertung!$B591:$E591,0))+AE602)</f>
        <v>96.700266280577438</v>
      </c>
      <c r="AF603" s="1">
        <f>IF(IFERROR(MATCH(Tabelle11[[#Headers],[Matthias_H]],Spielauswertung!$B591:$E591,0),0)=0,AF602,INDEX(Spielauswertung!$AB591:$AE591,MATCH(Tabelle11[[#Headers],[Matthias_H]],Spielauswertung!$B591:$E591,0))+AF602)</f>
        <v>105.42130178599372</v>
      </c>
      <c r="AG603" s="1">
        <f>IF(IFERROR(MATCH(Tabelle11[[#Headers],[Michael_D]],Spielauswertung!$B591:$E591,0),0)=0,AG602,INDEX(Spielauswertung!$AB591:$AE591,MATCH(Tabelle11[[#Headers],[Michael_D]],Spielauswertung!$B591:$E591,0))+AG602)</f>
        <v>96.436276170375336</v>
      </c>
      <c r="AH603" s="1">
        <f>IF(IFERROR(MATCH(Tabelle11[[#Headers],[Patrick_S]],Spielauswertung!$B591:$E591,0),0)=0,AH602,INDEX(Spielauswertung!$AB591:$AE591,MATCH(Tabelle11[[#Headers],[Patrick_S]],Spielauswertung!$B591:$E591,0))+AH602)</f>
        <v>98.975330692053802</v>
      </c>
      <c r="AI603" s="1">
        <f>IF(IFERROR(MATCH(Tabelle11[[#Headers],[Rano_M]],Spielauswertung!$B591:$E591,0),0)=0,AI602,INDEX(Spielauswertung!$AB591:$AE591,MATCH(Tabelle11[[#Headers],[Rano_M]],Spielauswertung!$B591:$E591,0))+AI602)</f>
        <v>109.38890657420265</v>
      </c>
      <c r="AJ603" s="1">
        <f>IF(IFERROR(MATCH(Tabelle11[[#Headers],[Rene_N]],Spielauswertung!$B591:$E591,0),0)=0,AJ602,INDEX(Spielauswertung!$AB591:$AE591,MATCH(Tabelle11[[#Headers],[Rene_N]],Spielauswertung!$B591:$E591,0))+AJ602)</f>
        <v>101.06482124619033</v>
      </c>
      <c r="AK603" s="1">
        <f>IF(IFERROR(MATCH(Tabelle11[[#Headers],[Rene_P]],Spielauswertung!$B591:$E591,0),0)=0,AK602,INDEX(Spielauswertung!$AB591:$AE591,MATCH(Tabelle11[[#Headers],[Rene_P]],Spielauswertung!$B591:$E591,0))+AK602)</f>
        <v>88.762543186332877</v>
      </c>
      <c r="AL603" s="1">
        <f>IF(IFERROR(MATCH(Tabelle11[[#Headers],[Richard_D]],Spielauswertung!$B591:$E591,0),0)=0,AL602,INDEX(Spielauswertung!$AB591:$AE591,MATCH(Tabelle11[[#Headers],[Richard_D]],Spielauswertung!$B591:$E591,0))+AL602)</f>
        <v>107.23233592026223</v>
      </c>
      <c r="AM603" s="1">
        <f>IF(IFERROR(MATCH(Tabelle11[[#Headers],[Rodrigo_R]],Spielauswertung!$B591:$E591,0),0)=0,AM602,INDEX(Spielauswertung!$AB591:$AE591,MATCH(Tabelle11[[#Headers],[Rodrigo_R]],Spielauswertung!$B591:$E591,0))+AM602)</f>
        <v>116.7028707921346</v>
      </c>
      <c r="AN603" s="1">
        <f>IF(IFERROR(MATCH(Tabelle11[[#Headers],[Sebastian_A]],Spielauswertung!$B591:$E591,0),0)=0,AN602,INDEX(Spielauswertung!$AB591:$AE591,MATCH(Tabelle11[[#Headers],[Sebastian_A]],Spielauswertung!$B591:$E591,0))+AN602)</f>
        <v>102.89457418671324</v>
      </c>
      <c r="AO603" s="1">
        <f>IF(IFERROR(MATCH(Tabelle11[[#Headers],[Sebastian_St]],Spielauswertung!$B591:$E591,0),0)=0,AO602,INDEX(Spielauswertung!$AB591:$AE591,MATCH(Tabelle11[[#Headers],[Sebastian_St]],Spielauswertung!$B591:$E591,0))+AO602)</f>
        <v>97.749574367408982</v>
      </c>
      <c r="AP603" s="1">
        <f>IF(IFERROR(MATCH(Tabelle11[[#Headers],[Simon_U]],Spielauswertung!$B591:$E591,0),0)=0,AP602,INDEX(Spielauswertung!$AB591:$AE591,MATCH(Tabelle11[[#Headers],[Simon_U]],Spielauswertung!$B591:$E591,0))+AP602)</f>
        <v>99.623054841470903</v>
      </c>
      <c r="AQ603" s="1">
        <f>IF(IFERROR(MATCH(Tabelle11[[#Headers],[Steffen_R]],Spielauswertung!$B591:$E591,0),0)=0,AQ602,INDEX(Spielauswertung!$AB591:$AE591,MATCH(Tabelle11[[#Headers],[Steffen_R]],Spielauswertung!$B591:$E591,0))+AQ602)</f>
        <v>93.247497067190949</v>
      </c>
      <c r="AR603" s="1">
        <f>IF(IFERROR(MATCH(Tabelle11[[#Headers],[Tim_R]],Spielauswertung!$B591:$E591,0),0)=0,AR602,INDEX(Spielauswertung!$AB591:$AE591,MATCH(Tabelle11[[#Headers],[Tim_R]],Spielauswertung!$B591:$E591,0))+AR602)</f>
        <v>103.07503787023374</v>
      </c>
      <c r="AS603" s="1">
        <f>IF(IFERROR(MATCH(Tabelle11[[#Headers],[Tobias_S]],Spielauswertung!$B591:$E591,0),0)=0,AS602,INDEX(Spielauswertung!$AB591:$AE591,MATCH(Tabelle11[[#Headers],[Tobias_S]],Spielauswertung!$B591:$E591,0))+AS602)</f>
        <v>98.6003422659997</v>
      </c>
      <c r="AT603" s="1">
        <f>IF(IFERROR(MATCH(Tabelle11[[#Headers],[Tom_R]],Spielauswertung!$B591:$E591,0),0)=0,AT602,INDEX(Spielauswertung!$AB591:$AE591,MATCH(Tabelle11[[#Headers],[Tom_R]],Spielauswertung!$B591:$E591,0))+AT602)</f>
        <v>112.62344492949197</v>
      </c>
      <c r="AU603" s="1">
        <f>IF(IFERROR(MATCH(Tabelle11[[#Headers],[Ton_L]],Spielauswertung!$B591:$E591,0),0)=0,AU602,INDEX(Spielauswertung!$AB591:$AE591,MATCH(Tabelle11[[#Headers],[Ton_L]],Spielauswertung!$B591:$E591,0))+AU602)</f>
        <v>92.683083360025861</v>
      </c>
      <c r="AV603" s="1">
        <f>IF(IFERROR(MATCH(Tabelle11[[#Headers],[Yixin_G]],Spielauswertung!$B591:$E591,0),0)=0,AV602,INDEX(Spielauswertung!$AB591:$AE591,MATCH(Tabelle11[[#Headers],[Yixin_G]],Spielauswertung!$B591:$E591,0))+AV602)</f>
        <v>99.900323214082661</v>
      </c>
      <c r="AW603" s="1">
        <f>IF(IFERROR(MATCH(Tabelle11[[#Headers],[Spalte36]],Spielauswertung!$B591:$E591,0),0)=0,AW602,INDEX(Spielauswertung!$AB591:$AE591,MATCH(Tabelle11[[#Headers],[Spalte36]],Spielauswertung!$B591:$E591,0))+AW602)</f>
        <v>100</v>
      </c>
      <c r="AX603" s="1">
        <f>IF(IFERROR(MATCH(Tabelle11[[#Headers],[Spalte37]],Spielauswertung!$B591:$E591,0),0)=0,AX602,INDEX(Spielauswertung!$AB591:$AE591,MATCH(Tabelle11[[#Headers],[Spalte37]],Spielauswertung!$B591:$E591,0))+AX602)</f>
        <v>100</v>
      </c>
      <c r="AY603" s="1">
        <f>IF(IFERROR(MATCH(Tabelle11[[#Headers],[Spalte38]],Spielauswertung!$B591:$E591,0),0)=0,AY602,INDEX(Spielauswertung!$AB591:$AE591,MATCH(Tabelle11[[#Headers],[Spalte38]],Spielauswertung!$B591:$E591,0))+AY602)</f>
        <v>100</v>
      </c>
      <c r="AZ603" s="1">
        <f>IF(IFERROR(MATCH(Tabelle11[[#Headers],[Spalte39]],Spielauswertung!$B591:$E591,0),0)=0,AZ602,INDEX(Spielauswertung!$AB591:$AE591,MATCH(Tabelle11[[#Headers],[Spalte39]],Spielauswertung!$B591:$E591,0))+AZ602)</f>
        <v>100</v>
      </c>
      <c r="BA603" s="1">
        <f>IF(IFERROR(MATCH(Tabelle11[[#Headers],[Spalte40]],Spielauswertung!$B591:$E591,0),0)=0,BA602,INDEX(Spielauswertung!$AB591:$AE591,MATCH(Tabelle11[[#Headers],[Spalte40]],Spielauswertung!$B591:$E591,0))+BA602)</f>
        <v>100</v>
      </c>
      <c r="BB603" s="1">
        <f>IF(IFERROR(MATCH(Tabelle11[[#Headers],[Spalte41]],Spielauswertung!$B591:$E591,0),0)=0,BB602,INDEX(Spielauswertung!$AB591:$AE591,MATCH(Tabelle11[[#Headers],[Spalte41]],Spielauswertung!$B591:$E591,0))+BB602)</f>
        <v>100</v>
      </c>
      <c r="BC603" s="1">
        <f>IF(IFERROR(MATCH(Tabelle11[[#Headers],[Spalte42]],Spielauswertung!$B591:$E591,0),0)=0,BC602,INDEX(Spielauswertung!$AB591:$AE591,MATCH(Tabelle11[[#Headers],[Spalte42]],Spielauswertung!$B591:$E591,0))+BC602)</f>
        <v>100</v>
      </c>
      <c r="BD603" s="1">
        <f>IF(IFERROR(MATCH(Tabelle11[[#Headers],[Spalte43]],Spielauswertung!$B591:$E591,0),0)=0,BD602,INDEX(Spielauswertung!$AB591:$AE591,MATCH(Tabelle11[[#Headers],[Spalte43]],Spielauswertung!$B591:$E591,0))+BD602)</f>
        <v>100</v>
      </c>
      <c r="BE603" s="1">
        <f>IF(IFERROR(MATCH(Tabelle11[[#Headers],[Spalte44]],Spielauswertung!$B591:$E591,0),0)=0,BE602,INDEX(Spielauswertung!$AB591:$AE591,MATCH(Tabelle11[[#Headers],[Spalte44]],Spielauswertung!$B591:$E591,0))+BE602)</f>
        <v>100</v>
      </c>
      <c r="BF603" s="1">
        <f>IF(IFERROR(MATCH(Tabelle11[[#Headers],[Spalte45]],Spielauswertung!$B591:$E591,0),0)=0,BF602,INDEX(Spielauswertung!$AB591:$AE591,MATCH(Tabelle11[[#Headers],[Spalte45]],Spielauswertung!$B591:$E591,0))+BF602)</f>
        <v>100</v>
      </c>
      <c r="BG603" s="1">
        <f>IF(IFERROR(MATCH(Tabelle11[[#Headers],[Spalte46]],Spielauswertung!$B591:$E591,0),0)=0,BG602,INDEX(Spielauswertung!$AB591:$AE591,MATCH(Tabelle11[[#Headers],[Spalte46]],Spielauswertung!$B591:$E591,0))+BG602)</f>
        <v>100</v>
      </c>
      <c r="BH603" s="1">
        <f>IF(IFERROR(MATCH(Tabelle11[[#Headers],[Spalte47]],Spielauswertung!$B591:$E591,0),0)=0,BH602,INDEX(Spielauswertung!$AB591:$AE591,MATCH(Tabelle11[[#Headers],[Spalte47]],Spielauswertung!$B591:$E591,0))+BH602)</f>
        <v>100</v>
      </c>
    </row>
    <row r="604" spans="1:60" x14ac:dyDescent="0.25">
      <c r="A604">
        <f t="shared" si="10"/>
        <v>591</v>
      </c>
      <c r="B604" s="1">
        <f>IF(IFERROR(MATCH(Tabelle11[[#Headers],[Aleix_V]],Spielauswertung!$B592:$E592,0),0)=0,B603,INDEX(Spielauswertung!$AB592:$AE592,MATCH(Tabelle11[[#Headers],[Aleix_V]],Spielauswertung!$B592:$E592,0))+B603)</f>
        <v>102.47318019444646</v>
      </c>
      <c r="C604" s="1">
        <f>IF(IFERROR(MATCH(Tabelle11[[#Headers],[Andres_H]],Spielauswertung!$B592:$E592,0),0)=0,C603,INDEX(Spielauswertung!$AB592:$AE592,MATCH(Tabelle11[[#Headers],[Andres_H]],Spielauswertung!$B592:$E592,0))+C603)</f>
        <v>95.535732339111306</v>
      </c>
      <c r="D604" s="1">
        <f>IF(IFERROR(MATCH(Tabelle11[[#Headers],[Anton_K]],Spielauswertung!$B592:$E592,0),0)=0,D603,INDEX(Spielauswertung!$AB592:$AE592,MATCH(Tabelle11[[#Headers],[Anton_K]],Spielauswertung!$B592:$E592,0))+D603)</f>
        <v>99.287728777054667</v>
      </c>
      <c r="E604" s="1">
        <f>IF(IFERROR(MATCH(Tabelle11[[#Headers],[Bastian_G]],Spielauswertung!$B592:$E592,0),0)=0,E603,INDEX(Spielauswertung!$AB592:$AE592,MATCH(Tabelle11[[#Headers],[Bastian_G]],Spielauswertung!$B592:$E592,0))+E603)</f>
        <v>117.49978695184252</v>
      </c>
      <c r="F604" s="1">
        <f>IF(IFERROR(MATCH(Tabelle11[[#Headers],[Ben_S]],Spielauswertung!$B592:$E592,0),0)=0,F603,INDEX(Spielauswertung!$AB592:$AE592,MATCH(Tabelle11[[#Headers],[Ben_S]],Spielauswertung!$B592:$E592,0))+F603)</f>
        <v>95.932799101521084</v>
      </c>
      <c r="G604" s="1">
        <f>IF(IFERROR(MATCH(Tabelle11[[#Headers],[Benedikt_K]],Spielauswertung!$B592:$E592,0),0)=0,G603,INDEX(Spielauswertung!$AB592:$AE592,MATCH(Tabelle11[[#Headers],[Benedikt_K]],Spielauswertung!$B592:$E592,0))+G603)</f>
        <v>101.20264176422626</v>
      </c>
      <c r="H604" s="1">
        <f>IF(IFERROR(MATCH(Tabelle11[[#Headers],[Benedikt_R]],Spielauswertung!$B592:$E592,0),0)=0,H603,INDEX(Spielauswertung!$AB592:$AE592,MATCH(Tabelle11[[#Headers],[Benedikt_R]],Spielauswertung!$B592:$E592,0))+H603)</f>
        <v>102.6264770510757</v>
      </c>
      <c r="I604" s="1">
        <f>IF(IFERROR(MATCH(Tabelle11[[#Headers],[Carsten_H]],Spielauswertung!$B592:$E592,0),0)=0,I603,INDEX(Spielauswertung!$AB592:$AE592,MATCH(Tabelle11[[#Headers],[Carsten_H]],Spielauswertung!$B592:$E592,0))+I603)</f>
        <v>90.817185094326874</v>
      </c>
      <c r="J604" s="1">
        <f>IF(IFERROR(MATCH(Tabelle11[[#Headers],[Christoph_R]],Spielauswertung!$B592:$E592,0),0)=0,J603,INDEX(Spielauswertung!$AB592:$AE592,MATCH(Tabelle11[[#Headers],[Christoph_R]],Spielauswertung!$B592:$E592,0))+J603)</f>
        <v>109.73261611443155</v>
      </c>
      <c r="K604" s="1">
        <f>IF(IFERROR(MATCH(Tabelle11[[#Headers],[Claudius_J]],Spielauswertung!$B592:$E592,0),0)=0,K603,INDEX(Spielauswertung!$AB592:$AE592,MATCH(Tabelle11[[#Headers],[Claudius_J]],Spielauswertung!$B592:$E592,0))+K603)</f>
        <v>106.16590636000029</v>
      </c>
      <c r="L604" s="1">
        <f>IF(IFERROR(MATCH(Tabelle11[[#Headers],[Daniel_D]],Spielauswertung!$B592:$E592,0),0)=0,L603,INDEX(Spielauswertung!$AB592:$AE592,MATCH(Tabelle11[[#Headers],[Daniel_D]],Spielauswertung!$B592:$E592,0))+L603)</f>
        <v>99.990299180470089</v>
      </c>
      <c r="M604" s="1">
        <f>IF(IFERROR(MATCH(Tabelle11[[#Headers],[David_R]],Spielauswertung!$B592:$E592,0),0)=0,M603,INDEX(Spielauswertung!$AB592:$AE592,MATCH(Tabelle11[[#Headers],[David_R]],Spielauswertung!$B592:$E592,0))+M603)</f>
        <v>96.715943522481638</v>
      </c>
      <c r="N604" s="1">
        <f>IF(IFERROR(MATCH(Tabelle11[[#Headers],[Dennis_P]],Spielauswertung!$B592:$E592,0),0)=0,N603,INDEX(Spielauswertung!$AB592:$AE592,MATCH(Tabelle11[[#Headers],[Dennis_P]],Spielauswertung!$B592:$E592,0))+N603)</f>
        <v>100.04773223105254</v>
      </c>
      <c r="O604" s="1">
        <f>IF(IFERROR(MATCH(Tabelle11[[#Headers],[Dennis_R]],Spielauswertung!$B592:$E592,0),0)=0,O603,INDEX(Spielauswertung!$AB592:$AE592,MATCH(Tabelle11[[#Headers],[Dennis_R]],Spielauswertung!$B592:$E592,0))+O603)</f>
        <v>75.131680864937195</v>
      </c>
      <c r="P604" s="1">
        <f>IF(IFERROR(MATCH(Tabelle11[[#Headers],[Detlef_R]],Spielauswertung!$B592:$E592,0),0)=0,P603,INDEX(Spielauswertung!$AB592:$AE592,MATCH(Tabelle11[[#Headers],[Detlef_R]],Spielauswertung!$B592:$E592,0))+P603)</f>
        <v>87.984671797367014</v>
      </c>
      <c r="Q604" s="1">
        <f>IF(IFERROR(MATCH(Tabelle11[[#Headers],[Dmitrij_M]],Spielauswertung!$B592:$E592,0),0)=0,Q603,INDEX(Spielauswertung!$AB592:$AE592,MATCH(Tabelle11[[#Headers],[Dmitrij_M]],Spielauswertung!$B592:$E592,0))+Q603)</f>
        <v>100.69975721846207</v>
      </c>
      <c r="R604" s="1">
        <f>IF(IFERROR(MATCH(Tabelle11[[#Headers],[Fabian_M]],Spielauswertung!$B592:$E592,0),0)=0,R603,INDEX(Spielauswertung!$AB592:$AE592,MATCH(Tabelle11[[#Headers],[Fabian_M]],Spielauswertung!$B592:$E592,0))+R603)</f>
        <v>95.805387841610738</v>
      </c>
      <c r="S604" s="1">
        <f>IF(IFERROR(MATCH(Tabelle11[[#Headers],[Hannes_S]],Spielauswertung!$B592:$E592,0),0)=0,S603,INDEX(Spielauswertung!$AB592:$AE592,MATCH(Tabelle11[[#Headers],[Hannes_S]],Spielauswertung!$B592:$E592,0))+S603)</f>
        <v>104.83899184012799</v>
      </c>
      <c r="T604" s="1">
        <f>IF(IFERROR(MATCH(Tabelle11[[#Headers],[Jan_B]],Spielauswertung!$B592:$E592,0),0)=0,T603,INDEX(Spielauswertung!$AB592:$AE592,MATCH(Tabelle11[[#Headers],[Jan_B]],Spielauswertung!$B592:$E592,0))+T603)</f>
        <v>100.2794420429173</v>
      </c>
      <c r="U604" s="1">
        <f>IF(IFERROR(MATCH(Tabelle11[[#Headers],[Jan_Hendrik_B]],Spielauswertung!$B592:$E592,0),0)=0,U603,INDEX(Spielauswertung!$AB592:$AE592,MATCH(Tabelle11[[#Headers],[Jan_Hendrik_B]],Spielauswertung!$B592:$E592,0))+U603)</f>
        <v>100.75492416935522</v>
      </c>
      <c r="V604" s="1">
        <f>IF(IFERROR(MATCH(Tabelle11[[#Headers],[Jens_N]],Spielauswertung!$B592:$E592,0),0)=0,V603,INDEX(Spielauswertung!$AB592:$AE592,MATCH(Tabelle11[[#Headers],[Jens_N]],Spielauswertung!$B592:$E592,0))+V603)</f>
        <v>99.643534710196832</v>
      </c>
      <c r="W604" s="1">
        <f>IF(IFERROR(MATCH(Tabelle11[[#Headers],[Johannes_S]],Spielauswertung!$B592:$E592,0),0)=0,W603,INDEX(Spielauswertung!$AB592:$AE592,MATCH(Tabelle11[[#Headers],[Johannes_S]],Spielauswertung!$B592:$E592,0))+W603)</f>
        <v>102.20284750979505</v>
      </c>
      <c r="X604" s="1">
        <f>IF(IFERROR(MATCH(Tabelle11[[#Headers],[Jonathan_F]],Spielauswertung!$B592:$E592,0),0)=0,X603,INDEX(Spielauswertung!$AB592:$AE592,MATCH(Tabelle11[[#Headers],[Jonathan_F]],Spielauswertung!$B592:$E592,0))+X603)</f>
        <v>98.938308797866256</v>
      </c>
      <c r="Y604" s="1">
        <f>IF(IFERROR(MATCH(Tabelle11[[#Headers],[Julius_P]],Spielauswertung!$B592:$E592,0),0)=0,Y603,INDEX(Spielauswertung!$AB592:$AE592,MATCH(Tabelle11[[#Headers],[Julius_P]],Spielauswertung!$B592:$E592,0))+Y603)</f>
        <v>96.540305101873642</v>
      </c>
      <c r="Z604" s="1">
        <f>IF(IFERROR(MATCH(Tabelle11[[#Headers],[Louis_W]],Spielauswertung!$B592:$E592,0),0)=0,Z603,INDEX(Spielauswertung!$AB592:$AE592,MATCH(Tabelle11[[#Headers],[Louis_W]],Spielauswertung!$B592:$E592,0))+Z603)</f>
        <v>87.497452285475362</v>
      </c>
      <c r="AA604" s="1">
        <f>IF(IFERROR(MATCH(Tabelle11[[#Headers],[Lukas_L]],Spielauswertung!$B592:$E592,0),0)=0,AA603,INDEX(Spielauswertung!$AB592:$AE592,MATCH(Tabelle11[[#Headers],[Lukas_L]],Spielauswertung!$B592:$E592,0))+AA603)</f>
        <v>98.447931341404143</v>
      </c>
      <c r="AB604" s="1">
        <f>IF(IFERROR(MATCH(Tabelle11[[#Headers],[Marcin_S]],Spielauswertung!$B592:$E592,0),0)=0,AB603,INDEX(Spielauswertung!$AB592:$AE592,MATCH(Tabelle11[[#Headers],[Marcin_S]],Spielauswertung!$B592:$E592,0))+AB603)</f>
        <v>85.463329105556824</v>
      </c>
      <c r="AC604" s="1">
        <f>IF(IFERROR(MATCH(Tabelle11[[#Headers],[Marco_K]],Spielauswertung!$B592:$E592,0),0)=0,AC603,INDEX(Spielauswertung!$AB592:$AE592,MATCH(Tabelle11[[#Headers],[Marco_K]],Spielauswertung!$B592:$E592,0))+AC603)</f>
        <v>102.12169819441469</v>
      </c>
      <c r="AD604" s="1">
        <f>IF(IFERROR(MATCH(Tabelle11[[#Headers],[Marius_M]],Spielauswertung!$B592:$E592,0),0)=0,AD603,INDEX(Spielauswertung!$AB592:$AE592,MATCH(Tabelle11[[#Headers],[Marius_M]],Spielauswertung!$B592:$E592,0))+AD603)</f>
        <v>124.54012374585781</v>
      </c>
      <c r="AE604" s="1">
        <f>IF(IFERROR(MATCH(Tabelle11[[#Headers],[Marvin_W]],Spielauswertung!$B592:$E592,0),0)=0,AE603,INDEX(Spielauswertung!$AB592:$AE592,MATCH(Tabelle11[[#Headers],[Marvin_W]],Spielauswertung!$B592:$E592,0))+AE603)</f>
        <v>96.700266280577438</v>
      </c>
      <c r="AF604" s="1">
        <f>IF(IFERROR(MATCH(Tabelle11[[#Headers],[Matthias_H]],Spielauswertung!$B592:$E592,0),0)=0,AF603,INDEX(Spielauswertung!$AB592:$AE592,MATCH(Tabelle11[[#Headers],[Matthias_H]],Spielauswertung!$B592:$E592,0))+AF603)</f>
        <v>105.42130178599372</v>
      </c>
      <c r="AG604" s="1">
        <f>IF(IFERROR(MATCH(Tabelle11[[#Headers],[Michael_D]],Spielauswertung!$B592:$E592,0),0)=0,AG603,INDEX(Spielauswertung!$AB592:$AE592,MATCH(Tabelle11[[#Headers],[Michael_D]],Spielauswertung!$B592:$E592,0))+AG603)</f>
        <v>96.436276170375336</v>
      </c>
      <c r="AH604" s="1">
        <f>IF(IFERROR(MATCH(Tabelle11[[#Headers],[Patrick_S]],Spielauswertung!$B592:$E592,0),0)=0,AH603,INDEX(Spielauswertung!$AB592:$AE592,MATCH(Tabelle11[[#Headers],[Patrick_S]],Spielauswertung!$B592:$E592,0))+AH603)</f>
        <v>98.975330692053802</v>
      </c>
      <c r="AI604" s="1">
        <f>IF(IFERROR(MATCH(Tabelle11[[#Headers],[Rano_M]],Spielauswertung!$B592:$E592,0),0)=0,AI603,INDEX(Spielauswertung!$AB592:$AE592,MATCH(Tabelle11[[#Headers],[Rano_M]],Spielauswertung!$B592:$E592,0))+AI603)</f>
        <v>109.38890657420265</v>
      </c>
      <c r="AJ604" s="1">
        <f>IF(IFERROR(MATCH(Tabelle11[[#Headers],[Rene_N]],Spielauswertung!$B592:$E592,0),0)=0,AJ603,INDEX(Spielauswertung!$AB592:$AE592,MATCH(Tabelle11[[#Headers],[Rene_N]],Spielauswertung!$B592:$E592,0))+AJ603)</f>
        <v>101.06482124619033</v>
      </c>
      <c r="AK604" s="1">
        <f>IF(IFERROR(MATCH(Tabelle11[[#Headers],[Rene_P]],Spielauswertung!$B592:$E592,0),0)=0,AK603,INDEX(Spielauswertung!$AB592:$AE592,MATCH(Tabelle11[[#Headers],[Rene_P]],Spielauswertung!$B592:$E592,0))+AK603)</f>
        <v>88.762543186332877</v>
      </c>
      <c r="AL604" s="1">
        <f>IF(IFERROR(MATCH(Tabelle11[[#Headers],[Richard_D]],Spielauswertung!$B592:$E592,0),0)=0,AL603,INDEX(Spielauswertung!$AB592:$AE592,MATCH(Tabelle11[[#Headers],[Richard_D]],Spielauswertung!$B592:$E592,0))+AL603)</f>
        <v>107.23233592026223</v>
      </c>
      <c r="AM604" s="1">
        <f>IF(IFERROR(MATCH(Tabelle11[[#Headers],[Rodrigo_R]],Spielauswertung!$B592:$E592,0),0)=0,AM603,INDEX(Spielauswertung!$AB592:$AE592,MATCH(Tabelle11[[#Headers],[Rodrigo_R]],Spielauswertung!$B592:$E592,0))+AM603)</f>
        <v>116.7028707921346</v>
      </c>
      <c r="AN604" s="1">
        <f>IF(IFERROR(MATCH(Tabelle11[[#Headers],[Sebastian_A]],Spielauswertung!$B592:$E592,0),0)=0,AN603,INDEX(Spielauswertung!$AB592:$AE592,MATCH(Tabelle11[[#Headers],[Sebastian_A]],Spielauswertung!$B592:$E592,0))+AN603)</f>
        <v>102.89457418671324</v>
      </c>
      <c r="AO604" s="1">
        <f>IF(IFERROR(MATCH(Tabelle11[[#Headers],[Sebastian_St]],Spielauswertung!$B592:$E592,0),0)=0,AO603,INDEX(Spielauswertung!$AB592:$AE592,MATCH(Tabelle11[[#Headers],[Sebastian_St]],Spielauswertung!$B592:$E592,0))+AO603)</f>
        <v>97.749574367408982</v>
      </c>
      <c r="AP604" s="1">
        <f>IF(IFERROR(MATCH(Tabelle11[[#Headers],[Simon_U]],Spielauswertung!$B592:$E592,0),0)=0,AP603,INDEX(Spielauswertung!$AB592:$AE592,MATCH(Tabelle11[[#Headers],[Simon_U]],Spielauswertung!$B592:$E592,0))+AP603)</f>
        <v>99.623054841470903</v>
      </c>
      <c r="AQ604" s="1">
        <f>IF(IFERROR(MATCH(Tabelle11[[#Headers],[Steffen_R]],Spielauswertung!$B592:$E592,0),0)=0,AQ603,INDEX(Spielauswertung!$AB592:$AE592,MATCH(Tabelle11[[#Headers],[Steffen_R]],Spielauswertung!$B592:$E592,0))+AQ603)</f>
        <v>93.247497067190949</v>
      </c>
      <c r="AR604" s="1">
        <f>IF(IFERROR(MATCH(Tabelle11[[#Headers],[Tim_R]],Spielauswertung!$B592:$E592,0),0)=0,AR603,INDEX(Spielauswertung!$AB592:$AE592,MATCH(Tabelle11[[#Headers],[Tim_R]],Spielauswertung!$B592:$E592,0))+AR603)</f>
        <v>103.07503787023374</v>
      </c>
      <c r="AS604" s="1">
        <f>IF(IFERROR(MATCH(Tabelle11[[#Headers],[Tobias_S]],Spielauswertung!$B592:$E592,0),0)=0,AS603,INDEX(Spielauswertung!$AB592:$AE592,MATCH(Tabelle11[[#Headers],[Tobias_S]],Spielauswertung!$B592:$E592,0))+AS603)</f>
        <v>98.6003422659997</v>
      </c>
      <c r="AT604" s="1">
        <f>IF(IFERROR(MATCH(Tabelle11[[#Headers],[Tom_R]],Spielauswertung!$B592:$E592,0),0)=0,AT603,INDEX(Spielauswertung!$AB592:$AE592,MATCH(Tabelle11[[#Headers],[Tom_R]],Spielauswertung!$B592:$E592,0))+AT603)</f>
        <v>112.62344492949197</v>
      </c>
      <c r="AU604" s="1">
        <f>IF(IFERROR(MATCH(Tabelle11[[#Headers],[Ton_L]],Spielauswertung!$B592:$E592,0),0)=0,AU603,INDEX(Spielauswertung!$AB592:$AE592,MATCH(Tabelle11[[#Headers],[Ton_L]],Spielauswertung!$B592:$E592,0))+AU603)</f>
        <v>92.683083360025861</v>
      </c>
      <c r="AV604" s="1">
        <f>IF(IFERROR(MATCH(Tabelle11[[#Headers],[Yixin_G]],Spielauswertung!$B592:$E592,0),0)=0,AV603,INDEX(Spielauswertung!$AB592:$AE592,MATCH(Tabelle11[[#Headers],[Yixin_G]],Spielauswertung!$B592:$E592,0))+AV603)</f>
        <v>99.900323214082661</v>
      </c>
      <c r="AW604" s="1">
        <f>IF(IFERROR(MATCH(Tabelle11[[#Headers],[Spalte36]],Spielauswertung!$B592:$E592,0),0)=0,AW603,INDEX(Spielauswertung!$AB592:$AE592,MATCH(Tabelle11[[#Headers],[Spalte36]],Spielauswertung!$B592:$E592,0))+AW603)</f>
        <v>100</v>
      </c>
      <c r="AX604" s="1">
        <f>IF(IFERROR(MATCH(Tabelle11[[#Headers],[Spalte37]],Spielauswertung!$B592:$E592,0),0)=0,AX603,INDEX(Spielauswertung!$AB592:$AE592,MATCH(Tabelle11[[#Headers],[Spalte37]],Spielauswertung!$B592:$E592,0))+AX603)</f>
        <v>100</v>
      </c>
      <c r="AY604" s="1">
        <f>IF(IFERROR(MATCH(Tabelle11[[#Headers],[Spalte38]],Spielauswertung!$B592:$E592,0),0)=0,AY603,INDEX(Spielauswertung!$AB592:$AE592,MATCH(Tabelle11[[#Headers],[Spalte38]],Spielauswertung!$B592:$E592,0))+AY603)</f>
        <v>100</v>
      </c>
      <c r="AZ604" s="1">
        <f>IF(IFERROR(MATCH(Tabelle11[[#Headers],[Spalte39]],Spielauswertung!$B592:$E592,0),0)=0,AZ603,INDEX(Spielauswertung!$AB592:$AE592,MATCH(Tabelle11[[#Headers],[Spalte39]],Spielauswertung!$B592:$E592,0))+AZ603)</f>
        <v>100</v>
      </c>
      <c r="BA604" s="1">
        <f>IF(IFERROR(MATCH(Tabelle11[[#Headers],[Spalte40]],Spielauswertung!$B592:$E592,0),0)=0,BA603,INDEX(Spielauswertung!$AB592:$AE592,MATCH(Tabelle11[[#Headers],[Spalte40]],Spielauswertung!$B592:$E592,0))+BA603)</f>
        <v>100</v>
      </c>
      <c r="BB604" s="1">
        <f>IF(IFERROR(MATCH(Tabelle11[[#Headers],[Spalte41]],Spielauswertung!$B592:$E592,0),0)=0,BB603,INDEX(Spielauswertung!$AB592:$AE592,MATCH(Tabelle11[[#Headers],[Spalte41]],Spielauswertung!$B592:$E592,0))+BB603)</f>
        <v>100</v>
      </c>
      <c r="BC604" s="1">
        <f>IF(IFERROR(MATCH(Tabelle11[[#Headers],[Spalte42]],Spielauswertung!$B592:$E592,0),0)=0,BC603,INDEX(Spielauswertung!$AB592:$AE592,MATCH(Tabelle11[[#Headers],[Spalte42]],Spielauswertung!$B592:$E592,0))+BC603)</f>
        <v>100</v>
      </c>
      <c r="BD604" s="1">
        <f>IF(IFERROR(MATCH(Tabelle11[[#Headers],[Spalte43]],Spielauswertung!$B592:$E592,0),0)=0,BD603,INDEX(Spielauswertung!$AB592:$AE592,MATCH(Tabelle11[[#Headers],[Spalte43]],Spielauswertung!$B592:$E592,0))+BD603)</f>
        <v>100</v>
      </c>
      <c r="BE604" s="1">
        <f>IF(IFERROR(MATCH(Tabelle11[[#Headers],[Spalte44]],Spielauswertung!$B592:$E592,0),0)=0,BE603,INDEX(Spielauswertung!$AB592:$AE592,MATCH(Tabelle11[[#Headers],[Spalte44]],Spielauswertung!$B592:$E592,0))+BE603)</f>
        <v>100</v>
      </c>
      <c r="BF604" s="1">
        <f>IF(IFERROR(MATCH(Tabelle11[[#Headers],[Spalte45]],Spielauswertung!$B592:$E592,0),0)=0,BF603,INDEX(Spielauswertung!$AB592:$AE592,MATCH(Tabelle11[[#Headers],[Spalte45]],Spielauswertung!$B592:$E592,0))+BF603)</f>
        <v>100</v>
      </c>
      <c r="BG604" s="1">
        <f>IF(IFERROR(MATCH(Tabelle11[[#Headers],[Spalte46]],Spielauswertung!$B592:$E592,0),0)=0,BG603,INDEX(Spielauswertung!$AB592:$AE592,MATCH(Tabelle11[[#Headers],[Spalte46]],Spielauswertung!$B592:$E592,0))+BG603)</f>
        <v>100</v>
      </c>
      <c r="BH604" s="1">
        <f>IF(IFERROR(MATCH(Tabelle11[[#Headers],[Spalte47]],Spielauswertung!$B592:$E592,0),0)=0,BH603,INDEX(Spielauswertung!$AB592:$AE592,MATCH(Tabelle11[[#Headers],[Spalte47]],Spielauswertung!$B592:$E592,0))+BH603)</f>
        <v>100</v>
      </c>
    </row>
    <row r="605" spans="1:60" x14ac:dyDescent="0.25">
      <c r="A605">
        <f t="shared" si="10"/>
        <v>592</v>
      </c>
      <c r="B605" s="1">
        <f>IF(IFERROR(MATCH(Tabelle11[[#Headers],[Aleix_V]],Spielauswertung!$B593:$E593,0),0)=0,B604,INDEX(Spielauswertung!$AB593:$AE593,MATCH(Tabelle11[[#Headers],[Aleix_V]],Spielauswertung!$B593:$E593,0))+B604)</f>
        <v>102.47318019444646</v>
      </c>
      <c r="C605" s="1">
        <f>IF(IFERROR(MATCH(Tabelle11[[#Headers],[Andres_H]],Spielauswertung!$B593:$E593,0),0)=0,C604,INDEX(Spielauswertung!$AB593:$AE593,MATCH(Tabelle11[[#Headers],[Andres_H]],Spielauswertung!$B593:$E593,0))+C604)</f>
        <v>95.535732339111306</v>
      </c>
      <c r="D605" s="1">
        <f>IF(IFERROR(MATCH(Tabelle11[[#Headers],[Anton_K]],Spielauswertung!$B593:$E593,0),0)=0,D604,INDEX(Spielauswertung!$AB593:$AE593,MATCH(Tabelle11[[#Headers],[Anton_K]],Spielauswertung!$B593:$E593,0))+D604)</f>
        <v>99.287728777054667</v>
      </c>
      <c r="E605" s="1">
        <f>IF(IFERROR(MATCH(Tabelle11[[#Headers],[Bastian_G]],Spielauswertung!$B593:$E593,0),0)=0,E604,INDEX(Spielauswertung!$AB593:$AE593,MATCH(Tabelle11[[#Headers],[Bastian_G]],Spielauswertung!$B593:$E593,0))+E604)</f>
        <v>117.49978695184252</v>
      </c>
      <c r="F605" s="1">
        <f>IF(IFERROR(MATCH(Tabelle11[[#Headers],[Ben_S]],Spielauswertung!$B593:$E593,0),0)=0,F604,INDEX(Spielauswertung!$AB593:$AE593,MATCH(Tabelle11[[#Headers],[Ben_S]],Spielauswertung!$B593:$E593,0))+F604)</f>
        <v>95.932799101521084</v>
      </c>
      <c r="G605" s="1">
        <f>IF(IFERROR(MATCH(Tabelle11[[#Headers],[Benedikt_K]],Spielauswertung!$B593:$E593,0),0)=0,G604,INDEX(Spielauswertung!$AB593:$AE593,MATCH(Tabelle11[[#Headers],[Benedikt_K]],Spielauswertung!$B593:$E593,0))+G604)</f>
        <v>101.20264176422626</v>
      </c>
      <c r="H605" s="1">
        <f>IF(IFERROR(MATCH(Tabelle11[[#Headers],[Benedikt_R]],Spielauswertung!$B593:$E593,0),0)=0,H604,INDEX(Spielauswertung!$AB593:$AE593,MATCH(Tabelle11[[#Headers],[Benedikt_R]],Spielauswertung!$B593:$E593,0))+H604)</f>
        <v>102.6264770510757</v>
      </c>
      <c r="I605" s="1">
        <f>IF(IFERROR(MATCH(Tabelle11[[#Headers],[Carsten_H]],Spielauswertung!$B593:$E593,0),0)=0,I604,INDEX(Spielauswertung!$AB593:$AE593,MATCH(Tabelle11[[#Headers],[Carsten_H]],Spielauswertung!$B593:$E593,0))+I604)</f>
        <v>90.817185094326874</v>
      </c>
      <c r="J605" s="1">
        <f>IF(IFERROR(MATCH(Tabelle11[[#Headers],[Christoph_R]],Spielauswertung!$B593:$E593,0),0)=0,J604,INDEX(Spielauswertung!$AB593:$AE593,MATCH(Tabelle11[[#Headers],[Christoph_R]],Spielauswertung!$B593:$E593,0))+J604)</f>
        <v>109.73261611443155</v>
      </c>
      <c r="K605" s="1">
        <f>IF(IFERROR(MATCH(Tabelle11[[#Headers],[Claudius_J]],Spielauswertung!$B593:$E593,0),0)=0,K604,INDEX(Spielauswertung!$AB593:$AE593,MATCH(Tabelle11[[#Headers],[Claudius_J]],Spielauswertung!$B593:$E593,0))+K604)</f>
        <v>106.16590636000029</v>
      </c>
      <c r="L605" s="1">
        <f>IF(IFERROR(MATCH(Tabelle11[[#Headers],[Daniel_D]],Spielauswertung!$B593:$E593,0),0)=0,L604,INDEX(Spielauswertung!$AB593:$AE593,MATCH(Tabelle11[[#Headers],[Daniel_D]],Spielauswertung!$B593:$E593,0))+L604)</f>
        <v>99.990299180470089</v>
      </c>
      <c r="M605" s="1">
        <f>IF(IFERROR(MATCH(Tabelle11[[#Headers],[David_R]],Spielauswertung!$B593:$E593,0),0)=0,M604,INDEX(Spielauswertung!$AB593:$AE593,MATCH(Tabelle11[[#Headers],[David_R]],Spielauswertung!$B593:$E593,0))+M604)</f>
        <v>96.715943522481638</v>
      </c>
      <c r="N605" s="1">
        <f>IF(IFERROR(MATCH(Tabelle11[[#Headers],[Dennis_P]],Spielauswertung!$B593:$E593,0),0)=0,N604,INDEX(Spielauswertung!$AB593:$AE593,MATCH(Tabelle11[[#Headers],[Dennis_P]],Spielauswertung!$B593:$E593,0))+N604)</f>
        <v>100.04773223105254</v>
      </c>
      <c r="O605" s="1">
        <f>IF(IFERROR(MATCH(Tabelle11[[#Headers],[Dennis_R]],Spielauswertung!$B593:$E593,0),0)=0,O604,INDEX(Spielauswertung!$AB593:$AE593,MATCH(Tabelle11[[#Headers],[Dennis_R]],Spielauswertung!$B593:$E593,0))+O604)</f>
        <v>75.131680864937195</v>
      </c>
      <c r="P605" s="1">
        <f>IF(IFERROR(MATCH(Tabelle11[[#Headers],[Detlef_R]],Spielauswertung!$B593:$E593,0),0)=0,P604,INDEX(Spielauswertung!$AB593:$AE593,MATCH(Tabelle11[[#Headers],[Detlef_R]],Spielauswertung!$B593:$E593,0))+P604)</f>
        <v>87.984671797367014</v>
      </c>
      <c r="Q605" s="1">
        <f>IF(IFERROR(MATCH(Tabelle11[[#Headers],[Dmitrij_M]],Spielauswertung!$B593:$E593,0),0)=0,Q604,INDEX(Spielauswertung!$AB593:$AE593,MATCH(Tabelle11[[#Headers],[Dmitrij_M]],Spielauswertung!$B593:$E593,0))+Q604)</f>
        <v>100.69975721846207</v>
      </c>
      <c r="R605" s="1">
        <f>IF(IFERROR(MATCH(Tabelle11[[#Headers],[Fabian_M]],Spielauswertung!$B593:$E593,0),0)=0,R604,INDEX(Spielauswertung!$AB593:$AE593,MATCH(Tabelle11[[#Headers],[Fabian_M]],Spielauswertung!$B593:$E593,0))+R604)</f>
        <v>95.805387841610738</v>
      </c>
      <c r="S605" s="1">
        <f>IF(IFERROR(MATCH(Tabelle11[[#Headers],[Hannes_S]],Spielauswertung!$B593:$E593,0),0)=0,S604,INDEX(Spielauswertung!$AB593:$AE593,MATCH(Tabelle11[[#Headers],[Hannes_S]],Spielauswertung!$B593:$E593,0))+S604)</f>
        <v>104.83899184012799</v>
      </c>
      <c r="T605" s="1">
        <f>IF(IFERROR(MATCH(Tabelle11[[#Headers],[Jan_B]],Spielauswertung!$B593:$E593,0),0)=0,T604,INDEX(Spielauswertung!$AB593:$AE593,MATCH(Tabelle11[[#Headers],[Jan_B]],Spielauswertung!$B593:$E593,0))+T604)</f>
        <v>100.2794420429173</v>
      </c>
      <c r="U605" s="1">
        <f>IF(IFERROR(MATCH(Tabelle11[[#Headers],[Jan_Hendrik_B]],Spielauswertung!$B593:$E593,0),0)=0,U604,INDEX(Spielauswertung!$AB593:$AE593,MATCH(Tabelle11[[#Headers],[Jan_Hendrik_B]],Spielauswertung!$B593:$E593,0))+U604)</f>
        <v>100.75492416935522</v>
      </c>
      <c r="V605" s="1">
        <f>IF(IFERROR(MATCH(Tabelle11[[#Headers],[Jens_N]],Spielauswertung!$B593:$E593,0),0)=0,V604,INDEX(Spielauswertung!$AB593:$AE593,MATCH(Tabelle11[[#Headers],[Jens_N]],Spielauswertung!$B593:$E593,0))+V604)</f>
        <v>99.643534710196832</v>
      </c>
      <c r="W605" s="1">
        <f>IF(IFERROR(MATCH(Tabelle11[[#Headers],[Johannes_S]],Spielauswertung!$B593:$E593,0),0)=0,W604,INDEX(Spielauswertung!$AB593:$AE593,MATCH(Tabelle11[[#Headers],[Johannes_S]],Spielauswertung!$B593:$E593,0))+W604)</f>
        <v>102.20284750979505</v>
      </c>
      <c r="X605" s="1">
        <f>IF(IFERROR(MATCH(Tabelle11[[#Headers],[Jonathan_F]],Spielauswertung!$B593:$E593,0),0)=0,X604,INDEX(Spielauswertung!$AB593:$AE593,MATCH(Tabelle11[[#Headers],[Jonathan_F]],Spielauswertung!$B593:$E593,0))+X604)</f>
        <v>98.938308797866256</v>
      </c>
      <c r="Y605" s="1">
        <f>IF(IFERROR(MATCH(Tabelle11[[#Headers],[Julius_P]],Spielauswertung!$B593:$E593,0),0)=0,Y604,INDEX(Spielauswertung!$AB593:$AE593,MATCH(Tabelle11[[#Headers],[Julius_P]],Spielauswertung!$B593:$E593,0))+Y604)</f>
        <v>96.540305101873642</v>
      </c>
      <c r="Z605" s="1">
        <f>IF(IFERROR(MATCH(Tabelle11[[#Headers],[Louis_W]],Spielauswertung!$B593:$E593,0),0)=0,Z604,INDEX(Spielauswertung!$AB593:$AE593,MATCH(Tabelle11[[#Headers],[Louis_W]],Spielauswertung!$B593:$E593,0))+Z604)</f>
        <v>87.497452285475362</v>
      </c>
      <c r="AA605" s="1">
        <f>IF(IFERROR(MATCH(Tabelle11[[#Headers],[Lukas_L]],Spielauswertung!$B593:$E593,0),0)=0,AA604,INDEX(Spielauswertung!$AB593:$AE593,MATCH(Tabelle11[[#Headers],[Lukas_L]],Spielauswertung!$B593:$E593,0))+AA604)</f>
        <v>98.447931341404143</v>
      </c>
      <c r="AB605" s="1">
        <f>IF(IFERROR(MATCH(Tabelle11[[#Headers],[Marcin_S]],Spielauswertung!$B593:$E593,0),0)=0,AB604,INDEX(Spielauswertung!$AB593:$AE593,MATCH(Tabelle11[[#Headers],[Marcin_S]],Spielauswertung!$B593:$E593,0))+AB604)</f>
        <v>85.463329105556824</v>
      </c>
      <c r="AC605" s="1">
        <f>IF(IFERROR(MATCH(Tabelle11[[#Headers],[Marco_K]],Spielauswertung!$B593:$E593,0),0)=0,AC604,INDEX(Spielauswertung!$AB593:$AE593,MATCH(Tabelle11[[#Headers],[Marco_K]],Spielauswertung!$B593:$E593,0))+AC604)</f>
        <v>102.12169819441469</v>
      </c>
      <c r="AD605" s="1">
        <f>IF(IFERROR(MATCH(Tabelle11[[#Headers],[Marius_M]],Spielauswertung!$B593:$E593,0),0)=0,AD604,INDEX(Spielauswertung!$AB593:$AE593,MATCH(Tabelle11[[#Headers],[Marius_M]],Spielauswertung!$B593:$E593,0))+AD604)</f>
        <v>124.54012374585781</v>
      </c>
      <c r="AE605" s="1">
        <f>IF(IFERROR(MATCH(Tabelle11[[#Headers],[Marvin_W]],Spielauswertung!$B593:$E593,0),0)=0,AE604,INDEX(Spielauswertung!$AB593:$AE593,MATCH(Tabelle11[[#Headers],[Marvin_W]],Spielauswertung!$B593:$E593,0))+AE604)</f>
        <v>96.700266280577438</v>
      </c>
      <c r="AF605" s="1">
        <f>IF(IFERROR(MATCH(Tabelle11[[#Headers],[Matthias_H]],Spielauswertung!$B593:$E593,0),0)=0,AF604,INDEX(Spielauswertung!$AB593:$AE593,MATCH(Tabelle11[[#Headers],[Matthias_H]],Spielauswertung!$B593:$E593,0))+AF604)</f>
        <v>105.42130178599372</v>
      </c>
      <c r="AG605" s="1">
        <f>IF(IFERROR(MATCH(Tabelle11[[#Headers],[Michael_D]],Spielauswertung!$B593:$E593,0),0)=0,AG604,INDEX(Spielauswertung!$AB593:$AE593,MATCH(Tabelle11[[#Headers],[Michael_D]],Spielauswertung!$B593:$E593,0))+AG604)</f>
        <v>96.436276170375336</v>
      </c>
      <c r="AH605" s="1">
        <f>IF(IFERROR(MATCH(Tabelle11[[#Headers],[Patrick_S]],Spielauswertung!$B593:$E593,0),0)=0,AH604,INDEX(Spielauswertung!$AB593:$AE593,MATCH(Tabelle11[[#Headers],[Patrick_S]],Spielauswertung!$B593:$E593,0))+AH604)</f>
        <v>98.975330692053802</v>
      </c>
      <c r="AI605" s="1">
        <f>IF(IFERROR(MATCH(Tabelle11[[#Headers],[Rano_M]],Spielauswertung!$B593:$E593,0),0)=0,AI604,INDEX(Spielauswertung!$AB593:$AE593,MATCH(Tabelle11[[#Headers],[Rano_M]],Spielauswertung!$B593:$E593,0))+AI604)</f>
        <v>109.38890657420265</v>
      </c>
      <c r="AJ605" s="1">
        <f>IF(IFERROR(MATCH(Tabelle11[[#Headers],[Rene_N]],Spielauswertung!$B593:$E593,0),0)=0,AJ604,INDEX(Spielauswertung!$AB593:$AE593,MATCH(Tabelle11[[#Headers],[Rene_N]],Spielauswertung!$B593:$E593,0))+AJ604)</f>
        <v>101.06482124619033</v>
      </c>
      <c r="AK605" s="1">
        <f>IF(IFERROR(MATCH(Tabelle11[[#Headers],[Rene_P]],Spielauswertung!$B593:$E593,0),0)=0,AK604,INDEX(Spielauswertung!$AB593:$AE593,MATCH(Tabelle11[[#Headers],[Rene_P]],Spielauswertung!$B593:$E593,0))+AK604)</f>
        <v>88.762543186332877</v>
      </c>
      <c r="AL605" s="1">
        <f>IF(IFERROR(MATCH(Tabelle11[[#Headers],[Richard_D]],Spielauswertung!$B593:$E593,0),0)=0,AL604,INDEX(Spielauswertung!$AB593:$AE593,MATCH(Tabelle11[[#Headers],[Richard_D]],Spielauswertung!$B593:$E593,0))+AL604)</f>
        <v>107.23233592026223</v>
      </c>
      <c r="AM605" s="1">
        <f>IF(IFERROR(MATCH(Tabelle11[[#Headers],[Rodrigo_R]],Spielauswertung!$B593:$E593,0),0)=0,AM604,INDEX(Spielauswertung!$AB593:$AE593,MATCH(Tabelle11[[#Headers],[Rodrigo_R]],Spielauswertung!$B593:$E593,0))+AM604)</f>
        <v>116.7028707921346</v>
      </c>
      <c r="AN605" s="1">
        <f>IF(IFERROR(MATCH(Tabelle11[[#Headers],[Sebastian_A]],Spielauswertung!$B593:$E593,0),0)=0,AN604,INDEX(Spielauswertung!$AB593:$AE593,MATCH(Tabelle11[[#Headers],[Sebastian_A]],Spielauswertung!$B593:$E593,0))+AN604)</f>
        <v>102.89457418671324</v>
      </c>
      <c r="AO605" s="1">
        <f>IF(IFERROR(MATCH(Tabelle11[[#Headers],[Sebastian_St]],Spielauswertung!$B593:$E593,0),0)=0,AO604,INDEX(Spielauswertung!$AB593:$AE593,MATCH(Tabelle11[[#Headers],[Sebastian_St]],Spielauswertung!$B593:$E593,0))+AO604)</f>
        <v>97.749574367408982</v>
      </c>
      <c r="AP605" s="1">
        <f>IF(IFERROR(MATCH(Tabelle11[[#Headers],[Simon_U]],Spielauswertung!$B593:$E593,0),0)=0,AP604,INDEX(Spielauswertung!$AB593:$AE593,MATCH(Tabelle11[[#Headers],[Simon_U]],Spielauswertung!$B593:$E593,0))+AP604)</f>
        <v>99.623054841470903</v>
      </c>
      <c r="AQ605" s="1">
        <f>IF(IFERROR(MATCH(Tabelle11[[#Headers],[Steffen_R]],Spielauswertung!$B593:$E593,0),0)=0,AQ604,INDEX(Spielauswertung!$AB593:$AE593,MATCH(Tabelle11[[#Headers],[Steffen_R]],Spielauswertung!$B593:$E593,0))+AQ604)</f>
        <v>93.247497067190949</v>
      </c>
      <c r="AR605" s="1">
        <f>IF(IFERROR(MATCH(Tabelle11[[#Headers],[Tim_R]],Spielauswertung!$B593:$E593,0),0)=0,AR604,INDEX(Spielauswertung!$AB593:$AE593,MATCH(Tabelle11[[#Headers],[Tim_R]],Spielauswertung!$B593:$E593,0))+AR604)</f>
        <v>103.07503787023374</v>
      </c>
      <c r="AS605" s="1">
        <f>IF(IFERROR(MATCH(Tabelle11[[#Headers],[Tobias_S]],Spielauswertung!$B593:$E593,0),0)=0,AS604,INDEX(Spielauswertung!$AB593:$AE593,MATCH(Tabelle11[[#Headers],[Tobias_S]],Spielauswertung!$B593:$E593,0))+AS604)</f>
        <v>98.6003422659997</v>
      </c>
      <c r="AT605" s="1">
        <f>IF(IFERROR(MATCH(Tabelle11[[#Headers],[Tom_R]],Spielauswertung!$B593:$E593,0),0)=0,AT604,INDEX(Spielauswertung!$AB593:$AE593,MATCH(Tabelle11[[#Headers],[Tom_R]],Spielauswertung!$B593:$E593,0))+AT604)</f>
        <v>112.62344492949197</v>
      </c>
      <c r="AU605" s="1">
        <f>IF(IFERROR(MATCH(Tabelle11[[#Headers],[Ton_L]],Spielauswertung!$B593:$E593,0),0)=0,AU604,INDEX(Spielauswertung!$AB593:$AE593,MATCH(Tabelle11[[#Headers],[Ton_L]],Spielauswertung!$B593:$E593,0))+AU604)</f>
        <v>92.683083360025861</v>
      </c>
      <c r="AV605" s="1">
        <f>IF(IFERROR(MATCH(Tabelle11[[#Headers],[Yixin_G]],Spielauswertung!$B593:$E593,0),0)=0,AV604,INDEX(Spielauswertung!$AB593:$AE593,MATCH(Tabelle11[[#Headers],[Yixin_G]],Spielauswertung!$B593:$E593,0))+AV604)</f>
        <v>99.900323214082661</v>
      </c>
      <c r="AW605" s="1">
        <f>IF(IFERROR(MATCH(Tabelle11[[#Headers],[Spalte36]],Spielauswertung!$B593:$E593,0),0)=0,AW604,INDEX(Spielauswertung!$AB593:$AE593,MATCH(Tabelle11[[#Headers],[Spalte36]],Spielauswertung!$B593:$E593,0))+AW604)</f>
        <v>100</v>
      </c>
      <c r="AX605" s="1">
        <f>IF(IFERROR(MATCH(Tabelle11[[#Headers],[Spalte37]],Spielauswertung!$B593:$E593,0),0)=0,AX604,INDEX(Spielauswertung!$AB593:$AE593,MATCH(Tabelle11[[#Headers],[Spalte37]],Spielauswertung!$B593:$E593,0))+AX604)</f>
        <v>100</v>
      </c>
      <c r="AY605" s="1">
        <f>IF(IFERROR(MATCH(Tabelle11[[#Headers],[Spalte38]],Spielauswertung!$B593:$E593,0),0)=0,AY604,INDEX(Spielauswertung!$AB593:$AE593,MATCH(Tabelle11[[#Headers],[Spalte38]],Spielauswertung!$B593:$E593,0))+AY604)</f>
        <v>100</v>
      </c>
      <c r="AZ605" s="1">
        <f>IF(IFERROR(MATCH(Tabelle11[[#Headers],[Spalte39]],Spielauswertung!$B593:$E593,0),0)=0,AZ604,INDEX(Spielauswertung!$AB593:$AE593,MATCH(Tabelle11[[#Headers],[Spalte39]],Spielauswertung!$B593:$E593,0))+AZ604)</f>
        <v>100</v>
      </c>
      <c r="BA605" s="1">
        <f>IF(IFERROR(MATCH(Tabelle11[[#Headers],[Spalte40]],Spielauswertung!$B593:$E593,0),0)=0,BA604,INDEX(Spielauswertung!$AB593:$AE593,MATCH(Tabelle11[[#Headers],[Spalte40]],Spielauswertung!$B593:$E593,0))+BA604)</f>
        <v>100</v>
      </c>
      <c r="BB605" s="1">
        <f>IF(IFERROR(MATCH(Tabelle11[[#Headers],[Spalte41]],Spielauswertung!$B593:$E593,0),0)=0,BB604,INDEX(Spielauswertung!$AB593:$AE593,MATCH(Tabelle11[[#Headers],[Spalte41]],Spielauswertung!$B593:$E593,0))+BB604)</f>
        <v>100</v>
      </c>
      <c r="BC605" s="1">
        <f>IF(IFERROR(MATCH(Tabelle11[[#Headers],[Spalte42]],Spielauswertung!$B593:$E593,0),0)=0,BC604,INDEX(Spielauswertung!$AB593:$AE593,MATCH(Tabelle11[[#Headers],[Spalte42]],Spielauswertung!$B593:$E593,0))+BC604)</f>
        <v>100</v>
      </c>
      <c r="BD605" s="1">
        <f>IF(IFERROR(MATCH(Tabelle11[[#Headers],[Spalte43]],Spielauswertung!$B593:$E593,0),0)=0,BD604,INDEX(Spielauswertung!$AB593:$AE593,MATCH(Tabelle11[[#Headers],[Spalte43]],Spielauswertung!$B593:$E593,0))+BD604)</f>
        <v>100</v>
      </c>
      <c r="BE605" s="1">
        <f>IF(IFERROR(MATCH(Tabelle11[[#Headers],[Spalte44]],Spielauswertung!$B593:$E593,0),0)=0,BE604,INDEX(Spielauswertung!$AB593:$AE593,MATCH(Tabelle11[[#Headers],[Spalte44]],Spielauswertung!$B593:$E593,0))+BE604)</f>
        <v>100</v>
      </c>
      <c r="BF605" s="1">
        <f>IF(IFERROR(MATCH(Tabelle11[[#Headers],[Spalte45]],Spielauswertung!$B593:$E593,0),0)=0,BF604,INDEX(Spielauswertung!$AB593:$AE593,MATCH(Tabelle11[[#Headers],[Spalte45]],Spielauswertung!$B593:$E593,0))+BF604)</f>
        <v>100</v>
      </c>
      <c r="BG605" s="1">
        <f>IF(IFERROR(MATCH(Tabelle11[[#Headers],[Spalte46]],Spielauswertung!$B593:$E593,0),0)=0,BG604,INDEX(Spielauswertung!$AB593:$AE593,MATCH(Tabelle11[[#Headers],[Spalte46]],Spielauswertung!$B593:$E593,0))+BG604)</f>
        <v>100</v>
      </c>
      <c r="BH605" s="1">
        <f>IF(IFERROR(MATCH(Tabelle11[[#Headers],[Spalte47]],Spielauswertung!$B593:$E593,0),0)=0,BH604,INDEX(Spielauswertung!$AB593:$AE593,MATCH(Tabelle11[[#Headers],[Spalte47]],Spielauswertung!$B593:$E593,0))+BH604)</f>
        <v>100</v>
      </c>
    </row>
    <row r="606" spans="1:60" x14ac:dyDescent="0.25">
      <c r="A606">
        <f t="shared" si="10"/>
        <v>593</v>
      </c>
      <c r="B606" s="1">
        <f>IF(IFERROR(MATCH(Tabelle11[[#Headers],[Aleix_V]],Spielauswertung!$B594:$E594,0),0)=0,B605,INDEX(Spielauswertung!$AB594:$AE594,MATCH(Tabelle11[[#Headers],[Aleix_V]],Spielauswertung!$B594:$E594,0))+B605)</f>
        <v>102.47318019444646</v>
      </c>
      <c r="C606" s="1">
        <f>IF(IFERROR(MATCH(Tabelle11[[#Headers],[Andres_H]],Spielauswertung!$B594:$E594,0),0)=0,C605,INDEX(Spielauswertung!$AB594:$AE594,MATCH(Tabelle11[[#Headers],[Andres_H]],Spielauswertung!$B594:$E594,0))+C605)</f>
        <v>95.535732339111306</v>
      </c>
      <c r="D606" s="1">
        <f>IF(IFERROR(MATCH(Tabelle11[[#Headers],[Anton_K]],Spielauswertung!$B594:$E594,0),0)=0,D605,INDEX(Spielauswertung!$AB594:$AE594,MATCH(Tabelle11[[#Headers],[Anton_K]],Spielauswertung!$B594:$E594,0))+D605)</f>
        <v>99.287728777054667</v>
      </c>
      <c r="E606" s="1">
        <f>IF(IFERROR(MATCH(Tabelle11[[#Headers],[Bastian_G]],Spielauswertung!$B594:$E594,0),0)=0,E605,INDEX(Spielauswertung!$AB594:$AE594,MATCH(Tabelle11[[#Headers],[Bastian_G]],Spielauswertung!$B594:$E594,0))+E605)</f>
        <v>117.49978695184252</v>
      </c>
      <c r="F606" s="1">
        <f>IF(IFERROR(MATCH(Tabelle11[[#Headers],[Ben_S]],Spielauswertung!$B594:$E594,0),0)=0,F605,INDEX(Spielauswertung!$AB594:$AE594,MATCH(Tabelle11[[#Headers],[Ben_S]],Spielauswertung!$B594:$E594,0))+F605)</f>
        <v>95.932799101521084</v>
      </c>
      <c r="G606" s="1">
        <f>IF(IFERROR(MATCH(Tabelle11[[#Headers],[Benedikt_K]],Spielauswertung!$B594:$E594,0),0)=0,G605,INDEX(Spielauswertung!$AB594:$AE594,MATCH(Tabelle11[[#Headers],[Benedikt_K]],Spielauswertung!$B594:$E594,0))+G605)</f>
        <v>101.20264176422626</v>
      </c>
      <c r="H606" s="1">
        <f>IF(IFERROR(MATCH(Tabelle11[[#Headers],[Benedikt_R]],Spielauswertung!$B594:$E594,0),0)=0,H605,INDEX(Spielauswertung!$AB594:$AE594,MATCH(Tabelle11[[#Headers],[Benedikt_R]],Spielauswertung!$B594:$E594,0))+H605)</f>
        <v>102.6264770510757</v>
      </c>
      <c r="I606" s="1">
        <f>IF(IFERROR(MATCH(Tabelle11[[#Headers],[Carsten_H]],Spielauswertung!$B594:$E594,0),0)=0,I605,INDEX(Spielauswertung!$AB594:$AE594,MATCH(Tabelle11[[#Headers],[Carsten_H]],Spielauswertung!$B594:$E594,0))+I605)</f>
        <v>90.817185094326874</v>
      </c>
      <c r="J606" s="1">
        <f>IF(IFERROR(MATCH(Tabelle11[[#Headers],[Christoph_R]],Spielauswertung!$B594:$E594,0),0)=0,J605,INDEX(Spielauswertung!$AB594:$AE594,MATCH(Tabelle11[[#Headers],[Christoph_R]],Spielauswertung!$B594:$E594,0))+J605)</f>
        <v>109.73261611443155</v>
      </c>
      <c r="K606" s="1">
        <f>IF(IFERROR(MATCH(Tabelle11[[#Headers],[Claudius_J]],Spielauswertung!$B594:$E594,0),0)=0,K605,INDEX(Spielauswertung!$AB594:$AE594,MATCH(Tabelle11[[#Headers],[Claudius_J]],Spielauswertung!$B594:$E594,0))+K605)</f>
        <v>106.16590636000029</v>
      </c>
      <c r="L606" s="1">
        <f>IF(IFERROR(MATCH(Tabelle11[[#Headers],[Daniel_D]],Spielauswertung!$B594:$E594,0),0)=0,L605,INDEX(Spielauswertung!$AB594:$AE594,MATCH(Tabelle11[[#Headers],[Daniel_D]],Spielauswertung!$B594:$E594,0))+L605)</f>
        <v>99.990299180470089</v>
      </c>
      <c r="M606" s="1">
        <f>IF(IFERROR(MATCH(Tabelle11[[#Headers],[David_R]],Spielauswertung!$B594:$E594,0),0)=0,M605,INDEX(Spielauswertung!$AB594:$AE594,MATCH(Tabelle11[[#Headers],[David_R]],Spielauswertung!$B594:$E594,0))+M605)</f>
        <v>96.715943522481638</v>
      </c>
      <c r="N606" s="1">
        <f>IF(IFERROR(MATCH(Tabelle11[[#Headers],[Dennis_P]],Spielauswertung!$B594:$E594,0),0)=0,N605,INDEX(Spielauswertung!$AB594:$AE594,MATCH(Tabelle11[[#Headers],[Dennis_P]],Spielauswertung!$B594:$E594,0))+N605)</f>
        <v>100.04773223105254</v>
      </c>
      <c r="O606" s="1">
        <f>IF(IFERROR(MATCH(Tabelle11[[#Headers],[Dennis_R]],Spielauswertung!$B594:$E594,0),0)=0,O605,INDEX(Spielauswertung!$AB594:$AE594,MATCH(Tabelle11[[#Headers],[Dennis_R]],Spielauswertung!$B594:$E594,0))+O605)</f>
        <v>75.131680864937195</v>
      </c>
      <c r="P606" s="1">
        <f>IF(IFERROR(MATCH(Tabelle11[[#Headers],[Detlef_R]],Spielauswertung!$B594:$E594,0),0)=0,P605,INDEX(Spielauswertung!$AB594:$AE594,MATCH(Tabelle11[[#Headers],[Detlef_R]],Spielauswertung!$B594:$E594,0))+P605)</f>
        <v>87.984671797367014</v>
      </c>
      <c r="Q606" s="1">
        <f>IF(IFERROR(MATCH(Tabelle11[[#Headers],[Dmitrij_M]],Spielauswertung!$B594:$E594,0),0)=0,Q605,INDEX(Spielauswertung!$AB594:$AE594,MATCH(Tabelle11[[#Headers],[Dmitrij_M]],Spielauswertung!$B594:$E594,0))+Q605)</f>
        <v>100.69975721846207</v>
      </c>
      <c r="R606" s="1">
        <f>IF(IFERROR(MATCH(Tabelle11[[#Headers],[Fabian_M]],Spielauswertung!$B594:$E594,0),0)=0,R605,INDEX(Spielauswertung!$AB594:$AE594,MATCH(Tabelle11[[#Headers],[Fabian_M]],Spielauswertung!$B594:$E594,0))+R605)</f>
        <v>95.805387841610738</v>
      </c>
      <c r="S606" s="1">
        <f>IF(IFERROR(MATCH(Tabelle11[[#Headers],[Hannes_S]],Spielauswertung!$B594:$E594,0),0)=0,S605,INDEX(Spielauswertung!$AB594:$AE594,MATCH(Tabelle11[[#Headers],[Hannes_S]],Spielauswertung!$B594:$E594,0))+S605)</f>
        <v>104.83899184012799</v>
      </c>
      <c r="T606" s="1">
        <f>IF(IFERROR(MATCH(Tabelle11[[#Headers],[Jan_B]],Spielauswertung!$B594:$E594,0),0)=0,T605,INDEX(Spielauswertung!$AB594:$AE594,MATCH(Tabelle11[[#Headers],[Jan_B]],Spielauswertung!$B594:$E594,0))+T605)</f>
        <v>100.2794420429173</v>
      </c>
      <c r="U606" s="1">
        <f>IF(IFERROR(MATCH(Tabelle11[[#Headers],[Jan_Hendrik_B]],Spielauswertung!$B594:$E594,0),0)=0,U605,INDEX(Spielauswertung!$AB594:$AE594,MATCH(Tabelle11[[#Headers],[Jan_Hendrik_B]],Spielauswertung!$B594:$E594,0))+U605)</f>
        <v>100.75492416935522</v>
      </c>
      <c r="V606" s="1">
        <f>IF(IFERROR(MATCH(Tabelle11[[#Headers],[Jens_N]],Spielauswertung!$B594:$E594,0),0)=0,V605,INDEX(Spielauswertung!$AB594:$AE594,MATCH(Tabelle11[[#Headers],[Jens_N]],Spielauswertung!$B594:$E594,0))+V605)</f>
        <v>99.643534710196832</v>
      </c>
      <c r="W606" s="1">
        <f>IF(IFERROR(MATCH(Tabelle11[[#Headers],[Johannes_S]],Spielauswertung!$B594:$E594,0),0)=0,W605,INDEX(Spielauswertung!$AB594:$AE594,MATCH(Tabelle11[[#Headers],[Johannes_S]],Spielauswertung!$B594:$E594,0))+W605)</f>
        <v>102.20284750979505</v>
      </c>
      <c r="X606" s="1">
        <f>IF(IFERROR(MATCH(Tabelle11[[#Headers],[Jonathan_F]],Spielauswertung!$B594:$E594,0),0)=0,X605,INDEX(Spielauswertung!$AB594:$AE594,MATCH(Tabelle11[[#Headers],[Jonathan_F]],Spielauswertung!$B594:$E594,0))+X605)</f>
        <v>98.938308797866256</v>
      </c>
      <c r="Y606" s="1">
        <f>IF(IFERROR(MATCH(Tabelle11[[#Headers],[Julius_P]],Spielauswertung!$B594:$E594,0),0)=0,Y605,INDEX(Spielauswertung!$AB594:$AE594,MATCH(Tabelle11[[#Headers],[Julius_P]],Spielauswertung!$B594:$E594,0))+Y605)</f>
        <v>96.540305101873642</v>
      </c>
      <c r="Z606" s="1">
        <f>IF(IFERROR(MATCH(Tabelle11[[#Headers],[Louis_W]],Spielauswertung!$B594:$E594,0),0)=0,Z605,INDEX(Spielauswertung!$AB594:$AE594,MATCH(Tabelle11[[#Headers],[Louis_W]],Spielauswertung!$B594:$E594,0))+Z605)</f>
        <v>87.497452285475362</v>
      </c>
      <c r="AA606" s="1">
        <f>IF(IFERROR(MATCH(Tabelle11[[#Headers],[Lukas_L]],Spielauswertung!$B594:$E594,0),0)=0,AA605,INDEX(Spielauswertung!$AB594:$AE594,MATCH(Tabelle11[[#Headers],[Lukas_L]],Spielauswertung!$B594:$E594,0))+AA605)</f>
        <v>98.447931341404143</v>
      </c>
      <c r="AB606" s="1">
        <f>IF(IFERROR(MATCH(Tabelle11[[#Headers],[Marcin_S]],Spielauswertung!$B594:$E594,0),0)=0,AB605,INDEX(Spielauswertung!$AB594:$AE594,MATCH(Tabelle11[[#Headers],[Marcin_S]],Spielauswertung!$B594:$E594,0))+AB605)</f>
        <v>85.463329105556824</v>
      </c>
      <c r="AC606" s="1">
        <f>IF(IFERROR(MATCH(Tabelle11[[#Headers],[Marco_K]],Spielauswertung!$B594:$E594,0),0)=0,AC605,INDEX(Spielauswertung!$AB594:$AE594,MATCH(Tabelle11[[#Headers],[Marco_K]],Spielauswertung!$B594:$E594,0))+AC605)</f>
        <v>102.12169819441469</v>
      </c>
      <c r="AD606" s="1">
        <f>IF(IFERROR(MATCH(Tabelle11[[#Headers],[Marius_M]],Spielauswertung!$B594:$E594,0),0)=0,AD605,INDEX(Spielauswertung!$AB594:$AE594,MATCH(Tabelle11[[#Headers],[Marius_M]],Spielauswertung!$B594:$E594,0))+AD605)</f>
        <v>124.54012374585781</v>
      </c>
      <c r="AE606" s="1">
        <f>IF(IFERROR(MATCH(Tabelle11[[#Headers],[Marvin_W]],Spielauswertung!$B594:$E594,0),0)=0,AE605,INDEX(Spielauswertung!$AB594:$AE594,MATCH(Tabelle11[[#Headers],[Marvin_W]],Spielauswertung!$B594:$E594,0))+AE605)</f>
        <v>96.700266280577438</v>
      </c>
      <c r="AF606" s="1">
        <f>IF(IFERROR(MATCH(Tabelle11[[#Headers],[Matthias_H]],Spielauswertung!$B594:$E594,0),0)=0,AF605,INDEX(Spielauswertung!$AB594:$AE594,MATCH(Tabelle11[[#Headers],[Matthias_H]],Spielauswertung!$B594:$E594,0))+AF605)</f>
        <v>105.42130178599372</v>
      </c>
      <c r="AG606" s="1">
        <f>IF(IFERROR(MATCH(Tabelle11[[#Headers],[Michael_D]],Spielauswertung!$B594:$E594,0),0)=0,AG605,INDEX(Spielauswertung!$AB594:$AE594,MATCH(Tabelle11[[#Headers],[Michael_D]],Spielauswertung!$B594:$E594,0))+AG605)</f>
        <v>96.436276170375336</v>
      </c>
      <c r="AH606" s="1">
        <f>IF(IFERROR(MATCH(Tabelle11[[#Headers],[Patrick_S]],Spielauswertung!$B594:$E594,0),0)=0,AH605,INDEX(Spielauswertung!$AB594:$AE594,MATCH(Tabelle11[[#Headers],[Patrick_S]],Spielauswertung!$B594:$E594,0))+AH605)</f>
        <v>98.975330692053802</v>
      </c>
      <c r="AI606" s="1">
        <f>IF(IFERROR(MATCH(Tabelle11[[#Headers],[Rano_M]],Spielauswertung!$B594:$E594,0),0)=0,AI605,INDEX(Spielauswertung!$AB594:$AE594,MATCH(Tabelle11[[#Headers],[Rano_M]],Spielauswertung!$B594:$E594,0))+AI605)</f>
        <v>109.38890657420265</v>
      </c>
      <c r="AJ606" s="1">
        <f>IF(IFERROR(MATCH(Tabelle11[[#Headers],[Rene_N]],Spielauswertung!$B594:$E594,0),0)=0,AJ605,INDEX(Spielauswertung!$AB594:$AE594,MATCH(Tabelle11[[#Headers],[Rene_N]],Spielauswertung!$B594:$E594,0))+AJ605)</f>
        <v>101.06482124619033</v>
      </c>
      <c r="AK606" s="1">
        <f>IF(IFERROR(MATCH(Tabelle11[[#Headers],[Rene_P]],Spielauswertung!$B594:$E594,0),0)=0,AK605,INDEX(Spielauswertung!$AB594:$AE594,MATCH(Tabelle11[[#Headers],[Rene_P]],Spielauswertung!$B594:$E594,0))+AK605)</f>
        <v>88.762543186332877</v>
      </c>
      <c r="AL606" s="1">
        <f>IF(IFERROR(MATCH(Tabelle11[[#Headers],[Richard_D]],Spielauswertung!$B594:$E594,0),0)=0,AL605,INDEX(Spielauswertung!$AB594:$AE594,MATCH(Tabelle11[[#Headers],[Richard_D]],Spielauswertung!$B594:$E594,0))+AL605)</f>
        <v>107.23233592026223</v>
      </c>
      <c r="AM606" s="1">
        <f>IF(IFERROR(MATCH(Tabelle11[[#Headers],[Rodrigo_R]],Spielauswertung!$B594:$E594,0),0)=0,AM605,INDEX(Spielauswertung!$AB594:$AE594,MATCH(Tabelle11[[#Headers],[Rodrigo_R]],Spielauswertung!$B594:$E594,0))+AM605)</f>
        <v>116.7028707921346</v>
      </c>
      <c r="AN606" s="1">
        <f>IF(IFERROR(MATCH(Tabelle11[[#Headers],[Sebastian_A]],Spielauswertung!$B594:$E594,0),0)=0,AN605,INDEX(Spielauswertung!$AB594:$AE594,MATCH(Tabelle11[[#Headers],[Sebastian_A]],Spielauswertung!$B594:$E594,0))+AN605)</f>
        <v>102.89457418671324</v>
      </c>
      <c r="AO606" s="1">
        <f>IF(IFERROR(MATCH(Tabelle11[[#Headers],[Sebastian_St]],Spielauswertung!$B594:$E594,0),0)=0,AO605,INDEX(Spielauswertung!$AB594:$AE594,MATCH(Tabelle11[[#Headers],[Sebastian_St]],Spielauswertung!$B594:$E594,0))+AO605)</f>
        <v>97.749574367408982</v>
      </c>
      <c r="AP606" s="1">
        <f>IF(IFERROR(MATCH(Tabelle11[[#Headers],[Simon_U]],Spielauswertung!$B594:$E594,0),0)=0,AP605,INDEX(Spielauswertung!$AB594:$AE594,MATCH(Tabelle11[[#Headers],[Simon_U]],Spielauswertung!$B594:$E594,0))+AP605)</f>
        <v>99.623054841470903</v>
      </c>
      <c r="AQ606" s="1">
        <f>IF(IFERROR(MATCH(Tabelle11[[#Headers],[Steffen_R]],Spielauswertung!$B594:$E594,0),0)=0,AQ605,INDEX(Spielauswertung!$AB594:$AE594,MATCH(Tabelle11[[#Headers],[Steffen_R]],Spielauswertung!$B594:$E594,0))+AQ605)</f>
        <v>93.247497067190949</v>
      </c>
      <c r="AR606" s="1">
        <f>IF(IFERROR(MATCH(Tabelle11[[#Headers],[Tim_R]],Spielauswertung!$B594:$E594,0),0)=0,AR605,INDEX(Spielauswertung!$AB594:$AE594,MATCH(Tabelle11[[#Headers],[Tim_R]],Spielauswertung!$B594:$E594,0))+AR605)</f>
        <v>103.07503787023374</v>
      </c>
      <c r="AS606" s="1">
        <f>IF(IFERROR(MATCH(Tabelle11[[#Headers],[Tobias_S]],Spielauswertung!$B594:$E594,0),0)=0,AS605,INDEX(Spielauswertung!$AB594:$AE594,MATCH(Tabelle11[[#Headers],[Tobias_S]],Spielauswertung!$B594:$E594,0))+AS605)</f>
        <v>98.6003422659997</v>
      </c>
      <c r="AT606" s="1">
        <f>IF(IFERROR(MATCH(Tabelle11[[#Headers],[Tom_R]],Spielauswertung!$B594:$E594,0),0)=0,AT605,INDEX(Spielauswertung!$AB594:$AE594,MATCH(Tabelle11[[#Headers],[Tom_R]],Spielauswertung!$B594:$E594,0))+AT605)</f>
        <v>112.62344492949197</v>
      </c>
      <c r="AU606" s="1">
        <f>IF(IFERROR(MATCH(Tabelle11[[#Headers],[Ton_L]],Spielauswertung!$B594:$E594,0),0)=0,AU605,INDEX(Spielauswertung!$AB594:$AE594,MATCH(Tabelle11[[#Headers],[Ton_L]],Spielauswertung!$B594:$E594,0))+AU605)</f>
        <v>92.683083360025861</v>
      </c>
      <c r="AV606" s="1">
        <f>IF(IFERROR(MATCH(Tabelle11[[#Headers],[Yixin_G]],Spielauswertung!$B594:$E594,0),0)=0,AV605,INDEX(Spielauswertung!$AB594:$AE594,MATCH(Tabelle11[[#Headers],[Yixin_G]],Spielauswertung!$B594:$E594,0))+AV605)</f>
        <v>99.900323214082661</v>
      </c>
      <c r="AW606" s="1">
        <f>IF(IFERROR(MATCH(Tabelle11[[#Headers],[Spalte36]],Spielauswertung!$B594:$E594,0),0)=0,AW605,INDEX(Spielauswertung!$AB594:$AE594,MATCH(Tabelle11[[#Headers],[Spalte36]],Spielauswertung!$B594:$E594,0))+AW605)</f>
        <v>100</v>
      </c>
      <c r="AX606" s="1">
        <f>IF(IFERROR(MATCH(Tabelle11[[#Headers],[Spalte37]],Spielauswertung!$B594:$E594,0),0)=0,AX605,INDEX(Spielauswertung!$AB594:$AE594,MATCH(Tabelle11[[#Headers],[Spalte37]],Spielauswertung!$B594:$E594,0))+AX605)</f>
        <v>100</v>
      </c>
      <c r="AY606" s="1">
        <f>IF(IFERROR(MATCH(Tabelle11[[#Headers],[Spalte38]],Spielauswertung!$B594:$E594,0),0)=0,AY605,INDEX(Spielauswertung!$AB594:$AE594,MATCH(Tabelle11[[#Headers],[Spalte38]],Spielauswertung!$B594:$E594,0))+AY605)</f>
        <v>100</v>
      </c>
      <c r="AZ606" s="1">
        <f>IF(IFERROR(MATCH(Tabelle11[[#Headers],[Spalte39]],Spielauswertung!$B594:$E594,0),0)=0,AZ605,INDEX(Spielauswertung!$AB594:$AE594,MATCH(Tabelle11[[#Headers],[Spalte39]],Spielauswertung!$B594:$E594,0))+AZ605)</f>
        <v>100</v>
      </c>
      <c r="BA606" s="1">
        <f>IF(IFERROR(MATCH(Tabelle11[[#Headers],[Spalte40]],Spielauswertung!$B594:$E594,0),0)=0,BA605,INDEX(Spielauswertung!$AB594:$AE594,MATCH(Tabelle11[[#Headers],[Spalte40]],Spielauswertung!$B594:$E594,0))+BA605)</f>
        <v>100</v>
      </c>
      <c r="BB606" s="1">
        <f>IF(IFERROR(MATCH(Tabelle11[[#Headers],[Spalte41]],Spielauswertung!$B594:$E594,0),0)=0,BB605,INDEX(Spielauswertung!$AB594:$AE594,MATCH(Tabelle11[[#Headers],[Spalte41]],Spielauswertung!$B594:$E594,0))+BB605)</f>
        <v>100</v>
      </c>
      <c r="BC606" s="1">
        <f>IF(IFERROR(MATCH(Tabelle11[[#Headers],[Spalte42]],Spielauswertung!$B594:$E594,0),0)=0,BC605,INDEX(Spielauswertung!$AB594:$AE594,MATCH(Tabelle11[[#Headers],[Spalte42]],Spielauswertung!$B594:$E594,0))+BC605)</f>
        <v>100</v>
      </c>
      <c r="BD606" s="1">
        <f>IF(IFERROR(MATCH(Tabelle11[[#Headers],[Spalte43]],Spielauswertung!$B594:$E594,0),0)=0,BD605,INDEX(Spielauswertung!$AB594:$AE594,MATCH(Tabelle11[[#Headers],[Spalte43]],Spielauswertung!$B594:$E594,0))+BD605)</f>
        <v>100</v>
      </c>
      <c r="BE606" s="1">
        <f>IF(IFERROR(MATCH(Tabelle11[[#Headers],[Spalte44]],Spielauswertung!$B594:$E594,0),0)=0,BE605,INDEX(Spielauswertung!$AB594:$AE594,MATCH(Tabelle11[[#Headers],[Spalte44]],Spielauswertung!$B594:$E594,0))+BE605)</f>
        <v>100</v>
      </c>
      <c r="BF606" s="1">
        <f>IF(IFERROR(MATCH(Tabelle11[[#Headers],[Spalte45]],Spielauswertung!$B594:$E594,0),0)=0,BF605,INDEX(Spielauswertung!$AB594:$AE594,MATCH(Tabelle11[[#Headers],[Spalte45]],Spielauswertung!$B594:$E594,0))+BF605)</f>
        <v>100</v>
      </c>
      <c r="BG606" s="1">
        <f>IF(IFERROR(MATCH(Tabelle11[[#Headers],[Spalte46]],Spielauswertung!$B594:$E594,0),0)=0,BG605,INDEX(Spielauswertung!$AB594:$AE594,MATCH(Tabelle11[[#Headers],[Spalte46]],Spielauswertung!$B594:$E594,0))+BG605)</f>
        <v>100</v>
      </c>
      <c r="BH606" s="1">
        <f>IF(IFERROR(MATCH(Tabelle11[[#Headers],[Spalte47]],Spielauswertung!$B594:$E594,0),0)=0,BH605,INDEX(Spielauswertung!$AB594:$AE594,MATCH(Tabelle11[[#Headers],[Spalte47]],Spielauswertung!$B594:$E594,0))+BH605)</f>
        <v>100</v>
      </c>
    </row>
    <row r="607" spans="1:60" x14ac:dyDescent="0.25">
      <c r="A607">
        <f t="shared" si="10"/>
        <v>594</v>
      </c>
      <c r="B607" s="1">
        <f>IF(IFERROR(MATCH(Tabelle11[[#Headers],[Aleix_V]],Spielauswertung!$B595:$E595,0),0)=0,B606,INDEX(Spielauswertung!$AB595:$AE595,MATCH(Tabelle11[[#Headers],[Aleix_V]],Spielauswertung!$B595:$E595,0))+B606)</f>
        <v>102.47318019444646</v>
      </c>
      <c r="C607" s="1">
        <f>IF(IFERROR(MATCH(Tabelle11[[#Headers],[Andres_H]],Spielauswertung!$B595:$E595,0),0)=0,C606,INDEX(Spielauswertung!$AB595:$AE595,MATCH(Tabelle11[[#Headers],[Andres_H]],Spielauswertung!$B595:$E595,0))+C606)</f>
        <v>95.535732339111306</v>
      </c>
      <c r="D607" s="1">
        <f>IF(IFERROR(MATCH(Tabelle11[[#Headers],[Anton_K]],Spielauswertung!$B595:$E595,0),0)=0,D606,INDEX(Spielauswertung!$AB595:$AE595,MATCH(Tabelle11[[#Headers],[Anton_K]],Spielauswertung!$B595:$E595,0))+D606)</f>
        <v>99.287728777054667</v>
      </c>
      <c r="E607" s="1">
        <f>IF(IFERROR(MATCH(Tabelle11[[#Headers],[Bastian_G]],Spielauswertung!$B595:$E595,0),0)=0,E606,INDEX(Spielauswertung!$AB595:$AE595,MATCH(Tabelle11[[#Headers],[Bastian_G]],Spielauswertung!$B595:$E595,0))+E606)</f>
        <v>117.49978695184252</v>
      </c>
      <c r="F607" s="1">
        <f>IF(IFERROR(MATCH(Tabelle11[[#Headers],[Ben_S]],Spielauswertung!$B595:$E595,0),0)=0,F606,INDEX(Spielauswertung!$AB595:$AE595,MATCH(Tabelle11[[#Headers],[Ben_S]],Spielauswertung!$B595:$E595,0))+F606)</f>
        <v>95.932799101521084</v>
      </c>
      <c r="G607" s="1">
        <f>IF(IFERROR(MATCH(Tabelle11[[#Headers],[Benedikt_K]],Spielauswertung!$B595:$E595,0),0)=0,G606,INDEX(Spielauswertung!$AB595:$AE595,MATCH(Tabelle11[[#Headers],[Benedikt_K]],Spielauswertung!$B595:$E595,0))+G606)</f>
        <v>101.20264176422626</v>
      </c>
      <c r="H607" s="1">
        <f>IF(IFERROR(MATCH(Tabelle11[[#Headers],[Benedikt_R]],Spielauswertung!$B595:$E595,0),0)=0,H606,INDEX(Spielauswertung!$AB595:$AE595,MATCH(Tabelle11[[#Headers],[Benedikt_R]],Spielauswertung!$B595:$E595,0))+H606)</f>
        <v>102.6264770510757</v>
      </c>
      <c r="I607" s="1">
        <f>IF(IFERROR(MATCH(Tabelle11[[#Headers],[Carsten_H]],Spielauswertung!$B595:$E595,0),0)=0,I606,INDEX(Spielauswertung!$AB595:$AE595,MATCH(Tabelle11[[#Headers],[Carsten_H]],Spielauswertung!$B595:$E595,0))+I606)</f>
        <v>90.817185094326874</v>
      </c>
      <c r="J607" s="1">
        <f>IF(IFERROR(MATCH(Tabelle11[[#Headers],[Christoph_R]],Spielauswertung!$B595:$E595,0),0)=0,J606,INDEX(Spielauswertung!$AB595:$AE595,MATCH(Tabelle11[[#Headers],[Christoph_R]],Spielauswertung!$B595:$E595,0))+J606)</f>
        <v>109.73261611443155</v>
      </c>
      <c r="K607" s="1">
        <f>IF(IFERROR(MATCH(Tabelle11[[#Headers],[Claudius_J]],Spielauswertung!$B595:$E595,0),0)=0,K606,INDEX(Spielauswertung!$AB595:$AE595,MATCH(Tabelle11[[#Headers],[Claudius_J]],Spielauswertung!$B595:$E595,0))+K606)</f>
        <v>106.16590636000029</v>
      </c>
      <c r="L607" s="1">
        <f>IF(IFERROR(MATCH(Tabelle11[[#Headers],[Daniel_D]],Spielauswertung!$B595:$E595,0),0)=0,L606,INDEX(Spielauswertung!$AB595:$AE595,MATCH(Tabelle11[[#Headers],[Daniel_D]],Spielauswertung!$B595:$E595,0))+L606)</f>
        <v>99.990299180470089</v>
      </c>
      <c r="M607" s="1">
        <f>IF(IFERROR(MATCH(Tabelle11[[#Headers],[David_R]],Spielauswertung!$B595:$E595,0),0)=0,M606,INDEX(Spielauswertung!$AB595:$AE595,MATCH(Tabelle11[[#Headers],[David_R]],Spielauswertung!$B595:$E595,0))+M606)</f>
        <v>96.715943522481638</v>
      </c>
      <c r="N607" s="1">
        <f>IF(IFERROR(MATCH(Tabelle11[[#Headers],[Dennis_P]],Spielauswertung!$B595:$E595,0),0)=0,N606,INDEX(Spielauswertung!$AB595:$AE595,MATCH(Tabelle11[[#Headers],[Dennis_P]],Spielauswertung!$B595:$E595,0))+N606)</f>
        <v>100.04773223105254</v>
      </c>
      <c r="O607" s="1">
        <f>IF(IFERROR(MATCH(Tabelle11[[#Headers],[Dennis_R]],Spielauswertung!$B595:$E595,0),0)=0,O606,INDEX(Spielauswertung!$AB595:$AE595,MATCH(Tabelle11[[#Headers],[Dennis_R]],Spielauswertung!$B595:$E595,0))+O606)</f>
        <v>75.131680864937195</v>
      </c>
      <c r="P607" s="1">
        <f>IF(IFERROR(MATCH(Tabelle11[[#Headers],[Detlef_R]],Spielauswertung!$B595:$E595,0),0)=0,P606,INDEX(Spielauswertung!$AB595:$AE595,MATCH(Tabelle11[[#Headers],[Detlef_R]],Spielauswertung!$B595:$E595,0))+P606)</f>
        <v>87.984671797367014</v>
      </c>
      <c r="Q607" s="1">
        <f>IF(IFERROR(MATCH(Tabelle11[[#Headers],[Dmitrij_M]],Spielauswertung!$B595:$E595,0),0)=0,Q606,INDEX(Spielauswertung!$AB595:$AE595,MATCH(Tabelle11[[#Headers],[Dmitrij_M]],Spielauswertung!$B595:$E595,0))+Q606)</f>
        <v>100.69975721846207</v>
      </c>
      <c r="R607" s="1">
        <f>IF(IFERROR(MATCH(Tabelle11[[#Headers],[Fabian_M]],Spielauswertung!$B595:$E595,0),0)=0,R606,INDEX(Spielauswertung!$AB595:$AE595,MATCH(Tabelle11[[#Headers],[Fabian_M]],Spielauswertung!$B595:$E595,0))+R606)</f>
        <v>95.805387841610738</v>
      </c>
      <c r="S607" s="1">
        <f>IF(IFERROR(MATCH(Tabelle11[[#Headers],[Hannes_S]],Spielauswertung!$B595:$E595,0),0)=0,S606,INDEX(Spielauswertung!$AB595:$AE595,MATCH(Tabelle11[[#Headers],[Hannes_S]],Spielauswertung!$B595:$E595,0))+S606)</f>
        <v>104.83899184012799</v>
      </c>
      <c r="T607" s="1">
        <f>IF(IFERROR(MATCH(Tabelle11[[#Headers],[Jan_B]],Spielauswertung!$B595:$E595,0),0)=0,T606,INDEX(Spielauswertung!$AB595:$AE595,MATCH(Tabelle11[[#Headers],[Jan_B]],Spielauswertung!$B595:$E595,0))+T606)</f>
        <v>100.2794420429173</v>
      </c>
      <c r="U607" s="1">
        <f>IF(IFERROR(MATCH(Tabelle11[[#Headers],[Jan_Hendrik_B]],Spielauswertung!$B595:$E595,0),0)=0,U606,INDEX(Spielauswertung!$AB595:$AE595,MATCH(Tabelle11[[#Headers],[Jan_Hendrik_B]],Spielauswertung!$B595:$E595,0))+U606)</f>
        <v>100.75492416935522</v>
      </c>
      <c r="V607" s="1">
        <f>IF(IFERROR(MATCH(Tabelle11[[#Headers],[Jens_N]],Spielauswertung!$B595:$E595,0),0)=0,V606,INDEX(Spielauswertung!$AB595:$AE595,MATCH(Tabelle11[[#Headers],[Jens_N]],Spielauswertung!$B595:$E595,0))+V606)</f>
        <v>99.643534710196832</v>
      </c>
      <c r="W607" s="1">
        <f>IF(IFERROR(MATCH(Tabelle11[[#Headers],[Johannes_S]],Spielauswertung!$B595:$E595,0),0)=0,W606,INDEX(Spielauswertung!$AB595:$AE595,MATCH(Tabelle11[[#Headers],[Johannes_S]],Spielauswertung!$B595:$E595,0))+W606)</f>
        <v>102.20284750979505</v>
      </c>
      <c r="X607" s="1">
        <f>IF(IFERROR(MATCH(Tabelle11[[#Headers],[Jonathan_F]],Spielauswertung!$B595:$E595,0),0)=0,X606,INDEX(Spielauswertung!$AB595:$AE595,MATCH(Tabelle11[[#Headers],[Jonathan_F]],Spielauswertung!$B595:$E595,0))+X606)</f>
        <v>98.938308797866256</v>
      </c>
      <c r="Y607" s="1">
        <f>IF(IFERROR(MATCH(Tabelle11[[#Headers],[Julius_P]],Spielauswertung!$B595:$E595,0),0)=0,Y606,INDEX(Spielauswertung!$AB595:$AE595,MATCH(Tabelle11[[#Headers],[Julius_P]],Spielauswertung!$B595:$E595,0))+Y606)</f>
        <v>96.540305101873642</v>
      </c>
      <c r="Z607" s="1">
        <f>IF(IFERROR(MATCH(Tabelle11[[#Headers],[Louis_W]],Spielauswertung!$B595:$E595,0),0)=0,Z606,INDEX(Spielauswertung!$AB595:$AE595,MATCH(Tabelle11[[#Headers],[Louis_W]],Spielauswertung!$B595:$E595,0))+Z606)</f>
        <v>87.497452285475362</v>
      </c>
      <c r="AA607" s="1">
        <f>IF(IFERROR(MATCH(Tabelle11[[#Headers],[Lukas_L]],Spielauswertung!$B595:$E595,0),0)=0,AA606,INDEX(Spielauswertung!$AB595:$AE595,MATCH(Tabelle11[[#Headers],[Lukas_L]],Spielauswertung!$B595:$E595,0))+AA606)</f>
        <v>98.447931341404143</v>
      </c>
      <c r="AB607" s="1">
        <f>IF(IFERROR(MATCH(Tabelle11[[#Headers],[Marcin_S]],Spielauswertung!$B595:$E595,0),0)=0,AB606,INDEX(Spielauswertung!$AB595:$AE595,MATCH(Tabelle11[[#Headers],[Marcin_S]],Spielauswertung!$B595:$E595,0))+AB606)</f>
        <v>85.463329105556824</v>
      </c>
      <c r="AC607" s="1">
        <f>IF(IFERROR(MATCH(Tabelle11[[#Headers],[Marco_K]],Spielauswertung!$B595:$E595,0),0)=0,AC606,INDEX(Spielauswertung!$AB595:$AE595,MATCH(Tabelle11[[#Headers],[Marco_K]],Spielauswertung!$B595:$E595,0))+AC606)</f>
        <v>102.12169819441469</v>
      </c>
      <c r="AD607" s="1">
        <f>IF(IFERROR(MATCH(Tabelle11[[#Headers],[Marius_M]],Spielauswertung!$B595:$E595,0),0)=0,AD606,INDEX(Spielauswertung!$AB595:$AE595,MATCH(Tabelle11[[#Headers],[Marius_M]],Spielauswertung!$B595:$E595,0))+AD606)</f>
        <v>124.54012374585781</v>
      </c>
      <c r="AE607" s="1">
        <f>IF(IFERROR(MATCH(Tabelle11[[#Headers],[Marvin_W]],Spielauswertung!$B595:$E595,0),0)=0,AE606,INDEX(Spielauswertung!$AB595:$AE595,MATCH(Tabelle11[[#Headers],[Marvin_W]],Spielauswertung!$B595:$E595,0))+AE606)</f>
        <v>96.700266280577438</v>
      </c>
      <c r="AF607" s="1">
        <f>IF(IFERROR(MATCH(Tabelle11[[#Headers],[Matthias_H]],Spielauswertung!$B595:$E595,0),0)=0,AF606,INDEX(Spielauswertung!$AB595:$AE595,MATCH(Tabelle11[[#Headers],[Matthias_H]],Spielauswertung!$B595:$E595,0))+AF606)</f>
        <v>105.42130178599372</v>
      </c>
      <c r="AG607" s="1">
        <f>IF(IFERROR(MATCH(Tabelle11[[#Headers],[Michael_D]],Spielauswertung!$B595:$E595,0),0)=0,AG606,INDEX(Spielauswertung!$AB595:$AE595,MATCH(Tabelle11[[#Headers],[Michael_D]],Spielauswertung!$B595:$E595,0))+AG606)</f>
        <v>96.436276170375336</v>
      </c>
      <c r="AH607" s="1">
        <f>IF(IFERROR(MATCH(Tabelle11[[#Headers],[Patrick_S]],Spielauswertung!$B595:$E595,0),0)=0,AH606,INDEX(Spielauswertung!$AB595:$AE595,MATCH(Tabelle11[[#Headers],[Patrick_S]],Spielauswertung!$B595:$E595,0))+AH606)</f>
        <v>98.975330692053802</v>
      </c>
      <c r="AI607" s="1">
        <f>IF(IFERROR(MATCH(Tabelle11[[#Headers],[Rano_M]],Spielauswertung!$B595:$E595,0),0)=0,AI606,INDEX(Spielauswertung!$AB595:$AE595,MATCH(Tabelle11[[#Headers],[Rano_M]],Spielauswertung!$B595:$E595,0))+AI606)</f>
        <v>109.38890657420265</v>
      </c>
      <c r="AJ607" s="1">
        <f>IF(IFERROR(MATCH(Tabelle11[[#Headers],[Rene_N]],Spielauswertung!$B595:$E595,0),0)=0,AJ606,INDEX(Spielauswertung!$AB595:$AE595,MATCH(Tabelle11[[#Headers],[Rene_N]],Spielauswertung!$B595:$E595,0))+AJ606)</f>
        <v>101.06482124619033</v>
      </c>
      <c r="AK607" s="1">
        <f>IF(IFERROR(MATCH(Tabelle11[[#Headers],[Rene_P]],Spielauswertung!$B595:$E595,0),0)=0,AK606,INDEX(Spielauswertung!$AB595:$AE595,MATCH(Tabelle11[[#Headers],[Rene_P]],Spielauswertung!$B595:$E595,0))+AK606)</f>
        <v>88.762543186332877</v>
      </c>
      <c r="AL607" s="1">
        <f>IF(IFERROR(MATCH(Tabelle11[[#Headers],[Richard_D]],Spielauswertung!$B595:$E595,0),0)=0,AL606,INDEX(Spielauswertung!$AB595:$AE595,MATCH(Tabelle11[[#Headers],[Richard_D]],Spielauswertung!$B595:$E595,0))+AL606)</f>
        <v>107.23233592026223</v>
      </c>
      <c r="AM607" s="1">
        <f>IF(IFERROR(MATCH(Tabelle11[[#Headers],[Rodrigo_R]],Spielauswertung!$B595:$E595,0),0)=0,AM606,INDEX(Spielauswertung!$AB595:$AE595,MATCH(Tabelle11[[#Headers],[Rodrigo_R]],Spielauswertung!$B595:$E595,0))+AM606)</f>
        <v>116.7028707921346</v>
      </c>
      <c r="AN607" s="1">
        <f>IF(IFERROR(MATCH(Tabelle11[[#Headers],[Sebastian_A]],Spielauswertung!$B595:$E595,0),0)=0,AN606,INDEX(Spielauswertung!$AB595:$AE595,MATCH(Tabelle11[[#Headers],[Sebastian_A]],Spielauswertung!$B595:$E595,0))+AN606)</f>
        <v>102.89457418671324</v>
      </c>
      <c r="AO607" s="1">
        <f>IF(IFERROR(MATCH(Tabelle11[[#Headers],[Sebastian_St]],Spielauswertung!$B595:$E595,0),0)=0,AO606,INDEX(Spielauswertung!$AB595:$AE595,MATCH(Tabelle11[[#Headers],[Sebastian_St]],Spielauswertung!$B595:$E595,0))+AO606)</f>
        <v>97.749574367408982</v>
      </c>
      <c r="AP607" s="1">
        <f>IF(IFERROR(MATCH(Tabelle11[[#Headers],[Simon_U]],Spielauswertung!$B595:$E595,0),0)=0,AP606,INDEX(Spielauswertung!$AB595:$AE595,MATCH(Tabelle11[[#Headers],[Simon_U]],Spielauswertung!$B595:$E595,0))+AP606)</f>
        <v>99.623054841470903</v>
      </c>
      <c r="AQ607" s="1">
        <f>IF(IFERROR(MATCH(Tabelle11[[#Headers],[Steffen_R]],Spielauswertung!$B595:$E595,0),0)=0,AQ606,INDEX(Spielauswertung!$AB595:$AE595,MATCH(Tabelle11[[#Headers],[Steffen_R]],Spielauswertung!$B595:$E595,0))+AQ606)</f>
        <v>93.247497067190949</v>
      </c>
      <c r="AR607" s="1">
        <f>IF(IFERROR(MATCH(Tabelle11[[#Headers],[Tim_R]],Spielauswertung!$B595:$E595,0),0)=0,AR606,INDEX(Spielauswertung!$AB595:$AE595,MATCH(Tabelle11[[#Headers],[Tim_R]],Spielauswertung!$B595:$E595,0))+AR606)</f>
        <v>103.07503787023374</v>
      </c>
      <c r="AS607" s="1">
        <f>IF(IFERROR(MATCH(Tabelle11[[#Headers],[Tobias_S]],Spielauswertung!$B595:$E595,0),0)=0,AS606,INDEX(Spielauswertung!$AB595:$AE595,MATCH(Tabelle11[[#Headers],[Tobias_S]],Spielauswertung!$B595:$E595,0))+AS606)</f>
        <v>98.6003422659997</v>
      </c>
      <c r="AT607" s="1">
        <f>IF(IFERROR(MATCH(Tabelle11[[#Headers],[Tom_R]],Spielauswertung!$B595:$E595,0),0)=0,AT606,INDEX(Spielauswertung!$AB595:$AE595,MATCH(Tabelle11[[#Headers],[Tom_R]],Spielauswertung!$B595:$E595,0))+AT606)</f>
        <v>112.62344492949197</v>
      </c>
      <c r="AU607" s="1">
        <f>IF(IFERROR(MATCH(Tabelle11[[#Headers],[Ton_L]],Spielauswertung!$B595:$E595,0),0)=0,AU606,INDEX(Spielauswertung!$AB595:$AE595,MATCH(Tabelle11[[#Headers],[Ton_L]],Spielauswertung!$B595:$E595,0))+AU606)</f>
        <v>92.683083360025861</v>
      </c>
      <c r="AV607" s="1">
        <f>IF(IFERROR(MATCH(Tabelle11[[#Headers],[Yixin_G]],Spielauswertung!$B595:$E595,0),0)=0,AV606,INDEX(Spielauswertung!$AB595:$AE595,MATCH(Tabelle11[[#Headers],[Yixin_G]],Spielauswertung!$B595:$E595,0))+AV606)</f>
        <v>99.900323214082661</v>
      </c>
      <c r="AW607" s="1">
        <f>IF(IFERROR(MATCH(Tabelle11[[#Headers],[Spalte36]],Spielauswertung!$B595:$E595,0),0)=0,AW606,INDEX(Spielauswertung!$AB595:$AE595,MATCH(Tabelle11[[#Headers],[Spalte36]],Spielauswertung!$B595:$E595,0))+AW606)</f>
        <v>100</v>
      </c>
      <c r="AX607" s="1">
        <f>IF(IFERROR(MATCH(Tabelle11[[#Headers],[Spalte37]],Spielauswertung!$B595:$E595,0),0)=0,AX606,INDEX(Spielauswertung!$AB595:$AE595,MATCH(Tabelle11[[#Headers],[Spalte37]],Spielauswertung!$B595:$E595,0))+AX606)</f>
        <v>100</v>
      </c>
      <c r="AY607" s="1">
        <f>IF(IFERROR(MATCH(Tabelle11[[#Headers],[Spalte38]],Spielauswertung!$B595:$E595,0),0)=0,AY606,INDEX(Spielauswertung!$AB595:$AE595,MATCH(Tabelle11[[#Headers],[Spalte38]],Spielauswertung!$B595:$E595,0))+AY606)</f>
        <v>100</v>
      </c>
      <c r="AZ607" s="1">
        <f>IF(IFERROR(MATCH(Tabelle11[[#Headers],[Spalte39]],Spielauswertung!$B595:$E595,0),0)=0,AZ606,INDEX(Spielauswertung!$AB595:$AE595,MATCH(Tabelle11[[#Headers],[Spalte39]],Spielauswertung!$B595:$E595,0))+AZ606)</f>
        <v>100</v>
      </c>
      <c r="BA607" s="1">
        <f>IF(IFERROR(MATCH(Tabelle11[[#Headers],[Spalte40]],Spielauswertung!$B595:$E595,0),0)=0,BA606,INDEX(Spielauswertung!$AB595:$AE595,MATCH(Tabelle11[[#Headers],[Spalte40]],Spielauswertung!$B595:$E595,0))+BA606)</f>
        <v>100</v>
      </c>
      <c r="BB607" s="1">
        <f>IF(IFERROR(MATCH(Tabelle11[[#Headers],[Spalte41]],Spielauswertung!$B595:$E595,0),0)=0,BB606,INDEX(Spielauswertung!$AB595:$AE595,MATCH(Tabelle11[[#Headers],[Spalte41]],Spielauswertung!$B595:$E595,0))+BB606)</f>
        <v>100</v>
      </c>
      <c r="BC607" s="1">
        <f>IF(IFERROR(MATCH(Tabelle11[[#Headers],[Spalte42]],Spielauswertung!$B595:$E595,0),0)=0,BC606,INDEX(Spielauswertung!$AB595:$AE595,MATCH(Tabelle11[[#Headers],[Spalte42]],Spielauswertung!$B595:$E595,0))+BC606)</f>
        <v>100</v>
      </c>
      <c r="BD607" s="1">
        <f>IF(IFERROR(MATCH(Tabelle11[[#Headers],[Spalte43]],Spielauswertung!$B595:$E595,0),0)=0,BD606,INDEX(Spielauswertung!$AB595:$AE595,MATCH(Tabelle11[[#Headers],[Spalte43]],Spielauswertung!$B595:$E595,0))+BD606)</f>
        <v>100</v>
      </c>
      <c r="BE607" s="1">
        <f>IF(IFERROR(MATCH(Tabelle11[[#Headers],[Spalte44]],Spielauswertung!$B595:$E595,0),0)=0,BE606,INDEX(Spielauswertung!$AB595:$AE595,MATCH(Tabelle11[[#Headers],[Spalte44]],Spielauswertung!$B595:$E595,0))+BE606)</f>
        <v>100</v>
      </c>
      <c r="BF607" s="1">
        <f>IF(IFERROR(MATCH(Tabelle11[[#Headers],[Spalte45]],Spielauswertung!$B595:$E595,0),0)=0,BF606,INDEX(Spielauswertung!$AB595:$AE595,MATCH(Tabelle11[[#Headers],[Spalte45]],Spielauswertung!$B595:$E595,0))+BF606)</f>
        <v>100</v>
      </c>
      <c r="BG607" s="1">
        <f>IF(IFERROR(MATCH(Tabelle11[[#Headers],[Spalte46]],Spielauswertung!$B595:$E595,0),0)=0,BG606,INDEX(Spielauswertung!$AB595:$AE595,MATCH(Tabelle11[[#Headers],[Spalte46]],Spielauswertung!$B595:$E595,0))+BG606)</f>
        <v>100</v>
      </c>
      <c r="BH607" s="1">
        <f>IF(IFERROR(MATCH(Tabelle11[[#Headers],[Spalte47]],Spielauswertung!$B595:$E595,0),0)=0,BH606,INDEX(Spielauswertung!$AB595:$AE595,MATCH(Tabelle11[[#Headers],[Spalte47]],Spielauswertung!$B595:$E595,0))+BH606)</f>
        <v>100</v>
      </c>
    </row>
    <row r="608" spans="1:60" x14ac:dyDescent="0.25">
      <c r="A608">
        <f t="shared" si="10"/>
        <v>595</v>
      </c>
      <c r="B608" s="1">
        <f>IF(IFERROR(MATCH(Tabelle11[[#Headers],[Aleix_V]],Spielauswertung!$B596:$E596,0),0)=0,B607,INDEX(Spielauswertung!$AB596:$AE596,MATCH(Tabelle11[[#Headers],[Aleix_V]],Spielauswertung!$B596:$E596,0))+B607)</f>
        <v>102.47318019444646</v>
      </c>
      <c r="C608" s="1">
        <f>IF(IFERROR(MATCH(Tabelle11[[#Headers],[Andres_H]],Spielauswertung!$B596:$E596,0),0)=0,C607,INDEX(Spielauswertung!$AB596:$AE596,MATCH(Tabelle11[[#Headers],[Andres_H]],Spielauswertung!$B596:$E596,0))+C607)</f>
        <v>95.535732339111306</v>
      </c>
      <c r="D608" s="1">
        <f>IF(IFERROR(MATCH(Tabelle11[[#Headers],[Anton_K]],Spielauswertung!$B596:$E596,0),0)=0,D607,INDEX(Spielauswertung!$AB596:$AE596,MATCH(Tabelle11[[#Headers],[Anton_K]],Spielauswertung!$B596:$E596,0))+D607)</f>
        <v>99.287728777054667</v>
      </c>
      <c r="E608" s="1">
        <f>IF(IFERROR(MATCH(Tabelle11[[#Headers],[Bastian_G]],Spielauswertung!$B596:$E596,0),0)=0,E607,INDEX(Spielauswertung!$AB596:$AE596,MATCH(Tabelle11[[#Headers],[Bastian_G]],Spielauswertung!$B596:$E596,0))+E607)</f>
        <v>117.49978695184252</v>
      </c>
      <c r="F608" s="1">
        <f>IF(IFERROR(MATCH(Tabelle11[[#Headers],[Ben_S]],Spielauswertung!$B596:$E596,0),0)=0,F607,INDEX(Spielauswertung!$AB596:$AE596,MATCH(Tabelle11[[#Headers],[Ben_S]],Spielauswertung!$B596:$E596,0))+F607)</f>
        <v>95.932799101521084</v>
      </c>
      <c r="G608" s="1">
        <f>IF(IFERROR(MATCH(Tabelle11[[#Headers],[Benedikt_K]],Spielauswertung!$B596:$E596,0),0)=0,G607,INDEX(Spielauswertung!$AB596:$AE596,MATCH(Tabelle11[[#Headers],[Benedikt_K]],Spielauswertung!$B596:$E596,0))+G607)</f>
        <v>101.20264176422626</v>
      </c>
      <c r="H608" s="1">
        <f>IF(IFERROR(MATCH(Tabelle11[[#Headers],[Benedikt_R]],Spielauswertung!$B596:$E596,0),0)=0,H607,INDEX(Spielauswertung!$AB596:$AE596,MATCH(Tabelle11[[#Headers],[Benedikt_R]],Spielauswertung!$B596:$E596,0))+H607)</f>
        <v>102.6264770510757</v>
      </c>
      <c r="I608" s="1">
        <f>IF(IFERROR(MATCH(Tabelle11[[#Headers],[Carsten_H]],Spielauswertung!$B596:$E596,0),0)=0,I607,INDEX(Spielauswertung!$AB596:$AE596,MATCH(Tabelle11[[#Headers],[Carsten_H]],Spielauswertung!$B596:$E596,0))+I607)</f>
        <v>90.817185094326874</v>
      </c>
      <c r="J608" s="1">
        <f>IF(IFERROR(MATCH(Tabelle11[[#Headers],[Christoph_R]],Spielauswertung!$B596:$E596,0),0)=0,J607,INDEX(Spielauswertung!$AB596:$AE596,MATCH(Tabelle11[[#Headers],[Christoph_R]],Spielauswertung!$B596:$E596,0))+J607)</f>
        <v>109.73261611443155</v>
      </c>
      <c r="K608" s="1">
        <f>IF(IFERROR(MATCH(Tabelle11[[#Headers],[Claudius_J]],Spielauswertung!$B596:$E596,0),0)=0,K607,INDEX(Spielauswertung!$AB596:$AE596,MATCH(Tabelle11[[#Headers],[Claudius_J]],Spielauswertung!$B596:$E596,0))+K607)</f>
        <v>106.16590636000029</v>
      </c>
      <c r="L608" s="1">
        <f>IF(IFERROR(MATCH(Tabelle11[[#Headers],[Daniel_D]],Spielauswertung!$B596:$E596,0),0)=0,L607,INDEX(Spielauswertung!$AB596:$AE596,MATCH(Tabelle11[[#Headers],[Daniel_D]],Spielauswertung!$B596:$E596,0))+L607)</f>
        <v>99.990299180470089</v>
      </c>
      <c r="M608" s="1">
        <f>IF(IFERROR(MATCH(Tabelle11[[#Headers],[David_R]],Spielauswertung!$B596:$E596,0),0)=0,M607,INDEX(Spielauswertung!$AB596:$AE596,MATCH(Tabelle11[[#Headers],[David_R]],Spielauswertung!$B596:$E596,0))+M607)</f>
        <v>96.715943522481638</v>
      </c>
      <c r="N608" s="1">
        <f>IF(IFERROR(MATCH(Tabelle11[[#Headers],[Dennis_P]],Spielauswertung!$B596:$E596,0),0)=0,N607,INDEX(Spielauswertung!$AB596:$AE596,MATCH(Tabelle11[[#Headers],[Dennis_P]],Spielauswertung!$B596:$E596,0))+N607)</f>
        <v>100.04773223105254</v>
      </c>
      <c r="O608" s="1">
        <f>IF(IFERROR(MATCH(Tabelle11[[#Headers],[Dennis_R]],Spielauswertung!$B596:$E596,0),0)=0,O607,INDEX(Spielauswertung!$AB596:$AE596,MATCH(Tabelle11[[#Headers],[Dennis_R]],Spielauswertung!$B596:$E596,0))+O607)</f>
        <v>75.131680864937195</v>
      </c>
      <c r="P608" s="1">
        <f>IF(IFERROR(MATCH(Tabelle11[[#Headers],[Detlef_R]],Spielauswertung!$B596:$E596,0),0)=0,P607,INDEX(Spielauswertung!$AB596:$AE596,MATCH(Tabelle11[[#Headers],[Detlef_R]],Spielauswertung!$B596:$E596,0))+P607)</f>
        <v>87.984671797367014</v>
      </c>
      <c r="Q608" s="1">
        <f>IF(IFERROR(MATCH(Tabelle11[[#Headers],[Dmitrij_M]],Spielauswertung!$B596:$E596,0),0)=0,Q607,INDEX(Spielauswertung!$AB596:$AE596,MATCH(Tabelle11[[#Headers],[Dmitrij_M]],Spielauswertung!$B596:$E596,0))+Q607)</f>
        <v>100.69975721846207</v>
      </c>
      <c r="R608" s="1">
        <f>IF(IFERROR(MATCH(Tabelle11[[#Headers],[Fabian_M]],Spielauswertung!$B596:$E596,0),0)=0,R607,INDEX(Spielauswertung!$AB596:$AE596,MATCH(Tabelle11[[#Headers],[Fabian_M]],Spielauswertung!$B596:$E596,0))+R607)</f>
        <v>95.805387841610738</v>
      </c>
      <c r="S608" s="1">
        <f>IF(IFERROR(MATCH(Tabelle11[[#Headers],[Hannes_S]],Spielauswertung!$B596:$E596,0),0)=0,S607,INDEX(Spielauswertung!$AB596:$AE596,MATCH(Tabelle11[[#Headers],[Hannes_S]],Spielauswertung!$B596:$E596,0))+S607)</f>
        <v>104.83899184012799</v>
      </c>
      <c r="T608" s="1">
        <f>IF(IFERROR(MATCH(Tabelle11[[#Headers],[Jan_B]],Spielauswertung!$B596:$E596,0),0)=0,T607,INDEX(Spielauswertung!$AB596:$AE596,MATCH(Tabelle11[[#Headers],[Jan_B]],Spielauswertung!$B596:$E596,0))+T607)</f>
        <v>100.2794420429173</v>
      </c>
      <c r="U608" s="1">
        <f>IF(IFERROR(MATCH(Tabelle11[[#Headers],[Jan_Hendrik_B]],Spielauswertung!$B596:$E596,0),0)=0,U607,INDEX(Spielauswertung!$AB596:$AE596,MATCH(Tabelle11[[#Headers],[Jan_Hendrik_B]],Spielauswertung!$B596:$E596,0))+U607)</f>
        <v>100.75492416935522</v>
      </c>
      <c r="V608" s="1">
        <f>IF(IFERROR(MATCH(Tabelle11[[#Headers],[Jens_N]],Spielauswertung!$B596:$E596,0),0)=0,V607,INDEX(Spielauswertung!$AB596:$AE596,MATCH(Tabelle11[[#Headers],[Jens_N]],Spielauswertung!$B596:$E596,0))+V607)</f>
        <v>99.643534710196832</v>
      </c>
      <c r="W608" s="1">
        <f>IF(IFERROR(MATCH(Tabelle11[[#Headers],[Johannes_S]],Spielauswertung!$B596:$E596,0),0)=0,W607,INDEX(Spielauswertung!$AB596:$AE596,MATCH(Tabelle11[[#Headers],[Johannes_S]],Spielauswertung!$B596:$E596,0))+W607)</f>
        <v>102.20284750979505</v>
      </c>
      <c r="X608" s="1">
        <f>IF(IFERROR(MATCH(Tabelle11[[#Headers],[Jonathan_F]],Spielauswertung!$B596:$E596,0),0)=0,X607,INDEX(Spielauswertung!$AB596:$AE596,MATCH(Tabelle11[[#Headers],[Jonathan_F]],Spielauswertung!$B596:$E596,0))+X607)</f>
        <v>98.938308797866256</v>
      </c>
      <c r="Y608" s="1">
        <f>IF(IFERROR(MATCH(Tabelle11[[#Headers],[Julius_P]],Spielauswertung!$B596:$E596,0),0)=0,Y607,INDEX(Spielauswertung!$AB596:$AE596,MATCH(Tabelle11[[#Headers],[Julius_P]],Spielauswertung!$B596:$E596,0))+Y607)</f>
        <v>96.540305101873642</v>
      </c>
      <c r="Z608" s="1">
        <f>IF(IFERROR(MATCH(Tabelle11[[#Headers],[Louis_W]],Spielauswertung!$B596:$E596,0),0)=0,Z607,INDEX(Spielauswertung!$AB596:$AE596,MATCH(Tabelle11[[#Headers],[Louis_W]],Spielauswertung!$B596:$E596,0))+Z607)</f>
        <v>87.497452285475362</v>
      </c>
      <c r="AA608" s="1">
        <f>IF(IFERROR(MATCH(Tabelle11[[#Headers],[Lukas_L]],Spielauswertung!$B596:$E596,0),0)=0,AA607,INDEX(Spielauswertung!$AB596:$AE596,MATCH(Tabelle11[[#Headers],[Lukas_L]],Spielauswertung!$B596:$E596,0))+AA607)</f>
        <v>98.447931341404143</v>
      </c>
      <c r="AB608" s="1">
        <f>IF(IFERROR(MATCH(Tabelle11[[#Headers],[Marcin_S]],Spielauswertung!$B596:$E596,0),0)=0,AB607,INDEX(Spielauswertung!$AB596:$AE596,MATCH(Tabelle11[[#Headers],[Marcin_S]],Spielauswertung!$B596:$E596,0))+AB607)</f>
        <v>85.463329105556824</v>
      </c>
      <c r="AC608" s="1">
        <f>IF(IFERROR(MATCH(Tabelle11[[#Headers],[Marco_K]],Spielauswertung!$B596:$E596,0),0)=0,AC607,INDEX(Spielauswertung!$AB596:$AE596,MATCH(Tabelle11[[#Headers],[Marco_K]],Spielauswertung!$B596:$E596,0))+AC607)</f>
        <v>102.12169819441469</v>
      </c>
      <c r="AD608" s="1">
        <f>IF(IFERROR(MATCH(Tabelle11[[#Headers],[Marius_M]],Spielauswertung!$B596:$E596,0),0)=0,AD607,INDEX(Spielauswertung!$AB596:$AE596,MATCH(Tabelle11[[#Headers],[Marius_M]],Spielauswertung!$B596:$E596,0))+AD607)</f>
        <v>124.54012374585781</v>
      </c>
      <c r="AE608" s="1">
        <f>IF(IFERROR(MATCH(Tabelle11[[#Headers],[Marvin_W]],Spielauswertung!$B596:$E596,0),0)=0,AE607,INDEX(Spielauswertung!$AB596:$AE596,MATCH(Tabelle11[[#Headers],[Marvin_W]],Spielauswertung!$B596:$E596,0))+AE607)</f>
        <v>96.700266280577438</v>
      </c>
      <c r="AF608" s="1">
        <f>IF(IFERROR(MATCH(Tabelle11[[#Headers],[Matthias_H]],Spielauswertung!$B596:$E596,0),0)=0,AF607,INDEX(Spielauswertung!$AB596:$AE596,MATCH(Tabelle11[[#Headers],[Matthias_H]],Spielauswertung!$B596:$E596,0))+AF607)</f>
        <v>105.42130178599372</v>
      </c>
      <c r="AG608" s="1">
        <f>IF(IFERROR(MATCH(Tabelle11[[#Headers],[Michael_D]],Spielauswertung!$B596:$E596,0),0)=0,AG607,INDEX(Spielauswertung!$AB596:$AE596,MATCH(Tabelle11[[#Headers],[Michael_D]],Spielauswertung!$B596:$E596,0))+AG607)</f>
        <v>96.436276170375336</v>
      </c>
      <c r="AH608" s="1">
        <f>IF(IFERROR(MATCH(Tabelle11[[#Headers],[Patrick_S]],Spielauswertung!$B596:$E596,0),0)=0,AH607,INDEX(Spielauswertung!$AB596:$AE596,MATCH(Tabelle11[[#Headers],[Patrick_S]],Spielauswertung!$B596:$E596,0))+AH607)</f>
        <v>98.975330692053802</v>
      </c>
      <c r="AI608" s="1">
        <f>IF(IFERROR(MATCH(Tabelle11[[#Headers],[Rano_M]],Spielauswertung!$B596:$E596,0),0)=0,AI607,INDEX(Spielauswertung!$AB596:$AE596,MATCH(Tabelle11[[#Headers],[Rano_M]],Spielauswertung!$B596:$E596,0))+AI607)</f>
        <v>109.38890657420265</v>
      </c>
      <c r="AJ608" s="1">
        <f>IF(IFERROR(MATCH(Tabelle11[[#Headers],[Rene_N]],Spielauswertung!$B596:$E596,0),0)=0,AJ607,INDEX(Spielauswertung!$AB596:$AE596,MATCH(Tabelle11[[#Headers],[Rene_N]],Spielauswertung!$B596:$E596,0))+AJ607)</f>
        <v>101.06482124619033</v>
      </c>
      <c r="AK608" s="1">
        <f>IF(IFERROR(MATCH(Tabelle11[[#Headers],[Rene_P]],Spielauswertung!$B596:$E596,0),0)=0,AK607,INDEX(Spielauswertung!$AB596:$AE596,MATCH(Tabelle11[[#Headers],[Rene_P]],Spielauswertung!$B596:$E596,0))+AK607)</f>
        <v>88.762543186332877</v>
      </c>
      <c r="AL608" s="1">
        <f>IF(IFERROR(MATCH(Tabelle11[[#Headers],[Richard_D]],Spielauswertung!$B596:$E596,0),0)=0,AL607,INDEX(Spielauswertung!$AB596:$AE596,MATCH(Tabelle11[[#Headers],[Richard_D]],Spielauswertung!$B596:$E596,0))+AL607)</f>
        <v>107.23233592026223</v>
      </c>
      <c r="AM608" s="1">
        <f>IF(IFERROR(MATCH(Tabelle11[[#Headers],[Rodrigo_R]],Spielauswertung!$B596:$E596,0),0)=0,AM607,INDEX(Spielauswertung!$AB596:$AE596,MATCH(Tabelle11[[#Headers],[Rodrigo_R]],Spielauswertung!$B596:$E596,0))+AM607)</f>
        <v>116.7028707921346</v>
      </c>
      <c r="AN608" s="1">
        <f>IF(IFERROR(MATCH(Tabelle11[[#Headers],[Sebastian_A]],Spielauswertung!$B596:$E596,0),0)=0,AN607,INDEX(Spielauswertung!$AB596:$AE596,MATCH(Tabelle11[[#Headers],[Sebastian_A]],Spielauswertung!$B596:$E596,0))+AN607)</f>
        <v>102.89457418671324</v>
      </c>
      <c r="AO608" s="1">
        <f>IF(IFERROR(MATCH(Tabelle11[[#Headers],[Sebastian_St]],Spielauswertung!$B596:$E596,0),0)=0,AO607,INDEX(Spielauswertung!$AB596:$AE596,MATCH(Tabelle11[[#Headers],[Sebastian_St]],Spielauswertung!$B596:$E596,0))+AO607)</f>
        <v>97.749574367408982</v>
      </c>
      <c r="AP608" s="1">
        <f>IF(IFERROR(MATCH(Tabelle11[[#Headers],[Simon_U]],Spielauswertung!$B596:$E596,0),0)=0,AP607,INDEX(Spielauswertung!$AB596:$AE596,MATCH(Tabelle11[[#Headers],[Simon_U]],Spielauswertung!$B596:$E596,0))+AP607)</f>
        <v>99.623054841470903</v>
      </c>
      <c r="AQ608" s="1">
        <f>IF(IFERROR(MATCH(Tabelle11[[#Headers],[Steffen_R]],Spielauswertung!$B596:$E596,0),0)=0,AQ607,INDEX(Spielauswertung!$AB596:$AE596,MATCH(Tabelle11[[#Headers],[Steffen_R]],Spielauswertung!$B596:$E596,0))+AQ607)</f>
        <v>93.247497067190949</v>
      </c>
      <c r="AR608" s="1">
        <f>IF(IFERROR(MATCH(Tabelle11[[#Headers],[Tim_R]],Spielauswertung!$B596:$E596,0),0)=0,AR607,INDEX(Spielauswertung!$AB596:$AE596,MATCH(Tabelle11[[#Headers],[Tim_R]],Spielauswertung!$B596:$E596,0))+AR607)</f>
        <v>103.07503787023374</v>
      </c>
      <c r="AS608" s="1">
        <f>IF(IFERROR(MATCH(Tabelle11[[#Headers],[Tobias_S]],Spielauswertung!$B596:$E596,0),0)=0,AS607,INDEX(Spielauswertung!$AB596:$AE596,MATCH(Tabelle11[[#Headers],[Tobias_S]],Spielauswertung!$B596:$E596,0))+AS607)</f>
        <v>98.6003422659997</v>
      </c>
      <c r="AT608" s="1">
        <f>IF(IFERROR(MATCH(Tabelle11[[#Headers],[Tom_R]],Spielauswertung!$B596:$E596,0),0)=0,AT607,INDEX(Spielauswertung!$AB596:$AE596,MATCH(Tabelle11[[#Headers],[Tom_R]],Spielauswertung!$B596:$E596,0))+AT607)</f>
        <v>112.62344492949197</v>
      </c>
      <c r="AU608" s="1">
        <f>IF(IFERROR(MATCH(Tabelle11[[#Headers],[Ton_L]],Spielauswertung!$B596:$E596,0),0)=0,AU607,INDEX(Spielauswertung!$AB596:$AE596,MATCH(Tabelle11[[#Headers],[Ton_L]],Spielauswertung!$B596:$E596,0))+AU607)</f>
        <v>92.683083360025861</v>
      </c>
      <c r="AV608" s="1">
        <f>IF(IFERROR(MATCH(Tabelle11[[#Headers],[Yixin_G]],Spielauswertung!$B596:$E596,0),0)=0,AV607,INDEX(Spielauswertung!$AB596:$AE596,MATCH(Tabelle11[[#Headers],[Yixin_G]],Spielauswertung!$B596:$E596,0))+AV607)</f>
        <v>99.900323214082661</v>
      </c>
      <c r="AW608" s="1">
        <f>IF(IFERROR(MATCH(Tabelle11[[#Headers],[Spalte36]],Spielauswertung!$B596:$E596,0),0)=0,AW607,INDEX(Spielauswertung!$AB596:$AE596,MATCH(Tabelle11[[#Headers],[Spalte36]],Spielauswertung!$B596:$E596,0))+AW607)</f>
        <v>100</v>
      </c>
      <c r="AX608" s="1">
        <f>IF(IFERROR(MATCH(Tabelle11[[#Headers],[Spalte37]],Spielauswertung!$B596:$E596,0),0)=0,AX607,INDEX(Spielauswertung!$AB596:$AE596,MATCH(Tabelle11[[#Headers],[Spalte37]],Spielauswertung!$B596:$E596,0))+AX607)</f>
        <v>100</v>
      </c>
      <c r="AY608" s="1">
        <f>IF(IFERROR(MATCH(Tabelle11[[#Headers],[Spalte38]],Spielauswertung!$B596:$E596,0),0)=0,AY607,INDEX(Spielauswertung!$AB596:$AE596,MATCH(Tabelle11[[#Headers],[Spalte38]],Spielauswertung!$B596:$E596,0))+AY607)</f>
        <v>100</v>
      </c>
      <c r="AZ608" s="1">
        <f>IF(IFERROR(MATCH(Tabelle11[[#Headers],[Spalte39]],Spielauswertung!$B596:$E596,0),0)=0,AZ607,INDEX(Spielauswertung!$AB596:$AE596,MATCH(Tabelle11[[#Headers],[Spalte39]],Spielauswertung!$B596:$E596,0))+AZ607)</f>
        <v>100</v>
      </c>
      <c r="BA608" s="1">
        <f>IF(IFERROR(MATCH(Tabelle11[[#Headers],[Spalte40]],Spielauswertung!$B596:$E596,0),0)=0,BA607,INDEX(Spielauswertung!$AB596:$AE596,MATCH(Tabelle11[[#Headers],[Spalte40]],Spielauswertung!$B596:$E596,0))+BA607)</f>
        <v>100</v>
      </c>
      <c r="BB608" s="1">
        <f>IF(IFERROR(MATCH(Tabelle11[[#Headers],[Spalte41]],Spielauswertung!$B596:$E596,0),0)=0,BB607,INDEX(Spielauswertung!$AB596:$AE596,MATCH(Tabelle11[[#Headers],[Spalte41]],Spielauswertung!$B596:$E596,0))+BB607)</f>
        <v>100</v>
      </c>
      <c r="BC608" s="1">
        <f>IF(IFERROR(MATCH(Tabelle11[[#Headers],[Spalte42]],Spielauswertung!$B596:$E596,0),0)=0,BC607,INDEX(Spielauswertung!$AB596:$AE596,MATCH(Tabelle11[[#Headers],[Spalte42]],Spielauswertung!$B596:$E596,0))+BC607)</f>
        <v>100</v>
      </c>
      <c r="BD608" s="1">
        <f>IF(IFERROR(MATCH(Tabelle11[[#Headers],[Spalte43]],Spielauswertung!$B596:$E596,0),0)=0,BD607,INDEX(Spielauswertung!$AB596:$AE596,MATCH(Tabelle11[[#Headers],[Spalte43]],Spielauswertung!$B596:$E596,0))+BD607)</f>
        <v>100</v>
      </c>
      <c r="BE608" s="1">
        <f>IF(IFERROR(MATCH(Tabelle11[[#Headers],[Spalte44]],Spielauswertung!$B596:$E596,0),0)=0,BE607,INDEX(Spielauswertung!$AB596:$AE596,MATCH(Tabelle11[[#Headers],[Spalte44]],Spielauswertung!$B596:$E596,0))+BE607)</f>
        <v>100</v>
      </c>
      <c r="BF608" s="1">
        <f>IF(IFERROR(MATCH(Tabelle11[[#Headers],[Spalte45]],Spielauswertung!$B596:$E596,0),0)=0,BF607,INDEX(Spielauswertung!$AB596:$AE596,MATCH(Tabelle11[[#Headers],[Spalte45]],Spielauswertung!$B596:$E596,0))+BF607)</f>
        <v>100</v>
      </c>
      <c r="BG608" s="1">
        <f>IF(IFERROR(MATCH(Tabelle11[[#Headers],[Spalte46]],Spielauswertung!$B596:$E596,0),0)=0,BG607,INDEX(Spielauswertung!$AB596:$AE596,MATCH(Tabelle11[[#Headers],[Spalte46]],Spielauswertung!$B596:$E596,0))+BG607)</f>
        <v>100</v>
      </c>
      <c r="BH608" s="1">
        <f>IF(IFERROR(MATCH(Tabelle11[[#Headers],[Spalte47]],Spielauswertung!$B596:$E596,0),0)=0,BH607,INDEX(Spielauswertung!$AB596:$AE596,MATCH(Tabelle11[[#Headers],[Spalte47]],Spielauswertung!$B596:$E596,0))+BH607)</f>
        <v>100</v>
      </c>
    </row>
    <row r="609" spans="1:60" x14ac:dyDescent="0.25">
      <c r="A609">
        <f t="shared" si="10"/>
        <v>596</v>
      </c>
      <c r="B609" s="1">
        <f>IF(IFERROR(MATCH(Tabelle11[[#Headers],[Aleix_V]],Spielauswertung!$B597:$E597,0),0)=0,B608,INDEX(Spielauswertung!$AB597:$AE597,MATCH(Tabelle11[[#Headers],[Aleix_V]],Spielauswertung!$B597:$E597,0))+B608)</f>
        <v>102.47318019444646</v>
      </c>
      <c r="C609" s="1">
        <f>IF(IFERROR(MATCH(Tabelle11[[#Headers],[Andres_H]],Spielauswertung!$B597:$E597,0),0)=0,C608,INDEX(Spielauswertung!$AB597:$AE597,MATCH(Tabelle11[[#Headers],[Andres_H]],Spielauswertung!$B597:$E597,0))+C608)</f>
        <v>95.535732339111306</v>
      </c>
      <c r="D609" s="1">
        <f>IF(IFERROR(MATCH(Tabelle11[[#Headers],[Anton_K]],Spielauswertung!$B597:$E597,0),0)=0,D608,INDEX(Spielauswertung!$AB597:$AE597,MATCH(Tabelle11[[#Headers],[Anton_K]],Spielauswertung!$B597:$E597,0))+D608)</f>
        <v>99.287728777054667</v>
      </c>
      <c r="E609" s="1">
        <f>IF(IFERROR(MATCH(Tabelle11[[#Headers],[Bastian_G]],Spielauswertung!$B597:$E597,0),0)=0,E608,INDEX(Spielauswertung!$AB597:$AE597,MATCH(Tabelle11[[#Headers],[Bastian_G]],Spielauswertung!$B597:$E597,0))+E608)</f>
        <v>117.49978695184252</v>
      </c>
      <c r="F609" s="1">
        <f>IF(IFERROR(MATCH(Tabelle11[[#Headers],[Ben_S]],Spielauswertung!$B597:$E597,0),0)=0,F608,INDEX(Spielauswertung!$AB597:$AE597,MATCH(Tabelle11[[#Headers],[Ben_S]],Spielauswertung!$B597:$E597,0))+F608)</f>
        <v>95.932799101521084</v>
      </c>
      <c r="G609" s="1">
        <f>IF(IFERROR(MATCH(Tabelle11[[#Headers],[Benedikt_K]],Spielauswertung!$B597:$E597,0),0)=0,G608,INDEX(Spielauswertung!$AB597:$AE597,MATCH(Tabelle11[[#Headers],[Benedikt_K]],Spielauswertung!$B597:$E597,0))+G608)</f>
        <v>101.20264176422626</v>
      </c>
      <c r="H609" s="1">
        <f>IF(IFERROR(MATCH(Tabelle11[[#Headers],[Benedikt_R]],Spielauswertung!$B597:$E597,0),0)=0,H608,INDEX(Spielauswertung!$AB597:$AE597,MATCH(Tabelle11[[#Headers],[Benedikt_R]],Spielauswertung!$B597:$E597,0))+H608)</f>
        <v>102.6264770510757</v>
      </c>
      <c r="I609" s="1">
        <f>IF(IFERROR(MATCH(Tabelle11[[#Headers],[Carsten_H]],Spielauswertung!$B597:$E597,0),0)=0,I608,INDEX(Spielauswertung!$AB597:$AE597,MATCH(Tabelle11[[#Headers],[Carsten_H]],Spielauswertung!$B597:$E597,0))+I608)</f>
        <v>90.817185094326874</v>
      </c>
      <c r="J609" s="1">
        <f>IF(IFERROR(MATCH(Tabelle11[[#Headers],[Christoph_R]],Spielauswertung!$B597:$E597,0),0)=0,J608,INDEX(Spielauswertung!$AB597:$AE597,MATCH(Tabelle11[[#Headers],[Christoph_R]],Spielauswertung!$B597:$E597,0))+J608)</f>
        <v>109.73261611443155</v>
      </c>
      <c r="K609" s="1">
        <f>IF(IFERROR(MATCH(Tabelle11[[#Headers],[Claudius_J]],Spielauswertung!$B597:$E597,0),0)=0,K608,INDEX(Spielauswertung!$AB597:$AE597,MATCH(Tabelle11[[#Headers],[Claudius_J]],Spielauswertung!$B597:$E597,0))+K608)</f>
        <v>106.16590636000029</v>
      </c>
      <c r="L609" s="1">
        <f>IF(IFERROR(MATCH(Tabelle11[[#Headers],[Daniel_D]],Spielauswertung!$B597:$E597,0),0)=0,L608,INDEX(Spielauswertung!$AB597:$AE597,MATCH(Tabelle11[[#Headers],[Daniel_D]],Spielauswertung!$B597:$E597,0))+L608)</f>
        <v>99.990299180470089</v>
      </c>
      <c r="M609" s="1">
        <f>IF(IFERROR(MATCH(Tabelle11[[#Headers],[David_R]],Spielauswertung!$B597:$E597,0),0)=0,M608,INDEX(Spielauswertung!$AB597:$AE597,MATCH(Tabelle11[[#Headers],[David_R]],Spielauswertung!$B597:$E597,0))+M608)</f>
        <v>96.715943522481638</v>
      </c>
      <c r="N609" s="1">
        <f>IF(IFERROR(MATCH(Tabelle11[[#Headers],[Dennis_P]],Spielauswertung!$B597:$E597,0),0)=0,N608,INDEX(Spielauswertung!$AB597:$AE597,MATCH(Tabelle11[[#Headers],[Dennis_P]],Spielauswertung!$B597:$E597,0))+N608)</f>
        <v>100.04773223105254</v>
      </c>
      <c r="O609" s="1">
        <f>IF(IFERROR(MATCH(Tabelle11[[#Headers],[Dennis_R]],Spielauswertung!$B597:$E597,0),0)=0,O608,INDEX(Spielauswertung!$AB597:$AE597,MATCH(Tabelle11[[#Headers],[Dennis_R]],Spielauswertung!$B597:$E597,0))+O608)</f>
        <v>75.131680864937195</v>
      </c>
      <c r="P609" s="1">
        <f>IF(IFERROR(MATCH(Tabelle11[[#Headers],[Detlef_R]],Spielauswertung!$B597:$E597,0),0)=0,P608,INDEX(Spielauswertung!$AB597:$AE597,MATCH(Tabelle11[[#Headers],[Detlef_R]],Spielauswertung!$B597:$E597,0))+P608)</f>
        <v>87.984671797367014</v>
      </c>
      <c r="Q609" s="1">
        <f>IF(IFERROR(MATCH(Tabelle11[[#Headers],[Dmitrij_M]],Spielauswertung!$B597:$E597,0),0)=0,Q608,INDEX(Spielauswertung!$AB597:$AE597,MATCH(Tabelle11[[#Headers],[Dmitrij_M]],Spielauswertung!$B597:$E597,0))+Q608)</f>
        <v>100.69975721846207</v>
      </c>
      <c r="R609" s="1">
        <f>IF(IFERROR(MATCH(Tabelle11[[#Headers],[Fabian_M]],Spielauswertung!$B597:$E597,0),0)=0,R608,INDEX(Spielauswertung!$AB597:$AE597,MATCH(Tabelle11[[#Headers],[Fabian_M]],Spielauswertung!$B597:$E597,0))+R608)</f>
        <v>95.805387841610738</v>
      </c>
      <c r="S609" s="1">
        <f>IF(IFERROR(MATCH(Tabelle11[[#Headers],[Hannes_S]],Spielauswertung!$B597:$E597,0),0)=0,S608,INDEX(Spielauswertung!$AB597:$AE597,MATCH(Tabelle11[[#Headers],[Hannes_S]],Spielauswertung!$B597:$E597,0))+S608)</f>
        <v>104.83899184012799</v>
      </c>
      <c r="T609" s="1">
        <f>IF(IFERROR(MATCH(Tabelle11[[#Headers],[Jan_B]],Spielauswertung!$B597:$E597,0),0)=0,T608,INDEX(Spielauswertung!$AB597:$AE597,MATCH(Tabelle11[[#Headers],[Jan_B]],Spielauswertung!$B597:$E597,0))+T608)</f>
        <v>100.2794420429173</v>
      </c>
      <c r="U609" s="1">
        <f>IF(IFERROR(MATCH(Tabelle11[[#Headers],[Jan_Hendrik_B]],Spielauswertung!$B597:$E597,0),0)=0,U608,INDEX(Spielauswertung!$AB597:$AE597,MATCH(Tabelle11[[#Headers],[Jan_Hendrik_B]],Spielauswertung!$B597:$E597,0))+U608)</f>
        <v>100.75492416935522</v>
      </c>
      <c r="V609" s="1">
        <f>IF(IFERROR(MATCH(Tabelle11[[#Headers],[Jens_N]],Spielauswertung!$B597:$E597,0),0)=0,V608,INDEX(Spielauswertung!$AB597:$AE597,MATCH(Tabelle11[[#Headers],[Jens_N]],Spielauswertung!$B597:$E597,0))+V608)</f>
        <v>99.643534710196832</v>
      </c>
      <c r="W609" s="1">
        <f>IF(IFERROR(MATCH(Tabelle11[[#Headers],[Johannes_S]],Spielauswertung!$B597:$E597,0),0)=0,W608,INDEX(Spielauswertung!$AB597:$AE597,MATCH(Tabelle11[[#Headers],[Johannes_S]],Spielauswertung!$B597:$E597,0))+W608)</f>
        <v>102.20284750979505</v>
      </c>
      <c r="X609" s="1">
        <f>IF(IFERROR(MATCH(Tabelle11[[#Headers],[Jonathan_F]],Spielauswertung!$B597:$E597,0),0)=0,X608,INDEX(Spielauswertung!$AB597:$AE597,MATCH(Tabelle11[[#Headers],[Jonathan_F]],Spielauswertung!$B597:$E597,0))+X608)</f>
        <v>98.938308797866256</v>
      </c>
      <c r="Y609" s="1">
        <f>IF(IFERROR(MATCH(Tabelle11[[#Headers],[Julius_P]],Spielauswertung!$B597:$E597,0),0)=0,Y608,INDEX(Spielauswertung!$AB597:$AE597,MATCH(Tabelle11[[#Headers],[Julius_P]],Spielauswertung!$B597:$E597,0))+Y608)</f>
        <v>96.540305101873642</v>
      </c>
      <c r="Z609" s="1">
        <f>IF(IFERROR(MATCH(Tabelle11[[#Headers],[Louis_W]],Spielauswertung!$B597:$E597,0),0)=0,Z608,INDEX(Spielauswertung!$AB597:$AE597,MATCH(Tabelle11[[#Headers],[Louis_W]],Spielauswertung!$B597:$E597,0))+Z608)</f>
        <v>87.497452285475362</v>
      </c>
      <c r="AA609" s="1">
        <f>IF(IFERROR(MATCH(Tabelle11[[#Headers],[Lukas_L]],Spielauswertung!$B597:$E597,0),0)=0,AA608,INDEX(Spielauswertung!$AB597:$AE597,MATCH(Tabelle11[[#Headers],[Lukas_L]],Spielauswertung!$B597:$E597,0))+AA608)</f>
        <v>98.447931341404143</v>
      </c>
      <c r="AB609" s="1">
        <f>IF(IFERROR(MATCH(Tabelle11[[#Headers],[Marcin_S]],Spielauswertung!$B597:$E597,0),0)=0,AB608,INDEX(Spielauswertung!$AB597:$AE597,MATCH(Tabelle11[[#Headers],[Marcin_S]],Spielauswertung!$B597:$E597,0))+AB608)</f>
        <v>85.463329105556824</v>
      </c>
      <c r="AC609" s="1">
        <f>IF(IFERROR(MATCH(Tabelle11[[#Headers],[Marco_K]],Spielauswertung!$B597:$E597,0),0)=0,AC608,INDEX(Spielauswertung!$AB597:$AE597,MATCH(Tabelle11[[#Headers],[Marco_K]],Spielauswertung!$B597:$E597,0))+AC608)</f>
        <v>102.12169819441469</v>
      </c>
      <c r="AD609" s="1">
        <f>IF(IFERROR(MATCH(Tabelle11[[#Headers],[Marius_M]],Spielauswertung!$B597:$E597,0),0)=0,AD608,INDEX(Spielauswertung!$AB597:$AE597,MATCH(Tabelle11[[#Headers],[Marius_M]],Spielauswertung!$B597:$E597,0))+AD608)</f>
        <v>124.54012374585781</v>
      </c>
      <c r="AE609" s="1">
        <f>IF(IFERROR(MATCH(Tabelle11[[#Headers],[Marvin_W]],Spielauswertung!$B597:$E597,0),0)=0,AE608,INDEX(Spielauswertung!$AB597:$AE597,MATCH(Tabelle11[[#Headers],[Marvin_W]],Spielauswertung!$B597:$E597,0))+AE608)</f>
        <v>96.700266280577438</v>
      </c>
      <c r="AF609" s="1">
        <f>IF(IFERROR(MATCH(Tabelle11[[#Headers],[Matthias_H]],Spielauswertung!$B597:$E597,0),0)=0,AF608,INDEX(Spielauswertung!$AB597:$AE597,MATCH(Tabelle11[[#Headers],[Matthias_H]],Spielauswertung!$B597:$E597,0))+AF608)</f>
        <v>105.42130178599372</v>
      </c>
      <c r="AG609" s="1">
        <f>IF(IFERROR(MATCH(Tabelle11[[#Headers],[Michael_D]],Spielauswertung!$B597:$E597,0),0)=0,AG608,INDEX(Spielauswertung!$AB597:$AE597,MATCH(Tabelle11[[#Headers],[Michael_D]],Spielauswertung!$B597:$E597,0))+AG608)</f>
        <v>96.436276170375336</v>
      </c>
      <c r="AH609" s="1">
        <f>IF(IFERROR(MATCH(Tabelle11[[#Headers],[Patrick_S]],Spielauswertung!$B597:$E597,0),0)=0,AH608,INDEX(Spielauswertung!$AB597:$AE597,MATCH(Tabelle11[[#Headers],[Patrick_S]],Spielauswertung!$B597:$E597,0))+AH608)</f>
        <v>98.975330692053802</v>
      </c>
      <c r="AI609" s="1">
        <f>IF(IFERROR(MATCH(Tabelle11[[#Headers],[Rano_M]],Spielauswertung!$B597:$E597,0),0)=0,AI608,INDEX(Spielauswertung!$AB597:$AE597,MATCH(Tabelle11[[#Headers],[Rano_M]],Spielauswertung!$B597:$E597,0))+AI608)</f>
        <v>109.38890657420265</v>
      </c>
      <c r="AJ609" s="1">
        <f>IF(IFERROR(MATCH(Tabelle11[[#Headers],[Rene_N]],Spielauswertung!$B597:$E597,0),0)=0,AJ608,INDEX(Spielauswertung!$AB597:$AE597,MATCH(Tabelle11[[#Headers],[Rene_N]],Spielauswertung!$B597:$E597,0))+AJ608)</f>
        <v>101.06482124619033</v>
      </c>
      <c r="AK609" s="1">
        <f>IF(IFERROR(MATCH(Tabelle11[[#Headers],[Rene_P]],Spielauswertung!$B597:$E597,0),0)=0,AK608,INDEX(Spielauswertung!$AB597:$AE597,MATCH(Tabelle11[[#Headers],[Rene_P]],Spielauswertung!$B597:$E597,0))+AK608)</f>
        <v>88.762543186332877</v>
      </c>
      <c r="AL609" s="1">
        <f>IF(IFERROR(MATCH(Tabelle11[[#Headers],[Richard_D]],Spielauswertung!$B597:$E597,0),0)=0,AL608,INDEX(Spielauswertung!$AB597:$AE597,MATCH(Tabelle11[[#Headers],[Richard_D]],Spielauswertung!$B597:$E597,0))+AL608)</f>
        <v>107.23233592026223</v>
      </c>
      <c r="AM609" s="1">
        <f>IF(IFERROR(MATCH(Tabelle11[[#Headers],[Rodrigo_R]],Spielauswertung!$B597:$E597,0),0)=0,AM608,INDEX(Spielauswertung!$AB597:$AE597,MATCH(Tabelle11[[#Headers],[Rodrigo_R]],Spielauswertung!$B597:$E597,0))+AM608)</f>
        <v>116.7028707921346</v>
      </c>
      <c r="AN609" s="1">
        <f>IF(IFERROR(MATCH(Tabelle11[[#Headers],[Sebastian_A]],Spielauswertung!$B597:$E597,0),0)=0,AN608,INDEX(Spielauswertung!$AB597:$AE597,MATCH(Tabelle11[[#Headers],[Sebastian_A]],Spielauswertung!$B597:$E597,0))+AN608)</f>
        <v>102.89457418671324</v>
      </c>
      <c r="AO609" s="1">
        <f>IF(IFERROR(MATCH(Tabelle11[[#Headers],[Sebastian_St]],Spielauswertung!$B597:$E597,0),0)=0,AO608,INDEX(Spielauswertung!$AB597:$AE597,MATCH(Tabelle11[[#Headers],[Sebastian_St]],Spielauswertung!$B597:$E597,0))+AO608)</f>
        <v>97.749574367408982</v>
      </c>
      <c r="AP609" s="1">
        <f>IF(IFERROR(MATCH(Tabelle11[[#Headers],[Simon_U]],Spielauswertung!$B597:$E597,0),0)=0,AP608,INDEX(Spielauswertung!$AB597:$AE597,MATCH(Tabelle11[[#Headers],[Simon_U]],Spielauswertung!$B597:$E597,0))+AP608)</f>
        <v>99.623054841470903</v>
      </c>
      <c r="AQ609" s="1">
        <f>IF(IFERROR(MATCH(Tabelle11[[#Headers],[Steffen_R]],Spielauswertung!$B597:$E597,0),0)=0,AQ608,INDEX(Spielauswertung!$AB597:$AE597,MATCH(Tabelle11[[#Headers],[Steffen_R]],Spielauswertung!$B597:$E597,0))+AQ608)</f>
        <v>93.247497067190949</v>
      </c>
      <c r="AR609" s="1">
        <f>IF(IFERROR(MATCH(Tabelle11[[#Headers],[Tim_R]],Spielauswertung!$B597:$E597,0),0)=0,AR608,INDEX(Spielauswertung!$AB597:$AE597,MATCH(Tabelle11[[#Headers],[Tim_R]],Spielauswertung!$B597:$E597,0))+AR608)</f>
        <v>103.07503787023374</v>
      </c>
      <c r="AS609" s="1">
        <f>IF(IFERROR(MATCH(Tabelle11[[#Headers],[Tobias_S]],Spielauswertung!$B597:$E597,0),0)=0,AS608,INDEX(Spielauswertung!$AB597:$AE597,MATCH(Tabelle11[[#Headers],[Tobias_S]],Spielauswertung!$B597:$E597,0))+AS608)</f>
        <v>98.6003422659997</v>
      </c>
      <c r="AT609" s="1">
        <f>IF(IFERROR(MATCH(Tabelle11[[#Headers],[Tom_R]],Spielauswertung!$B597:$E597,0),0)=0,AT608,INDEX(Spielauswertung!$AB597:$AE597,MATCH(Tabelle11[[#Headers],[Tom_R]],Spielauswertung!$B597:$E597,0))+AT608)</f>
        <v>112.62344492949197</v>
      </c>
      <c r="AU609" s="1">
        <f>IF(IFERROR(MATCH(Tabelle11[[#Headers],[Ton_L]],Spielauswertung!$B597:$E597,0),0)=0,AU608,INDEX(Spielauswertung!$AB597:$AE597,MATCH(Tabelle11[[#Headers],[Ton_L]],Spielauswertung!$B597:$E597,0))+AU608)</f>
        <v>92.683083360025861</v>
      </c>
      <c r="AV609" s="1">
        <f>IF(IFERROR(MATCH(Tabelle11[[#Headers],[Yixin_G]],Spielauswertung!$B597:$E597,0),0)=0,AV608,INDEX(Spielauswertung!$AB597:$AE597,MATCH(Tabelle11[[#Headers],[Yixin_G]],Spielauswertung!$B597:$E597,0))+AV608)</f>
        <v>99.900323214082661</v>
      </c>
      <c r="AW609" s="1">
        <f>IF(IFERROR(MATCH(Tabelle11[[#Headers],[Spalte36]],Spielauswertung!$B597:$E597,0),0)=0,AW608,INDEX(Spielauswertung!$AB597:$AE597,MATCH(Tabelle11[[#Headers],[Spalte36]],Spielauswertung!$B597:$E597,0))+AW608)</f>
        <v>100</v>
      </c>
      <c r="AX609" s="1">
        <f>IF(IFERROR(MATCH(Tabelle11[[#Headers],[Spalte37]],Spielauswertung!$B597:$E597,0),0)=0,AX608,INDEX(Spielauswertung!$AB597:$AE597,MATCH(Tabelle11[[#Headers],[Spalte37]],Spielauswertung!$B597:$E597,0))+AX608)</f>
        <v>100</v>
      </c>
      <c r="AY609" s="1">
        <f>IF(IFERROR(MATCH(Tabelle11[[#Headers],[Spalte38]],Spielauswertung!$B597:$E597,0),0)=0,AY608,INDEX(Spielauswertung!$AB597:$AE597,MATCH(Tabelle11[[#Headers],[Spalte38]],Spielauswertung!$B597:$E597,0))+AY608)</f>
        <v>100</v>
      </c>
      <c r="AZ609" s="1">
        <f>IF(IFERROR(MATCH(Tabelle11[[#Headers],[Spalte39]],Spielauswertung!$B597:$E597,0),0)=0,AZ608,INDEX(Spielauswertung!$AB597:$AE597,MATCH(Tabelle11[[#Headers],[Spalte39]],Spielauswertung!$B597:$E597,0))+AZ608)</f>
        <v>100</v>
      </c>
      <c r="BA609" s="1">
        <f>IF(IFERROR(MATCH(Tabelle11[[#Headers],[Spalte40]],Spielauswertung!$B597:$E597,0),0)=0,BA608,INDEX(Spielauswertung!$AB597:$AE597,MATCH(Tabelle11[[#Headers],[Spalte40]],Spielauswertung!$B597:$E597,0))+BA608)</f>
        <v>100</v>
      </c>
      <c r="BB609" s="1">
        <f>IF(IFERROR(MATCH(Tabelle11[[#Headers],[Spalte41]],Spielauswertung!$B597:$E597,0),0)=0,BB608,INDEX(Spielauswertung!$AB597:$AE597,MATCH(Tabelle11[[#Headers],[Spalte41]],Spielauswertung!$B597:$E597,0))+BB608)</f>
        <v>100</v>
      </c>
      <c r="BC609" s="1">
        <f>IF(IFERROR(MATCH(Tabelle11[[#Headers],[Spalte42]],Spielauswertung!$B597:$E597,0),0)=0,BC608,INDEX(Spielauswertung!$AB597:$AE597,MATCH(Tabelle11[[#Headers],[Spalte42]],Spielauswertung!$B597:$E597,0))+BC608)</f>
        <v>100</v>
      </c>
      <c r="BD609" s="1">
        <f>IF(IFERROR(MATCH(Tabelle11[[#Headers],[Spalte43]],Spielauswertung!$B597:$E597,0),0)=0,BD608,INDEX(Spielauswertung!$AB597:$AE597,MATCH(Tabelle11[[#Headers],[Spalte43]],Spielauswertung!$B597:$E597,0))+BD608)</f>
        <v>100</v>
      </c>
      <c r="BE609" s="1">
        <f>IF(IFERROR(MATCH(Tabelle11[[#Headers],[Spalte44]],Spielauswertung!$B597:$E597,0),0)=0,BE608,INDEX(Spielauswertung!$AB597:$AE597,MATCH(Tabelle11[[#Headers],[Spalte44]],Spielauswertung!$B597:$E597,0))+BE608)</f>
        <v>100</v>
      </c>
      <c r="BF609" s="1">
        <f>IF(IFERROR(MATCH(Tabelle11[[#Headers],[Spalte45]],Spielauswertung!$B597:$E597,0),0)=0,BF608,INDEX(Spielauswertung!$AB597:$AE597,MATCH(Tabelle11[[#Headers],[Spalte45]],Spielauswertung!$B597:$E597,0))+BF608)</f>
        <v>100</v>
      </c>
      <c r="BG609" s="1">
        <f>IF(IFERROR(MATCH(Tabelle11[[#Headers],[Spalte46]],Spielauswertung!$B597:$E597,0),0)=0,BG608,INDEX(Spielauswertung!$AB597:$AE597,MATCH(Tabelle11[[#Headers],[Spalte46]],Spielauswertung!$B597:$E597,0))+BG608)</f>
        <v>100</v>
      </c>
      <c r="BH609" s="1">
        <f>IF(IFERROR(MATCH(Tabelle11[[#Headers],[Spalte47]],Spielauswertung!$B597:$E597,0),0)=0,BH608,INDEX(Spielauswertung!$AB597:$AE597,MATCH(Tabelle11[[#Headers],[Spalte47]],Spielauswertung!$B597:$E597,0))+BH608)</f>
        <v>100</v>
      </c>
    </row>
    <row r="610" spans="1:60" x14ac:dyDescent="0.25">
      <c r="A610">
        <f t="shared" si="10"/>
        <v>597</v>
      </c>
      <c r="B610" s="1">
        <f>IF(IFERROR(MATCH(Tabelle11[[#Headers],[Aleix_V]],Spielauswertung!$B598:$E598,0),0)=0,B609,INDEX(Spielauswertung!$AB598:$AE598,MATCH(Tabelle11[[#Headers],[Aleix_V]],Spielauswertung!$B598:$E598,0))+B609)</f>
        <v>102.47318019444646</v>
      </c>
      <c r="C610" s="1">
        <f>IF(IFERROR(MATCH(Tabelle11[[#Headers],[Andres_H]],Spielauswertung!$B598:$E598,0),0)=0,C609,INDEX(Spielauswertung!$AB598:$AE598,MATCH(Tabelle11[[#Headers],[Andres_H]],Spielauswertung!$B598:$E598,0))+C609)</f>
        <v>95.535732339111306</v>
      </c>
      <c r="D610" s="1">
        <f>IF(IFERROR(MATCH(Tabelle11[[#Headers],[Anton_K]],Spielauswertung!$B598:$E598,0),0)=0,D609,INDEX(Spielauswertung!$AB598:$AE598,MATCH(Tabelle11[[#Headers],[Anton_K]],Spielauswertung!$B598:$E598,0))+D609)</f>
        <v>99.287728777054667</v>
      </c>
      <c r="E610" s="1">
        <f>IF(IFERROR(MATCH(Tabelle11[[#Headers],[Bastian_G]],Spielauswertung!$B598:$E598,0),0)=0,E609,INDEX(Spielauswertung!$AB598:$AE598,MATCH(Tabelle11[[#Headers],[Bastian_G]],Spielauswertung!$B598:$E598,0))+E609)</f>
        <v>117.49978695184252</v>
      </c>
      <c r="F610" s="1">
        <f>IF(IFERROR(MATCH(Tabelle11[[#Headers],[Ben_S]],Spielauswertung!$B598:$E598,0),0)=0,F609,INDEX(Spielauswertung!$AB598:$AE598,MATCH(Tabelle11[[#Headers],[Ben_S]],Spielauswertung!$B598:$E598,0))+F609)</f>
        <v>95.932799101521084</v>
      </c>
      <c r="G610" s="1">
        <f>IF(IFERROR(MATCH(Tabelle11[[#Headers],[Benedikt_K]],Spielauswertung!$B598:$E598,0),0)=0,G609,INDEX(Spielauswertung!$AB598:$AE598,MATCH(Tabelle11[[#Headers],[Benedikt_K]],Spielauswertung!$B598:$E598,0))+G609)</f>
        <v>101.20264176422626</v>
      </c>
      <c r="H610" s="1">
        <f>IF(IFERROR(MATCH(Tabelle11[[#Headers],[Benedikt_R]],Spielauswertung!$B598:$E598,0),0)=0,H609,INDEX(Spielauswertung!$AB598:$AE598,MATCH(Tabelle11[[#Headers],[Benedikt_R]],Spielauswertung!$B598:$E598,0))+H609)</f>
        <v>102.6264770510757</v>
      </c>
      <c r="I610" s="1">
        <f>IF(IFERROR(MATCH(Tabelle11[[#Headers],[Carsten_H]],Spielauswertung!$B598:$E598,0),0)=0,I609,INDEX(Spielauswertung!$AB598:$AE598,MATCH(Tabelle11[[#Headers],[Carsten_H]],Spielauswertung!$B598:$E598,0))+I609)</f>
        <v>90.817185094326874</v>
      </c>
      <c r="J610" s="1">
        <f>IF(IFERROR(MATCH(Tabelle11[[#Headers],[Christoph_R]],Spielauswertung!$B598:$E598,0),0)=0,J609,INDEX(Spielauswertung!$AB598:$AE598,MATCH(Tabelle11[[#Headers],[Christoph_R]],Spielauswertung!$B598:$E598,0))+J609)</f>
        <v>109.73261611443155</v>
      </c>
      <c r="K610" s="1">
        <f>IF(IFERROR(MATCH(Tabelle11[[#Headers],[Claudius_J]],Spielauswertung!$B598:$E598,0),0)=0,K609,INDEX(Spielauswertung!$AB598:$AE598,MATCH(Tabelle11[[#Headers],[Claudius_J]],Spielauswertung!$B598:$E598,0))+K609)</f>
        <v>106.16590636000029</v>
      </c>
      <c r="L610" s="1">
        <f>IF(IFERROR(MATCH(Tabelle11[[#Headers],[Daniel_D]],Spielauswertung!$B598:$E598,0),0)=0,L609,INDEX(Spielauswertung!$AB598:$AE598,MATCH(Tabelle11[[#Headers],[Daniel_D]],Spielauswertung!$B598:$E598,0))+L609)</f>
        <v>99.990299180470089</v>
      </c>
      <c r="M610" s="1">
        <f>IF(IFERROR(MATCH(Tabelle11[[#Headers],[David_R]],Spielauswertung!$B598:$E598,0),0)=0,M609,INDEX(Spielauswertung!$AB598:$AE598,MATCH(Tabelle11[[#Headers],[David_R]],Spielauswertung!$B598:$E598,0))+M609)</f>
        <v>96.715943522481638</v>
      </c>
      <c r="N610" s="1">
        <f>IF(IFERROR(MATCH(Tabelle11[[#Headers],[Dennis_P]],Spielauswertung!$B598:$E598,0),0)=0,N609,INDEX(Spielauswertung!$AB598:$AE598,MATCH(Tabelle11[[#Headers],[Dennis_P]],Spielauswertung!$B598:$E598,0))+N609)</f>
        <v>100.04773223105254</v>
      </c>
      <c r="O610" s="1">
        <f>IF(IFERROR(MATCH(Tabelle11[[#Headers],[Dennis_R]],Spielauswertung!$B598:$E598,0),0)=0,O609,INDEX(Spielauswertung!$AB598:$AE598,MATCH(Tabelle11[[#Headers],[Dennis_R]],Spielauswertung!$B598:$E598,0))+O609)</f>
        <v>75.131680864937195</v>
      </c>
      <c r="P610" s="1">
        <f>IF(IFERROR(MATCH(Tabelle11[[#Headers],[Detlef_R]],Spielauswertung!$B598:$E598,0),0)=0,P609,INDEX(Spielauswertung!$AB598:$AE598,MATCH(Tabelle11[[#Headers],[Detlef_R]],Spielauswertung!$B598:$E598,0))+P609)</f>
        <v>87.984671797367014</v>
      </c>
      <c r="Q610" s="1">
        <f>IF(IFERROR(MATCH(Tabelle11[[#Headers],[Dmitrij_M]],Spielauswertung!$B598:$E598,0),0)=0,Q609,INDEX(Spielauswertung!$AB598:$AE598,MATCH(Tabelle11[[#Headers],[Dmitrij_M]],Spielauswertung!$B598:$E598,0))+Q609)</f>
        <v>100.69975721846207</v>
      </c>
      <c r="R610" s="1">
        <f>IF(IFERROR(MATCH(Tabelle11[[#Headers],[Fabian_M]],Spielauswertung!$B598:$E598,0),0)=0,R609,INDEX(Spielauswertung!$AB598:$AE598,MATCH(Tabelle11[[#Headers],[Fabian_M]],Spielauswertung!$B598:$E598,0))+R609)</f>
        <v>95.805387841610738</v>
      </c>
      <c r="S610" s="1">
        <f>IF(IFERROR(MATCH(Tabelle11[[#Headers],[Hannes_S]],Spielauswertung!$B598:$E598,0),0)=0,S609,INDEX(Spielauswertung!$AB598:$AE598,MATCH(Tabelle11[[#Headers],[Hannes_S]],Spielauswertung!$B598:$E598,0))+S609)</f>
        <v>104.83899184012799</v>
      </c>
      <c r="T610" s="1">
        <f>IF(IFERROR(MATCH(Tabelle11[[#Headers],[Jan_B]],Spielauswertung!$B598:$E598,0),0)=0,T609,INDEX(Spielauswertung!$AB598:$AE598,MATCH(Tabelle11[[#Headers],[Jan_B]],Spielauswertung!$B598:$E598,0))+T609)</f>
        <v>100.2794420429173</v>
      </c>
      <c r="U610" s="1">
        <f>IF(IFERROR(MATCH(Tabelle11[[#Headers],[Jan_Hendrik_B]],Spielauswertung!$B598:$E598,0),0)=0,U609,INDEX(Spielauswertung!$AB598:$AE598,MATCH(Tabelle11[[#Headers],[Jan_Hendrik_B]],Spielauswertung!$B598:$E598,0))+U609)</f>
        <v>100.75492416935522</v>
      </c>
      <c r="V610" s="1">
        <f>IF(IFERROR(MATCH(Tabelle11[[#Headers],[Jens_N]],Spielauswertung!$B598:$E598,0),0)=0,V609,INDEX(Spielauswertung!$AB598:$AE598,MATCH(Tabelle11[[#Headers],[Jens_N]],Spielauswertung!$B598:$E598,0))+V609)</f>
        <v>99.643534710196832</v>
      </c>
      <c r="W610" s="1">
        <f>IF(IFERROR(MATCH(Tabelle11[[#Headers],[Johannes_S]],Spielauswertung!$B598:$E598,0),0)=0,W609,INDEX(Spielauswertung!$AB598:$AE598,MATCH(Tabelle11[[#Headers],[Johannes_S]],Spielauswertung!$B598:$E598,0))+W609)</f>
        <v>102.20284750979505</v>
      </c>
      <c r="X610" s="1">
        <f>IF(IFERROR(MATCH(Tabelle11[[#Headers],[Jonathan_F]],Spielauswertung!$B598:$E598,0),0)=0,X609,INDEX(Spielauswertung!$AB598:$AE598,MATCH(Tabelle11[[#Headers],[Jonathan_F]],Spielauswertung!$B598:$E598,0))+X609)</f>
        <v>98.938308797866256</v>
      </c>
      <c r="Y610" s="1">
        <f>IF(IFERROR(MATCH(Tabelle11[[#Headers],[Julius_P]],Spielauswertung!$B598:$E598,0),0)=0,Y609,INDEX(Spielauswertung!$AB598:$AE598,MATCH(Tabelle11[[#Headers],[Julius_P]],Spielauswertung!$B598:$E598,0))+Y609)</f>
        <v>96.540305101873642</v>
      </c>
      <c r="Z610" s="1">
        <f>IF(IFERROR(MATCH(Tabelle11[[#Headers],[Louis_W]],Spielauswertung!$B598:$E598,0),0)=0,Z609,INDEX(Spielauswertung!$AB598:$AE598,MATCH(Tabelle11[[#Headers],[Louis_W]],Spielauswertung!$B598:$E598,0))+Z609)</f>
        <v>87.497452285475362</v>
      </c>
      <c r="AA610" s="1">
        <f>IF(IFERROR(MATCH(Tabelle11[[#Headers],[Lukas_L]],Spielauswertung!$B598:$E598,0),0)=0,AA609,INDEX(Spielauswertung!$AB598:$AE598,MATCH(Tabelle11[[#Headers],[Lukas_L]],Spielauswertung!$B598:$E598,0))+AA609)</f>
        <v>98.447931341404143</v>
      </c>
      <c r="AB610" s="1">
        <f>IF(IFERROR(MATCH(Tabelle11[[#Headers],[Marcin_S]],Spielauswertung!$B598:$E598,0),0)=0,AB609,INDEX(Spielauswertung!$AB598:$AE598,MATCH(Tabelle11[[#Headers],[Marcin_S]],Spielauswertung!$B598:$E598,0))+AB609)</f>
        <v>85.463329105556824</v>
      </c>
      <c r="AC610" s="1">
        <f>IF(IFERROR(MATCH(Tabelle11[[#Headers],[Marco_K]],Spielauswertung!$B598:$E598,0),0)=0,AC609,INDEX(Spielauswertung!$AB598:$AE598,MATCH(Tabelle11[[#Headers],[Marco_K]],Spielauswertung!$B598:$E598,0))+AC609)</f>
        <v>102.12169819441469</v>
      </c>
      <c r="AD610" s="1">
        <f>IF(IFERROR(MATCH(Tabelle11[[#Headers],[Marius_M]],Spielauswertung!$B598:$E598,0),0)=0,AD609,INDEX(Spielauswertung!$AB598:$AE598,MATCH(Tabelle11[[#Headers],[Marius_M]],Spielauswertung!$B598:$E598,0))+AD609)</f>
        <v>124.54012374585781</v>
      </c>
      <c r="AE610" s="1">
        <f>IF(IFERROR(MATCH(Tabelle11[[#Headers],[Marvin_W]],Spielauswertung!$B598:$E598,0),0)=0,AE609,INDEX(Spielauswertung!$AB598:$AE598,MATCH(Tabelle11[[#Headers],[Marvin_W]],Spielauswertung!$B598:$E598,0))+AE609)</f>
        <v>96.700266280577438</v>
      </c>
      <c r="AF610" s="1">
        <f>IF(IFERROR(MATCH(Tabelle11[[#Headers],[Matthias_H]],Spielauswertung!$B598:$E598,0),0)=0,AF609,INDEX(Spielauswertung!$AB598:$AE598,MATCH(Tabelle11[[#Headers],[Matthias_H]],Spielauswertung!$B598:$E598,0))+AF609)</f>
        <v>105.42130178599372</v>
      </c>
      <c r="AG610" s="1">
        <f>IF(IFERROR(MATCH(Tabelle11[[#Headers],[Michael_D]],Spielauswertung!$B598:$E598,0),0)=0,AG609,INDEX(Spielauswertung!$AB598:$AE598,MATCH(Tabelle11[[#Headers],[Michael_D]],Spielauswertung!$B598:$E598,0))+AG609)</f>
        <v>96.436276170375336</v>
      </c>
      <c r="AH610" s="1">
        <f>IF(IFERROR(MATCH(Tabelle11[[#Headers],[Patrick_S]],Spielauswertung!$B598:$E598,0),0)=0,AH609,INDEX(Spielauswertung!$AB598:$AE598,MATCH(Tabelle11[[#Headers],[Patrick_S]],Spielauswertung!$B598:$E598,0))+AH609)</f>
        <v>98.975330692053802</v>
      </c>
      <c r="AI610" s="1">
        <f>IF(IFERROR(MATCH(Tabelle11[[#Headers],[Rano_M]],Spielauswertung!$B598:$E598,0),0)=0,AI609,INDEX(Spielauswertung!$AB598:$AE598,MATCH(Tabelle11[[#Headers],[Rano_M]],Spielauswertung!$B598:$E598,0))+AI609)</f>
        <v>109.38890657420265</v>
      </c>
      <c r="AJ610" s="1">
        <f>IF(IFERROR(MATCH(Tabelle11[[#Headers],[Rene_N]],Spielauswertung!$B598:$E598,0),0)=0,AJ609,INDEX(Spielauswertung!$AB598:$AE598,MATCH(Tabelle11[[#Headers],[Rene_N]],Spielauswertung!$B598:$E598,0))+AJ609)</f>
        <v>101.06482124619033</v>
      </c>
      <c r="AK610" s="1">
        <f>IF(IFERROR(MATCH(Tabelle11[[#Headers],[Rene_P]],Spielauswertung!$B598:$E598,0),0)=0,AK609,INDEX(Spielauswertung!$AB598:$AE598,MATCH(Tabelle11[[#Headers],[Rene_P]],Spielauswertung!$B598:$E598,0))+AK609)</f>
        <v>88.762543186332877</v>
      </c>
      <c r="AL610" s="1">
        <f>IF(IFERROR(MATCH(Tabelle11[[#Headers],[Richard_D]],Spielauswertung!$B598:$E598,0),0)=0,AL609,INDEX(Spielauswertung!$AB598:$AE598,MATCH(Tabelle11[[#Headers],[Richard_D]],Spielauswertung!$B598:$E598,0))+AL609)</f>
        <v>107.23233592026223</v>
      </c>
      <c r="AM610" s="1">
        <f>IF(IFERROR(MATCH(Tabelle11[[#Headers],[Rodrigo_R]],Spielauswertung!$B598:$E598,0),0)=0,AM609,INDEX(Spielauswertung!$AB598:$AE598,MATCH(Tabelle11[[#Headers],[Rodrigo_R]],Spielauswertung!$B598:$E598,0))+AM609)</f>
        <v>116.7028707921346</v>
      </c>
      <c r="AN610" s="1">
        <f>IF(IFERROR(MATCH(Tabelle11[[#Headers],[Sebastian_A]],Spielauswertung!$B598:$E598,0),0)=0,AN609,INDEX(Spielauswertung!$AB598:$AE598,MATCH(Tabelle11[[#Headers],[Sebastian_A]],Spielauswertung!$B598:$E598,0))+AN609)</f>
        <v>102.89457418671324</v>
      </c>
      <c r="AO610" s="1">
        <f>IF(IFERROR(MATCH(Tabelle11[[#Headers],[Sebastian_St]],Spielauswertung!$B598:$E598,0),0)=0,AO609,INDEX(Spielauswertung!$AB598:$AE598,MATCH(Tabelle11[[#Headers],[Sebastian_St]],Spielauswertung!$B598:$E598,0))+AO609)</f>
        <v>97.749574367408982</v>
      </c>
      <c r="AP610" s="1">
        <f>IF(IFERROR(MATCH(Tabelle11[[#Headers],[Simon_U]],Spielauswertung!$B598:$E598,0),0)=0,AP609,INDEX(Spielauswertung!$AB598:$AE598,MATCH(Tabelle11[[#Headers],[Simon_U]],Spielauswertung!$B598:$E598,0))+AP609)</f>
        <v>99.623054841470903</v>
      </c>
      <c r="AQ610" s="1">
        <f>IF(IFERROR(MATCH(Tabelle11[[#Headers],[Steffen_R]],Spielauswertung!$B598:$E598,0),0)=0,AQ609,INDEX(Spielauswertung!$AB598:$AE598,MATCH(Tabelle11[[#Headers],[Steffen_R]],Spielauswertung!$B598:$E598,0))+AQ609)</f>
        <v>93.247497067190949</v>
      </c>
      <c r="AR610" s="1">
        <f>IF(IFERROR(MATCH(Tabelle11[[#Headers],[Tim_R]],Spielauswertung!$B598:$E598,0),0)=0,AR609,INDEX(Spielauswertung!$AB598:$AE598,MATCH(Tabelle11[[#Headers],[Tim_R]],Spielauswertung!$B598:$E598,0))+AR609)</f>
        <v>103.07503787023374</v>
      </c>
      <c r="AS610" s="1">
        <f>IF(IFERROR(MATCH(Tabelle11[[#Headers],[Tobias_S]],Spielauswertung!$B598:$E598,0),0)=0,AS609,INDEX(Spielauswertung!$AB598:$AE598,MATCH(Tabelle11[[#Headers],[Tobias_S]],Spielauswertung!$B598:$E598,0))+AS609)</f>
        <v>98.6003422659997</v>
      </c>
      <c r="AT610" s="1">
        <f>IF(IFERROR(MATCH(Tabelle11[[#Headers],[Tom_R]],Spielauswertung!$B598:$E598,0),0)=0,AT609,INDEX(Spielauswertung!$AB598:$AE598,MATCH(Tabelle11[[#Headers],[Tom_R]],Spielauswertung!$B598:$E598,0))+AT609)</f>
        <v>112.62344492949197</v>
      </c>
      <c r="AU610" s="1">
        <f>IF(IFERROR(MATCH(Tabelle11[[#Headers],[Ton_L]],Spielauswertung!$B598:$E598,0),0)=0,AU609,INDEX(Spielauswertung!$AB598:$AE598,MATCH(Tabelle11[[#Headers],[Ton_L]],Spielauswertung!$B598:$E598,0))+AU609)</f>
        <v>92.683083360025861</v>
      </c>
      <c r="AV610" s="1">
        <f>IF(IFERROR(MATCH(Tabelle11[[#Headers],[Yixin_G]],Spielauswertung!$B598:$E598,0),0)=0,AV609,INDEX(Spielauswertung!$AB598:$AE598,MATCH(Tabelle11[[#Headers],[Yixin_G]],Spielauswertung!$B598:$E598,0))+AV609)</f>
        <v>99.900323214082661</v>
      </c>
      <c r="AW610" s="1">
        <f>IF(IFERROR(MATCH(Tabelle11[[#Headers],[Spalte36]],Spielauswertung!$B598:$E598,0),0)=0,AW609,INDEX(Spielauswertung!$AB598:$AE598,MATCH(Tabelle11[[#Headers],[Spalte36]],Spielauswertung!$B598:$E598,0))+AW609)</f>
        <v>100</v>
      </c>
      <c r="AX610" s="1">
        <f>IF(IFERROR(MATCH(Tabelle11[[#Headers],[Spalte37]],Spielauswertung!$B598:$E598,0),0)=0,AX609,INDEX(Spielauswertung!$AB598:$AE598,MATCH(Tabelle11[[#Headers],[Spalte37]],Spielauswertung!$B598:$E598,0))+AX609)</f>
        <v>100</v>
      </c>
      <c r="AY610" s="1">
        <f>IF(IFERROR(MATCH(Tabelle11[[#Headers],[Spalte38]],Spielauswertung!$B598:$E598,0),0)=0,AY609,INDEX(Spielauswertung!$AB598:$AE598,MATCH(Tabelle11[[#Headers],[Spalte38]],Spielauswertung!$B598:$E598,0))+AY609)</f>
        <v>100</v>
      </c>
      <c r="AZ610" s="1">
        <f>IF(IFERROR(MATCH(Tabelle11[[#Headers],[Spalte39]],Spielauswertung!$B598:$E598,0),0)=0,AZ609,INDEX(Spielauswertung!$AB598:$AE598,MATCH(Tabelle11[[#Headers],[Spalte39]],Spielauswertung!$B598:$E598,0))+AZ609)</f>
        <v>100</v>
      </c>
      <c r="BA610" s="1">
        <f>IF(IFERROR(MATCH(Tabelle11[[#Headers],[Spalte40]],Spielauswertung!$B598:$E598,0),0)=0,BA609,INDEX(Spielauswertung!$AB598:$AE598,MATCH(Tabelle11[[#Headers],[Spalte40]],Spielauswertung!$B598:$E598,0))+BA609)</f>
        <v>100</v>
      </c>
      <c r="BB610" s="1">
        <f>IF(IFERROR(MATCH(Tabelle11[[#Headers],[Spalte41]],Spielauswertung!$B598:$E598,0),0)=0,BB609,INDEX(Spielauswertung!$AB598:$AE598,MATCH(Tabelle11[[#Headers],[Spalte41]],Spielauswertung!$B598:$E598,0))+BB609)</f>
        <v>100</v>
      </c>
      <c r="BC610" s="1">
        <f>IF(IFERROR(MATCH(Tabelle11[[#Headers],[Spalte42]],Spielauswertung!$B598:$E598,0),0)=0,BC609,INDEX(Spielauswertung!$AB598:$AE598,MATCH(Tabelle11[[#Headers],[Spalte42]],Spielauswertung!$B598:$E598,0))+BC609)</f>
        <v>100</v>
      </c>
      <c r="BD610" s="1">
        <f>IF(IFERROR(MATCH(Tabelle11[[#Headers],[Spalte43]],Spielauswertung!$B598:$E598,0),0)=0,BD609,INDEX(Spielauswertung!$AB598:$AE598,MATCH(Tabelle11[[#Headers],[Spalte43]],Spielauswertung!$B598:$E598,0))+BD609)</f>
        <v>100</v>
      </c>
      <c r="BE610" s="1">
        <f>IF(IFERROR(MATCH(Tabelle11[[#Headers],[Spalte44]],Spielauswertung!$B598:$E598,0),0)=0,BE609,INDEX(Spielauswertung!$AB598:$AE598,MATCH(Tabelle11[[#Headers],[Spalte44]],Spielauswertung!$B598:$E598,0))+BE609)</f>
        <v>100</v>
      </c>
      <c r="BF610" s="1">
        <f>IF(IFERROR(MATCH(Tabelle11[[#Headers],[Spalte45]],Spielauswertung!$B598:$E598,0),0)=0,BF609,INDEX(Spielauswertung!$AB598:$AE598,MATCH(Tabelle11[[#Headers],[Spalte45]],Spielauswertung!$B598:$E598,0))+BF609)</f>
        <v>100</v>
      </c>
      <c r="BG610" s="1">
        <f>IF(IFERROR(MATCH(Tabelle11[[#Headers],[Spalte46]],Spielauswertung!$B598:$E598,0),0)=0,BG609,INDEX(Spielauswertung!$AB598:$AE598,MATCH(Tabelle11[[#Headers],[Spalte46]],Spielauswertung!$B598:$E598,0))+BG609)</f>
        <v>100</v>
      </c>
      <c r="BH610" s="1">
        <f>IF(IFERROR(MATCH(Tabelle11[[#Headers],[Spalte47]],Spielauswertung!$B598:$E598,0),0)=0,BH609,INDEX(Spielauswertung!$AB598:$AE598,MATCH(Tabelle11[[#Headers],[Spalte47]],Spielauswertung!$B598:$E598,0))+BH609)</f>
        <v>100</v>
      </c>
    </row>
    <row r="611" spans="1:60" x14ac:dyDescent="0.25">
      <c r="A611">
        <f t="shared" si="10"/>
        <v>598</v>
      </c>
      <c r="B611" s="1">
        <f>IF(IFERROR(MATCH(Tabelle11[[#Headers],[Aleix_V]],Spielauswertung!$B599:$E599,0),0)=0,B610,INDEX(Spielauswertung!$AB599:$AE599,MATCH(Tabelle11[[#Headers],[Aleix_V]],Spielauswertung!$B599:$E599,0))+B610)</f>
        <v>102.47318019444646</v>
      </c>
      <c r="C611" s="1">
        <f>IF(IFERROR(MATCH(Tabelle11[[#Headers],[Andres_H]],Spielauswertung!$B599:$E599,0),0)=0,C610,INDEX(Spielauswertung!$AB599:$AE599,MATCH(Tabelle11[[#Headers],[Andres_H]],Spielauswertung!$B599:$E599,0))+C610)</f>
        <v>95.535732339111306</v>
      </c>
      <c r="D611" s="1">
        <f>IF(IFERROR(MATCH(Tabelle11[[#Headers],[Anton_K]],Spielauswertung!$B599:$E599,0),0)=0,D610,INDEX(Spielauswertung!$AB599:$AE599,MATCH(Tabelle11[[#Headers],[Anton_K]],Spielauswertung!$B599:$E599,0))+D610)</f>
        <v>99.287728777054667</v>
      </c>
      <c r="E611" s="1">
        <f>IF(IFERROR(MATCH(Tabelle11[[#Headers],[Bastian_G]],Spielauswertung!$B599:$E599,0),0)=0,E610,INDEX(Spielauswertung!$AB599:$AE599,MATCH(Tabelle11[[#Headers],[Bastian_G]],Spielauswertung!$B599:$E599,0))+E610)</f>
        <v>117.49978695184252</v>
      </c>
      <c r="F611" s="1">
        <f>IF(IFERROR(MATCH(Tabelle11[[#Headers],[Ben_S]],Spielauswertung!$B599:$E599,0),0)=0,F610,INDEX(Spielauswertung!$AB599:$AE599,MATCH(Tabelle11[[#Headers],[Ben_S]],Spielauswertung!$B599:$E599,0))+F610)</f>
        <v>95.932799101521084</v>
      </c>
      <c r="G611" s="1">
        <f>IF(IFERROR(MATCH(Tabelle11[[#Headers],[Benedikt_K]],Spielauswertung!$B599:$E599,0),0)=0,G610,INDEX(Spielauswertung!$AB599:$AE599,MATCH(Tabelle11[[#Headers],[Benedikt_K]],Spielauswertung!$B599:$E599,0))+G610)</f>
        <v>101.20264176422626</v>
      </c>
      <c r="H611" s="1">
        <f>IF(IFERROR(MATCH(Tabelle11[[#Headers],[Benedikt_R]],Spielauswertung!$B599:$E599,0),0)=0,H610,INDEX(Spielauswertung!$AB599:$AE599,MATCH(Tabelle11[[#Headers],[Benedikt_R]],Spielauswertung!$B599:$E599,0))+H610)</f>
        <v>102.6264770510757</v>
      </c>
      <c r="I611" s="1">
        <f>IF(IFERROR(MATCH(Tabelle11[[#Headers],[Carsten_H]],Spielauswertung!$B599:$E599,0),0)=0,I610,INDEX(Spielauswertung!$AB599:$AE599,MATCH(Tabelle11[[#Headers],[Carsten_H]],Spielauswertung!$B599:$E599,0))+I610)</f>
        <v>90.817185094326874</v>
      </c>
      <c r="J611" s="1">
        <f>IF(IFERROR(MATCH(Tabelle11[[#Headers],[Christoph_R]],Spielauswertung!$B599:$E599,0),0)=0,J610,INDEX(Spielauswertung!$AB599:$AE599,MATCH(Tabelle11[[#Headers],[Christoph_R]],Spielauswertung!$B599:$E599,0))+J610)</f>
        <v>109.73261611443155</v>
      </c>
      <c r="K611" s="1">
        <f>IF(IFERROR(MATCH(Tabelle11[[#Headers],[Claudius_J]],Spielauswertung!$B599:$E599,0),0)=0,K610,INDEX(Spielauswertung!$AB599:$AE599,MATCH(Tabelle11[[#Headers],[Claudius_J]],Spielauswertung!$B599:$E599,0))+K610)</f>
        <v>106.16590636000029</v>
      </c>
      <c r="L611" s="1">
        <f>IF(IFERROR(MATCH(Tabelle11[[#Headers],[Daniel_D]],Spielauswertung!$B599:$E599,0),0)=0,L610,INDEX(Spielauswertung!$AB599:$AE599,MATCH(Tabelle11[[#Headers],[Daniel_D]],Spielauswertung!$B599:$E599,0))+L610)</f>
        <v>99.990299180470089</v>
      </c>
      <c r="M611" s="1">
        <f>IF(IFERROR(MATCH(Tabelle11[[#Headers],[David_R]],Spielauswertung!$B599:$E599,0),0)=0,M610,INDEX(Spielauswertung!$AB599:$AE599,MATCH(Tabelle11[[#Headers],[David_R]],Spielauswertung!$B599:$E599,0))+M610)</f>
        <v>96.715943522481638</v>
      </c>
      <c r="N611" s="1">
        <f>IF(IFERROR(MATCH(Tabelle11[[#Headers],[Dennis_P]],Spielauswertung!$B599:$E599,0),0)=0,N610,INDEX(Spielauswertung!$AB599:$AE599,MATCH(Tabelle11[[#Headers],[Dennis_P]],Spielauswertung!$B599:$E599,0))+N610)</f>
        <v>100.04773223105254</v>
      </c>
      <c r="O611" s="1">
        <f>IF(IFERROR(MATCH(Tabelle11[[#Headers],[Dennis_R]],Spielauswertung!$B599:$E599,0),0)=0,O610,INDEX(Spielauswertung!$AB599:$AE599,MATCH(Tabelle11[[#Headers],[Dennis_R]],Spielauswertung!$B599:$E599,0))+O610)</f>
        <v>75.131680864937195</v>
      </c>
      <c r="P611" s="1">
        <f>IF(IFERROR(MATCH(Tabelle11[[#Headers],[Detlef_R]],Spielauswertung!$B599:$E599,0),0)=0,P610,INDEX(Spielauswertung!$AB599:$AE599,MATCH(Tabelle11[[#Headers],[Detlef_R]],Spielauswertung!$B599:$E599,0))+P610)</f>
        <v>87.984671797367014</v>
      </c>
      <c r="Q611" s="1">
        <f>IF(IFERROR(MATCH(Tabelle11[[#Headers],[Dmitrij_M]],Spielauswertung!$B599:$E599,0),0)=0,Q610,INDEX(Spielauswertung!$AB599:$AE599,MATCH(Tabelle11[[#Headers],[Dmitrij_M]],Spielauswertung!$B599:$E599,0))+Q610)</f>
        <v>100.69975721846207</v>
      </c>
      <c r="R611" s="1">
        <f>IF(IFERROR(MATCH(Tabelle11[[#Headers],[Fabian_M]],Spielauswertung!$B599:$E599,0),0)=0,R610,INDEX(Spielauswertung!$AB599:$AE599,MATCH(Tabelle11[[#Headers],[Fabian_M]],Spielauswertung!$B599:$E599,0))+R610)</f>
        <v>95.805387841610738</v>
      </c>
      <c r="S611" s="1">
        <f>IF(IFERROR(MATCH(Tabelle11[[#Headers],[Hannes_S]],Spielauswertung!$B599:$E599,0),0)=0,S610,INDEX(Spielauswertung!$AB599:$AE599,MATCH(Tabelle11[[#Headers],[Hannes_S]],Spielauswertung!$B599:$E599,0))+S610)</f>
        <v>104.83899184012799</v>
      </c>
      <c r="T611" s="1">
        <f>IF(IFERROR(MATCH(Tabelle11[[#Headers],[Jan_B]],Spielauswertung!$B599:$E599,0),0)=0,T610,INDEX(Spielauswertung!$AB599:$AE599,MATCH(Tabelle11[[#Headers],[Jan_B]],Spielauswertung!$B599:$E599,0))+T610)</f>
        <v>100.2794420429173</v>
      </c>
      <c r="U611" s="1">
        <f>IF(IFERROR(MATCH(Tabelle11[[#Headers],[Jan_Hendrik_B]],Spielauswertung!$B599:$E599,0),0)=0,U610,INDEX(Spielauswertung!$AB599:$AE599,MATCH(Tabelle11[[#Headers],[Jan_Hendrik_B]],Spielauswertung!$B599:$E599,0))+U610)</f>
        <v>100.75492416935522</v>
      </c>
      <c r="V611" s="1">
        <f>IF(IFERROR(MATCH(Tabelle11[[#Headers],[Jens_N]],Spielauswertung!$B599:$E599,0),0)=0,V610,INDEX(Spielauswertung!$AB599:$AE599,MATCH(Tabelle11[[#Headers],[Jens_N]],Spielauswertung!$B599:$E599,0))+V610)</f>
        <v>99.643534710196832</v>
      </c>
      <c r="W611" s="1">
        <f>IF(IFERROR(MATCH(Tabelle11[[#Headers],[Johannes_S]],Spielauswertung!$B599:$E599,0),0)=0,W610,INDEX(Spielauswertung!$AB599:$AE599,MATCH(Tabelle11[[#Headers],[Johannes_S]],Spielauswertung!$B599:$E599,0))+W610)</f>
        <v>102.20284750979505</v>
      </c>
      <c r="X611" s="1">
        <f>IF(IFERROR(MATCH(Tabelle11[[#Headers],[Jonathan_F]],Spielauswertung!$B599:$E599,0),0)=0,X610,INDEX(Spielauswertung!$AB599:$AE599,MATCH(Tabelle11[[#Headers],[Jonathan_F]],Spielauswertung!$B599:$E599,0))+X610)</f>
        <v>98.938308797866256</v>
      </c>
      <c r="Y611" s="1">
        <f>IF(IFERROR(MATCH(Tabelle11[[#Headers],[Julius_P]],Spielauswertung!$B599:$E599,0),0)=0,Y610,INDEX(Spielauswertung!$AB599:$AE599,MATCH(Tabelle11[[#Headers],[Julius_P]],Spielauswertung!$B599:$E599,0))+Y610)</f>
        <v>96.540305101873642</v>
      </c>
      <c r="Z611" s="1">
        <f>IF(IFERROR(MATCH(Tabelle11[[#Headers],[Louis_W]],Spielauswertung!$B599:$E599,0),0)=0,Z610,INDEX(Spielauswertung!$AB599:$AE599,MATCH(Tabelle11[[#Headers],[Louis_W]],Spielauswertung!$B599:$E599,0))+Z610)</f>
        <v>87.497452285475362</v>
      </c>
      <c r="AA611" s="1">
        <f>IF(IFERROR(MATCH(Tabelle11[[#Headers],[Lukas_L]],Spielauswertung!$B599:$E599,0),0)=0,AA610,INDEX(Spielauswertung!$AB599:$AE599,MATCH(Tabelle11[[#Headers],[Lukas_L]],Spielauswertung!$B599:$E599,0))+AA610)</f>
        <v>98.447931341404143</v>
      </c>
      <c r="AB611" s="1">
        <f>IF(IFERROR(MATCH(Tabelle11[[#Headers],[Marcin_S]],Spielauswertung!$B599:$E599,0),0)=0,AB610,INDEX(Spielauswertung!$AB599:$AE599,MATCH(Tabelle11[[#Headers],[Marcin_S]],Spielauswertung!$B599:$E599,0))+AB610)</f>
        <v>85.463329105556824</v>
      </c>
      <c r="AC611" s="1">
        <f>IF(IFERROR(MATCH(Tabelle11[[#Headers],[Marco_K]],Spielauswertung!$B599:$E599,0),0)=0,AC610,INDEX(Spielauswertung!$AB599:$AE599,MATCH(Tabelle11[[#Headers],[Marco_K]],Spielauswertung!$B599:$E599,0))+AC610)</f>
        <v>102.12169819441469</v>
      </c>
      <c r="AD611" s="1">
        <f>IF(IFERROR(MATCH(Tabelle11[[#Headers],[Marius_M]],Spielauswertung!$B599:$E599,0),0)=0,AD610,INDEX(Spielauswertung!$AB599:$AE599,MATCH(Tabelle11[[#Headers],[Marius_M]],Spielauswertung!$B599:$E599,0))+AD610)</f>
        <v>124.54012374585781</v>
      </c>
      <c r="AE611" s="1">
        <f>IF(IFERROR(MATCH(Tabelle11[[#Headers],[Marvin_W]],Spielauswertung!$B599:$E599,0),0)=0,AE610,INDEX(Spielauswertung!$AB599:$AE599,MATCH(Tabelle11[[#Headers],[Marvin_W]],Spielauswertung!$B599:$E599,0))+AE610)</f>
        <v>96.700266280577438</v>
      </c>
      <c r="AF611" s="1">
        <f>IF(IFERROR(MATCH(Tabelle11[[#Headers],[Matthias_H]],Spielauswertung!$B599:$E599,0),0)=0,AF610,INDEX(Spielauswertung!$AB599:$AE599,MATCH(Tabelle11[[#Headers],[Matthias_H]],Spielauswertung!$B599:$E599,0))+AF610)</f>
        <v>105.42130178599372</v>
      </c>
      <c r="AG611" s="1">
        <f>IF(IFERROR(MATCH(Tabelle11[[#Headers],[Michael_D]],Spielauswertung!$B599:$E599,0),0)=0,AG610,INDEX(Spielauswertung!$AB599:$AE599,MATCH(Tabelle11[[#Headers],[Michael_D]],Spielauswertung!$B599:$E599,0))+AG610)</f>
        <v>96.436276170375336</v>
      </c>
      <c r="AH611" s="1">
        <f>IF(IFERROR(MATCH(Tabelle11[[#Headers],[Patrick_S]],Spielauswertung!$B599:$E599,0),0)=0,AH610,INDEX(Spielauswertung!$AB599:$AE599,MATCH(Tabelle11[[#Headers],[Patrick_S]],Spielauswertung!$B599:$E599,0))+AH610)</f>
        <v>98.975330692053802</v>
      </c>
      <c r="AI611" s="1">
        <f>IF(IFERROR(MATCH(Tabelle11[[#Headers],[Rano_M]],Spielauswertung!$B599:$E599,0),0)=0,AI610,INDEX(Spielauswertung!$AB599:$AE599,MATCH(Tabelle11[[#Headers],[Rano_M]],Spielauswertung!$B599:$E599,0))+AI610)</f>
        <v>109.38890657420265</v>
      </c>
      <c r="AJ611" s="1">
        <f>IF(IFERROR(MATCH(Tabelle11[[#Headers],[Rene_N]],Spielauswertung!$B599:$E599,0),0)=0,AJ610,INDEX(Spielauswertung!$AB599:$AE599,MATCH(Tabelle11[[#Headers],[Rene_N]],Spielauswertung!$B599:$E599,0))+AJ610)</f>
        <v>101.06482124619033</v>
      </c>
      <c r="AK611" s="1">
        <f>IF(IFERROR(MATCH(Tabelle11[[#Headers],[Rene_P]],Spielauswertung!$B599:$E599,0),0)=0,AK610,INDEX(Spielauswertung!$AB599:$AE599,MATCH(Tabelle11[[#Headers],[Rene_P]],Spielauswertung!$B599:$E599,0))+AK610)</f>
        <v>88.762543186332877</v>
      </c>
      <c r="AL611" s="1">
        <f>IF(IFERROR(MATCH(Tabelle11[[#Headers],[Richard_D]],Spielauswertung!$B599:$E599,0),0)=0,AL610,INDEX(Spielauswertung!$AB599:$AE599,MATCH(Tabelle11[[#Headers],[Richard_D]],Spielauswertung!$B599:$E599,0))+AL610)</f>
        <v>107.23233592026223</v>
      </c>
      <c r="AM611" s="1">
        <f>IF(IFERROR(MATCH(Tabelle11[[#Headers],[Rodrigo_R]],Spielauswertung!$B599:$E599,0),0)=0,AM610,INDEX(Spielauswertung!$AB599:$AE599,MATCH(Tabelle11[[#Headers],[Rodrigo_R]],Spielauswertung!$B599:$E599,0))+AM610)</f>
        <v>116.7028707921346</v>
      </c>
      <c r="AN611" s="1">
        <f>IF(IFERROR(MATCH(Tabelle11[[#Headers],[Sebastian_A]],Spielauswertung!$B599:$E599,0),0)=0,AN610,INDEX(Spielauswertung!$AB599:$AE599,MATCH(Tabelle11[[#Headers],[Sebastian_A]],Spielauswertung!$B599:$E599,0))+AN610)</f>
        <v>102.89457418671324</v>
      </c>
      <c r="AO611" s="1">
        <f>IF(IFERROR(MATCH(Tabelle11[[#Headers],[Sebastian_St]],Spielauswertung!$B599:$E599,0),0)=0,AO610,INDEX(Spielauswertung!$AB599:$AE599,MATCH(Tabelle11[[#Headers],[Sebastian_St]],Spielauswertung!$B599:$E599,0))+AO610)</f>
        <v>97.749574367408982</v>
      </c>
      <c r="AP611" s="1">
        <f>IF(IFERROR(MATCH(Tabelle11[[#Headers],[Simon_U]],Spielauswertung!$B599:$E599,0),0)=0,AP610,INDEX(Spielauswertung!$AB599:$AE599,MATCH(Tabelle11[[#Headers],[Simon_U]],Spielauswertung!$B599:$E599,0))+AP610)</f>
        <v>99.623054841470903</v>
      </c>
      <c r="AQ611" s="1">
        <f>IF(IFERROR(MATCH(Tabelle11[[#Headers],[Steffen_R]],Spielauswertung!$B599:$E599,0),0)=0,AQ610,INDEX(Spielauswertung!$AB599:$AE599,MATCH(Tabelle11[[#Headers],[Steffen_R]],Spielauswertung!$B599:$E599,0))+AQ610)</f>
        <v>93.247497067190949</v>
      </c>
      <c r="AR611" s="1">
        <f>IF(IFERROR(MATCH(Tabelle11[[#Headers],[Tim_R]],Spielauswertung!$B599:$E599,0),0)=0,AR610,INDEX(Spielauswertung!$AB599:$AE599,MATCH(Tabelle11[[#Headers],[Tim_R]],Spielauswertung!$B599:$E599,0))+AR610)</f>
        <v>103.07503787023374</v>
      </c>
      <c r="AS611" s="1">
        <f>IF(IFERROR(MATCH(Tabelle11[[#Headers],[Tobias_S]],Spielauswertung!$B599:$E599,0),0)=0,AS610,INDEX(Spielauswertung!$AB599:$AE599,MATCH(Tabelle11[[#Headers],[Tobias_S]],Spielauswertung!$B599:$E599,0))+AS610)</f>
        <v>98.6003422659997</v>
      </c>
      <c r="AT611" s="1">
        <f>IF(IFERROR(MATCH(Tabelle11[[#Headers],[Tom_R]],Spielauswertung!$B599:$E599,0),0)=0,AT610,INDEX(Spielauswertung!$AB599:$AE599,MATCH(Tabelle11[[#Headers],[Tom_R]],Spielauswertung!$B599:$E599,0))+AT610)</f>
        <v>112.62344492949197</v>
      </c>
      <c r="AU611" s="1">
        <f>IF(IFERROR(MATCH(Tabelle11[[#Headers],[Ton_L]],Spielauswertung!$B599:$E599,0),0)=0,AU610,INDEX(Spielauswertung!$AB599:$AE599,MATCH(Tabelle11[[#Headers],[Ton_L]],Spielauswertung!$B599:$E599,0))+AU610)</f>
        <v>92.683083360025861</v>
      </c>
      <c r="AV611" s="1">
        <f>IF(IFERROR(MATCH(Tabelle11[[#Headers],[Yixin_G]],Spielauswertung!$B599:$E599,0),0)=0,AV610,INDEX(Spielauswertung!$AB599:$AE599,MATCH(Tabelle11[[#Headers],[Yixin_G]],Spielauswertung!$B599:$E599,0))+AV610)</f>
        <v>99.900323214082661</v>
      </c>
      <c r="AW611" s="1">
        <f>IF(IFERROR(MATCH(Tabelle11[[#Headers],[Spalte36]],Spielauswertung!$B599:$E599,0),0)=0,AW610,INDEX(Spielauswertung!$AB599:$AE599,MATCH(Tabelle11[[#Headers],[Spalte36]],Spielauswertung!$B599:$E599,0))+AW610)</f>
        <v>100</v>
      </c>
      <c r="AX611" s="1">
        <f>IF(IFERROR(MATCH(Tabelle11[[#Headers],[Spalte37]],Spielauswertung!$B599:$E599,0),0)=0,AX610,INDEX(Spielauswertung!$AB599:$AE599,MATCH(Tabelle11[[#Headers],[Spalte37]],Spielauswertung!$B599:$E599,0))+AX610)</f>
        <v>100</v>
      </c>
      <c r="AY611" s="1">
        <f>IF(IFERROR(MATCH(Tabelle11[[#Headers],[Spalte38]],Spielauswertung!$B599:$E599,0),0)=0,AY610,INDEX(Spielauswertung!$AB599:$AE599,MATCH(Tabelle11[[#Headers],[Spalte38]],Spielauswertung!$B599:$E599,0))+AY610)</f>
        <v>100</v>
      </c>
      <c r="AZ611" s="1">
        <f>IF(IFERROR(MATCH(Tabelle11[[#Headers],[Spalte39]],Spielauswertung!$B599:$E599,0),0)=0,AZ610,INDEX(Spielauswertung!$AB599:$AE599,MATCH(Tabelle11[[#Headers],[Spalte39]],Spielauswertung!$B599:$E599,0))+AZ610)</f>
        <v>100</v>
      </c>
      <c r="BA611" s="1">
        <f>IF(IFERROR(MATCH(Tabelle11[[#Headers],[Spalte40]],Spielauswertung!$B599:$E599,0),0)=0,BA610,INDEX(Spielauswertung!$AB599:$AE599,MATCH(Tabelle11[[#Headers],[Spalte40]],Spielauswertung!$B599:$E599,0))+BA610)</f>
        <v>100</v>
      </c>
      <c r="BB611" s="1">
        <f>IF(IFERROR(MATCH(Tabelle11[[#Headers],[Spalte41]],Spielauswertung!$B599:$E599,0),0)=0,BB610,INDEX(Spielauswertung!$AB599:$AE599,MATCH(Tabelle11[[#Headers],[Spalte41]],Spielauswertung!$B599:$E599,0))+BB610)</f>
        <v>100</v>
      </c>
      <c r="BC611" s="1">
        <f>IF(IFERROR(MATCH(Tabelle11[[#Headers],[Spalte42]],Spielauswertung!$B599:$E599,0),0)=0,BC610,INDEX(Spielauswertung!$AB599:$AE599,MATCH(Tabelle11[[#Headers],[Spalte42]],Spielauswertung!$B599:$E599,0))+BC610)</f>
        <v>100</v>
      </c>
      <c r="BD611" s="1">
        <f>IF(IFERROR(MATCH(Tabelle11[[#Headers],[Spalte43]],Spielauswertung!$B599:$E599,0),0)=0,BD610,INDEX(Spielauswertung!$AB599:$AE599,MATCH(Tabelle11[[#Headers],[Spalte43]],Spielauswertung!$B599:$E599,0))+BD610)</f>
        <v>100</v>
      </c>
      <c r="BE611" s="1">
        <f>IF(IFERROR(MATCH(Tabelle11[[#Headers],[Spalte44]],Spielauswertung!$B599:$E599,0),0)=0,BE610,INDEX(Spielauswertung!$AB599:$AE599,MATCH(Tabelle11[[#Headers],[Spalte44]],Spielauswertung!$B599:$E599,0))+BE610)</f>
        <v>100</v>
      </c>
      <c r="BF611" s="1">
        <f>IF(IFERROR(MATCH(Tabelle11[[#Headers],[Spalte45]],Spielauswertung!$B599:$E599,0),0)=0,BF610,INDEX(Spielauswertung!$AB599:$AE599,MATCH(Tabelle11[[#Headers],[Spalte45]],Spielauswertung!$B599:$E599,0))+BF610)</f>
        <v>100</v>
      </c>
      <c r="BG611" s="1">
        <f>IF(IFERROR(MATCH(Tabelle11[[#Headers],[Spalte46]],Spielauswertung!$B599:$E599,0),0)=0,BG610,INDEX(Spielauswertung!$AB599:$AE599,MATCH(Tabelle11[[#Headers],[Spalte46]],Spielauswertung!$B599:$E599,0))+BG610)</f>
        <v>100</v>
      </c>
      <c r="BH611" s="1">
        <f>IF(IFERROR(MATCH(Tabelle11[[#Headers],[Spalte47]],Spielauswertung!$B599:$E599,0),0)=0,BH610,INDEX(Spielauswertung!$AB599:$AE599,MATCH(Tabelle11[[#Headers],[Spalte47]],Spielauswertung!$B599:$E599,0))+BH610)</f>
        <v>100</v>
      </c>
    </row>
    <row r="612" spans="1:60" x14ac:dyDescent="0.25">
      <c r="A612">
        <f t="shared" si="10"/>
        <v>599</v>
      </c>
      <c r="B612" s="1">
        <f>IF(IFERROR(MATCH(Tabelle11[[#Headers],[Aleix_V]],Spielauswertung!$B600:$E600,0),0)=0,B611,INDEX(Spielauswertung!$AB600:$AE600,MATCH(Tabelle11[[#Headers],[Aleix_V]],Spielauswertung!$B600:$E600,0))+B611)</f>
        <v>102.47318019444646</v>
      </c>
      <c r="C612" s="1">
        <f>IF(IFERROR(MATCH(Tabelle11[[#Headers],[Andres_H]],Spielauswertung!$B600:$E600,0),0)=0,C611,INDEX(Spielauswertung!$AB600:$AE600,MATCH(Tabelle11[[#Headers],[Andres_H]],Spielauswertung!$B600:$E600,0))+C611)</f>
        <v>95.535732339111306</v>
      </c>
      <c r="D612" s="1">
        <f>IF(IFERROR(MATCH(Tabelle11[[#Headers],[Anton_K]],Spielauswertung!$B600:$E600,0),0)=0,D611,INDEX(Spielauswertung!$AB600:$AE600,MATCH(Tabelle11[[#Headers],[Anton_K]],Spielauswertung!$B600:$E600,0))+D611)</f>
        <v>99.287728777054667</v>
      </c>
      <c r="E612" s="1">
        <f>IF(IFERROR(MATCH(Tabelle11[[#Headers],[Bastian_G]],Spielauswertung!$B600:$E600,0),0)=0,E611,INDEX(Spielauswertung!$AB600:$AE600,MATCH(Tabelle11[[#Headers],[Bastian_G]],Spielauswertung!$B600:$E600,0))+E611)</f>
        <v>117.49978695184252</v>
      </c>
      <c r="F612" s="1">
        <f>IF(IFERROR(MATCH(Tabelle11[[#Headers],[Ben_S]],Spielauswertung!$B600:$E600,0),0)=0,F611,INDEX(Spielauswertung!$AB600:$AE600,MATCH(Tabelle11[[#Headers],[Ben_S]],Spielauswertung!$B600:$E600,0))+F611)</f>
        <v>95.932799101521084</v>
      </c>
      <c r="G612" s="1">
        <f>IF(IFERROR(MATCH(Tabelle11[[#Headers],[Benedikt_K]],Spielauswertung!$B600:$E600,0),0)=0,G611,INDEX(Spielauswertung!$AB600:$AE600,MATCH(Tabelle11[[#Headers],[Benedikt_K]],Spielauswertung!$B600:$E600,0))+G611)</f>
        <v>101.20264176422626</v>
      </c>
      <c r="H612" s="1">
        <f>IF(IFERROR(MATCH(Tabelle11[[#Headers],[Benedikt_R]],Spielauswertung!$B600:$E600,0),0)=0,H611,INDEX(Spielauswertung!$AB600:$AE600,MATCH(Tabelle11[[#Headers],[Benedikt_R]],Spielauswertung!$B600:$E600,0))+H611)</f>
        <v>102.6264770510757</v>
      </c>
      <c r="I612" s="1">
        <f>IF(IFERROR(MATCH(Tabelle11[[#Headers],[Carsten_H]],Spielauswertung!$B600:$E600,0),0)=0,I611,INDEX(Spielauswertung!$AB600:$AE600,MATCH(Tabelle11[[#Headers],[Carsten_H]],Spielauswertung!$B600:$E600,0))+I611)</f>
        <v>90.817185094326874</v>
      </c>
      <c r="J612" s="1">
        <f>IF(IFERROR(MATCH(Tabelle11[[#Headers],[Christoph_R]],Spielauswertung!$B600:$E600,0),0)=0,J611,INDEX(Spielauswertung!$AB600:$AE600,MATCH(Tabelle11[[#Headers],[Christoph_R]],Spielauswertung!$B600:$E600,0))+J611)</f>
        <v>109.73261611443155</v>
      </c>
      <c r="K612" s="1">
        <f>IF(IFERROR(MATCH(Tabelle11[[#Headers],[Claudius_J]],Spielauswertung!$B600:$E600,0),0)=0,K611,INDEX(Spielauswertung!$AB600:$AE600,MATCH(Tabelle11[[#Headers],[Claudius_J]],Spielauswertung!$B600:$E600,0))+K611)</f>
        <v>106.16590636000029</v>
      </c>
      <c r="L612" s="1">
        <f>IF(IFERROR(MATCH(Tabelle11[[#Headers],[Daniel_D]],Spielauswertung!$B600:$E600,0),0)=0,L611,INDEX(Spielauswertung!$AB600:$AE600,MATCH(Tabelle11[[#Headers],[Daniel_D]],Spielauswertung!$B600:$E600,0))+L611)</f>
        <v>99.990299180470089</v>
      </c>
      <c r="M612" s="1">
        <f>IF(IFERROR(MATCH(Tabelle11[[#Headers],[David_R]],Spielauswertung!$B600:$E600,0),0)=0,M611,INDEX(Spielauswertung!$AB600:$AE600,MATCH(Tabelle11[[#Headers],[David_R]],Spielauswertung!$B600:$E600,0))+M611)</f>
        <v>96.715943522481638</v>
      </c>
      <c r="N612" s="1">
        <f>IF(IFERROR(MATCH(Tabelle11[[#Headers],[Dennis_P]],Spielauswertung!$B600:$E600,0),0)=0,N611,INDEX(Spielauswertung!$AB600:$AE600,MATCH(Tabelle11[[#Headers],[Dennis_P]],Spielauswertung!$B600:$E600,0))+N611)</f>
        <v>100.04773223105254</v>
      </c>
      <c r="O612" s="1">
        <f>IF(IFERROR(MATCH(Tabelle11[[#Headers],[Dennis_R]],Spielauswertung!$B600:$E600,0),0)=0,O611,INDEX(Spielauswertung!$AB600:$AE600,MATCH(Tabelle11[[#Headers],[Dennis_R]],Spielauswertung!$B600:$E600,0))+O611)</f>
        <v>75.131680864937195</v>
      </c>
      <c r="P612" s="1">
        <f>IF(IFERROR(MATCH(Tabelle11[[#Headers],[Detlef_R]],Spielauswertung!$B600:$E600,0),0)=0,P611,INDEX(Spielauswertung!$AB600:$AE600,MATCH(Tabelle11[[#Headers],[Detlef_R]],Spielauswertung!$B600:$E600,0))+P611)</f>
        <v>87.984671797367014</v>
      </c>
      <c r="Q612" s="1">
        <f>IF(IFERROR(MATCH(Tabelle11[[#Headers],[Dmitrij_M]],Spielauswertung!$B600:$E600,0),0)=0,Q611,INDEX(Spielauswertung!$AB600:$AE600,MATCH(Tabelle11[[#Headers],[Dmitrij_M]],Spielauswertung!$B600:$E600,0))+Q611)</f>
        <v>100.69975721846207</v>
      </c>
      <c r="R612" s="1">
        <f>IF(IFERROR(MATCH(Tabelle11[[#Headers],[Fabian_M]],Spielauswertung!$B600:$E600,0),0)=0,R611,INDEX(Spielauswertung!$AB600:$AE600,MATCH(Tabelle11[[#Headers],[Fabian_M]],Spielauswertung!$B600:$E600,0))+R611)</f>
        <v>95.805387841610738</v>
      </c>
      <c r="S612" s="1">
        <f>IF(IFERROR(MATCH(Tabelle11[[#Headers],[Hannes_S]],Spielauswertung!$B600:$E600,0),0)=0,S611,INDEX(Spielauswertung!$AB600:$AE600,MATCH(Tabelle11[[#Headers],[Hannes_S]],Spielauswertung!$B600:$E600,0))+S611)</f>
        <v>104.83899184012799</v>
      </c>
      <c r="T612" s="1">
        <f>IF(IFERROR(MATCH(Tabelle11[[#Headers],[Jan_B]],Spielauswertung!$B600:$E600,0),0)=0,T611,INDEX(Spielauswertung!$AB600:$AE600,MATCH(Tabelle11[[#Headers],[Jan_B]],Spielauswertung!$B600:$E600,0))+T611)</f>
        <v>100.2794420429173</v>
      </c>
      <c r="U612" s="1">
        <f>IF(IFERROR(MATCH(Tabelle11[[#Headers],[Jan_Hendrik_B]],Spielauswertung!$B600:$E600,0),0)=0,U611,INDEX(Spielauswertung!$AB600:$AE600,MATCH(Tabelle11[[#Headers],[Jan_Hendrik_B]],Spielauswertung!$B600:$E600,0))+U611)</f>
        <v>100.75492416935522</v>
      </c>
      <c r="V612" s="1">
        <f>IF(IFERROR(MATCH(Tabelle11[[#Headers],[Jens_N]],Spielauswertung!$B600:$E600,0),0)=0,V611,INDEX(Spielauswertung!$AB600:$AE600,MATCH(Tabelle11[[#Headers],[Jens_N]],Spielauswertung!$B600:$E600,0))+V611)</f>
        <v>99.643534710196832</v>
      </c>
      <c r="W612" s="1">
        <f>IF(IFERROR(MATCH(Tabelle11[[#Headers],[Johannes_S]],Spielauswertung!$B600:$E600,0),0)=0,W611,INDEX(Spielauswertung!$AB600:$AE600,MATCH(Tabelle11[[#Headers],[Johannes_S]],Spielauswertung!$B600:$E600,0))+W611)</f>
        <v>102.20284750979505</v>
      </c>
      <c r="X612" s="1">
        <f>IF(IFERROR(MATCH(Tabelle11[[#Headers],[Jonathan_F]],Spielauswertung!$B600:$E600,0),0)=0,X611,INDEX(Spielauswertung!$AB600:$AE600,MATCH(Tabelle11[[#Headers],[Jonathan_F]],Spielauswertung!$B600:$E600,0))+X611)</f>
        <v>98.938308797866256</v>
      </c>
      <c r="Y612" s="1">
        <f>IF(IFERROR(MATCH(Tabelle11[[#Headers],[Julius_P]],Spielauswertung!$B600:$E600,0),0)=0,Y611,INDEX(Spielauswertung!$AB600:$AE600,MATCH(Tabelle11[[#Headers],[Julius_P]],Spielauswertung!$B600:$E600,0))+Y611)</f>
        <v>96.540305101873642</v>
      </c>
      <c r="Z612" s="1">
        <f>IF(IFERROR(MATCH(Tabelle11[[#Headers],[Louis_W]],Spielauswertung!$B600:$E600,0),0)=0,Z611,INDEX(Spielauswertung!$AB600:$AE600,MATCH(Tabelle11[[#Headers],[Louis_W]],Spielauswertung!$B600:$E600,0))+Z611)</f>
        <v>87.497452285475362</v>
      </c>
      <c r="AA612" s="1">
        <f>IF(IFERROR(MATCH(Tabelle11[[#Headers],[Lukas_L]],Spielauswertung!$B600:$E600,0),0)=0,AA611,INDEX(Spielauswertung!$AB600:$AE600,MATCH(Tabelle11[[#Headers],[Lukas_L]],Spielauswertung!$B600:$E600,0))+AA611)</f>
        <v>98.447931341404143</v>
      </c>
      <c r="AB612" s="1">
        <f>IF(IFERROR(MATCH(Tabelle11[[#Headers],[Marcin_S]],Spielauswertung!$B600:$E600,0),0)=0,AB611,INDEX(Spielauswertung!$AB600:$AE600,MATCH(Tabelle11[[#Headers],[Marcin_S]],Spielauswertung!$B600:$E600,0))+AB611)</f>
        <v>85.463329105556824</v>
      </c>
      <c r="AC612" s="1">
        <f>IF(IFERROR(MATCH(Tabelle11[[#Headers],[Marco_K]],Spielauswertung!$B600:$E600,0),0)=0,AC611,INDEX(Spielauswertung!$AB600:$AE600,MATCH(Tabelle11[[#Headers],[Marco_K]],Spielauswertung!$B600:$E600,0))+AC611)</f>
        <v>102.12169819441469</v>
      </c>
      <c r="AD612" s="1">
        <f>IF(IFERROR(MATCH(Tabelle11[[#Headers],[Marius_M]],Spielauswertung!$B600:$E600,0),0)=0,AD611,INDEX(Spielauswertung!$AB600:$AE600,MATCH(Tabelle11[[#Headers],[Marius_M]],Spielauswertung!$B600:$E600,0))+AD611)</f>
        <v>124.54012374585781</v>
      </c>
      <c r="AE612" s="1">
        <f>IF(IFERROR(MATCH(Tabelle11[[#Headers],[Marvin_W]],Spielauswertung!$B600:$E600,0),0)=0,AE611,INDEX(Spielauswertung!$AB600:$AE600,MATCH(Tabelle11[[#Headers],[Marvin_W]],Spielauswertung!$B600:$E600,0))+AE611)</f>
        <v>96.700266280577438</v>
      </c>
      <c r="AF612" s="1">
        <f>IF(IFERROR(MATCH(Tabelle11[[#Headers],[Matthias_H]],Spielauswertung!$B600:$E600,0),0)=0,AF611,INDEX(Spielauswertung!$AB600:$AE600,MATCH(Tabelle11[[#Headers],[Matthias_H]],Spielauswertung!$B600:$E600,0))+AF611)</f>
        <v>105.42130178599372</v>
      </c>
      <c r="AG612" s="1">
        <f>IF(IFERROR(MATCH(Tabelle11[[#Headers],[Michael_D]],Spielauswertung!$B600:$E600,0),0)=0,AG611,INDEX(Spielauswertung!$AB600:$AE600,MATCH(Tabelle11[[#Headers],[Michael_D]],Spielauswertung!$B600:$E600,0))+AG611)</f>
        <v>96.436276170375336</v>
      </c>
      <c r="AH612" s="1">
        <f>IF(IFERROR(MATCH(Tabelle11[[#Headers],[Patrick_S]],Spielauswertung!$B600:$E600,0),0)=0,AH611,INDEX(Spielauswertung!$AB600:$AE600,MATCH(Tabelle11[[#Headers],[Patrick_S]],Spielauswertung!$B600:$E600,0))+AH611)</f>
        <v>98.975330692053802</v>
      </c>
      <c r="AI612" s="1">
        <f>IF(IFERROR(MATCH(Tabelle11[[#Headers],[Rano_M]],Spielauswertung!$B600:$E600,0),0)=0,AI611,INDEX(Spielauswertung!$AB600:$AE600,MATCH(Tabelle11[[#Headers],[Rano_M]],Spielauswertung!$B600:$E600,0))+AI611)</f>
        <v>109.38890657420265</v>
      </c>
      <c r="AJ612" s="1">
        <f>IF(IFERROR(MATCH(Tabelle11[[#Headers],[Rene_N]],Spielauswertung!$B600:$E600,0),0)=0,AJ611,INDEX(Spielauswertung!$AB600:$AE600,MATCH(Tabelle11[[#Headers],[Rene_N]],Spielauswertung!$B600:$E600,0))+AJ611)</f>
        <v>101.06482124619033</v>
      </c>
      <c r="AK612" s="1">
        <f>IF(IFERROR(MATCH(Tabelle11[[#Headers],[Rene_P]],Spielauswertung!$B600:$E600,0),0)=0,AK611,INDEX(Spielauswertung!$AB600:$AE600,MATCH(Tabelle11[[#Headers],[Rene_P]],Spielauswertung!$B600:$E600,0))+AK611)</f>
        <v>88.762543186332877</v>
      </c>
      <c r="AL612" s="1">
        <f>IF(IFERROR(MATCH(Tabelle11[[#Headers],[Richard_D]],Spielauswertung!$B600:$E600,0),0)=0,AL611,INDEX(Spielauswertung!$AB600:$AE600,MATCH(Tabelle11[[#Headers],[Richard_D]],Spielauswertung!$B600:$E600,0))+AL611)</f>
        <v>107.23233592026223</v>
      </c>
      <c r="AM612" s="1">
        <f>IF(IFERROR(MATCH(Tabelle11[[#Headers],[Rodrigo_R]],Spielauswertung!$B600:$E600,0),0)=0,AM611,INDEX(Spielauswertung!$AB600:$AE600,MATCH(Tabelle11[[#Headers],[Rodrigo_R]],Spielauswertung!$B600:$E600,0))+AM611)</f>
        <v>116.7028707921346</v>
      </c>
      <c r="AN612" s="1">
        <f>IF(IFERROR(MATCH(Tabelle11[[#Headers],[Sebastian_A]],Spielauswertung!$B600:$E600,0),0)=0,AN611,INDEX(Spielauswertung!$AB600:$AE600,MATCH(Tabelle11[[#Headers],[Sebastian_A]],Spielauswertung!$B600:$E600,0))+AN611)</f>
        <v>102.89457418671324</v>
      </c>
      <c r="AO612" s="1">
        <f>IF(IFERROR(MATCH(Tabelle11[[#Headers],[Sebastian_St]],Spielauswertung!$B600:$E600,0),0)=0,AO611,INDEX(Spielauswertung!$AB600:$AE600,MATCH(Tabelle11[[#Headers],[Sebastian_St]],Spielauswertung!$B600:$E600,0))+AO611)</f>
        <v>97.749574367408982</v>
      </c>
      <c r="AP612" s="1">
        <f>IF(IFERROR(MATCH(Tabelle11[[#Headers],[Simon_U]],Spielauswertung!$B600:$E600,0),0)=0,AP611,INDEX(Spielauswertung!$AB600:$AE600,MATCH(Tabelle11[[#Headers],[Simon_U]],Spielauswertung!$B600:$E600,0))+AP611)</f>
        <v>99.623054841470903</v>
      </c>
      <c r="AQ612" s="1">
        <f>IF(IFERROR(MATCH(Tabelle11[[#Headers],[Steffen_R]],Spielauswertung!$B600:$E600,0),0)=0,AQ611,INDEX(Spielauswertung!$AB600:$AE600,MATCH(Tabelle11[[#Headers],[Steffen_R]],Spielauswertung!$B600:$E600,0))+AQ611)</f>
        <v>93.247497067190949</v>
      </c>
      <c r="AR612" s="1">
        <f>IF(IFERROR(MATCH(Tabelle11[[#Headers],[Tim_R]],Spielauswertung!$B600:$E600,0),0)=0,AR611,INDEX(Spielauswertung!$AB600:$AE600,MATCH(Tabelle11[[#Headers],[Tim_R]],Spielauswertung!$B600:$E600,0))+AR611)</f>
        <v>103.07503787023374</v>
      </c>
      <c r="AS612" s="1">
        <f>IF(IFERROR(MATCH(Tabelle11[[#Headers],[Tobias_S]],Spielauswertung!$B600:$E600,0),0)=0,AS611,INDEX(Spielauswertung!$AB600:$AE600,MATCH(Tabelle11[[#Headers],[Tobias_S]],Spielauswertung!$B600:$E600,0))+AS611)</f>
        <v>98.6003422659997</v>
      </c>
      <c r="AT612" s="1">
        <f>IF(IFERROR(MATCH(Tabelle11[[#Headers],[Tom_R]],Spielauswertung!$B600:$E600,0),0)=0,AT611,INDEX(Spielauswertung!$AB600:$AE600,MATCH(Tabelle11[[#Headers],[Tom_R]],Spielauswertung!$B600:$E600,0))+AT611)</f>
        <v>112.62344492949197</v>
      </c>
      <c r="AU612" s="1">
        <f>IF(IFERROR(MATCH(Tabelle11[[#Headers],[Ton_L]],Spielauswertung!$B600:$E600,0),0)=0,AU611,INDEX(Spielauswertung!$AB600:$AE600,MATCH(Tabelle11[[#Headers],[Ton_L]],Spielauswertung!$B600:$E600,0))+AU611)</f>
        <v>92.683083360025861</v>
      </c>
      <c r="AV612" s="1">
        <f>IF(IFERROR(MATCH(Tabelle11[[#Headers],[Yixin_G]],Spielauswertung!$B600:$E600,0),0)=0,AV611,INDEX(Spielauswertung!$AB600:$AE600,MATCH(Tabelle11[[#Headers],[Yixin_G]],Spielauswertung!$B600:$E600,0))+AV611)</f>
        <v>99.900323214082661</v>
      </c>
      <c r="AW612" s="1">
        <f>IF(IFERROR(MATCH(Tabelle11[[#Headers],[Spalte36]],Spielauswertung!$B600:$E600,0),0)=0,AW611,INDEX(Spielauswertung!$AB600:$AE600,MATCH(Tabelle11[[#Headers],[Spalte36]],Spielauswertung!$B600:$E600,0))+AW611)</f>
        <v>100</v>
      </c>
      <c r="AX612" s="1">
        <f>IF(IFERROR(MATCH(Tabelle11[[#Headers],[Spalte37]],Spielauswertung!$B600:$E600,0),0)=0,AX611,INDEX(Spielauswertung!$AB600:$AE600,MATCH(Tabelle11[[#Headers],[Spalte37]],Spielauswertung!$B600:$E600,0))+AX611)</f>
        <v>100</v>
      </c>
      <c r="AY612" s="1">
        <f>IF(IFERROR(MATCH(Tabelle11[[#Headers],[Spalte38]],Spielauswertung!$B600:$E600,0),0)=0,AY611,INDEX(Spielauswertung!$AB600:$AE600,MATCH(Tabelle11[[#Headers],[Spalte38]],Spielauswertung!$B600:$E600,0))+AY611)</f>
        <v>100</v>
      </c>
      <c r="AZ612" s="1">
        <f>IF(IFERROR(MATCH(Tabelle11[[#Headers],[Spalte39]],Spielauswertung!$B600:$E600,0),0)=0,AZ611,INDEX(Spielauswertung!$AB600:$AE600,MATCH(Tabelle11[[#Headers],[Spalte39]],Spielauswertung!$B600:$E600,0))+AZ611)</f>
        <v>100</v>
      </c>
      <c r="BA612" s="1">
        <f>IF(IFERROR(MATCH(Tabelle11[[#Headers],[Spalte40]],Spielauswertung!$B600:$E600,0),0)=0,BA611,INDEX(Spielauswertung!$AB600:$AE600,MATCH(Tabelle11[[#Headers],[Spalte40]],Spielauswertung!$B600:$E600,0))+BA611)</f>
        <v>100</v>
      </c>
      <c r="BB612" s="1">
        <f>IF(IFERROR(MATCH(Tabelle11[[#Headers],[Spalte41]],Spielauswertung!$B600:$E600,0),0)=0,BB611,INDEX(Spielauswertung!$AB600:$AE600,MATCH(Tabelle11[[#Headers],[Spalte41]],Spielauswertung!$B600:$E600,0))+BB611)</f>
        <v>100</v>
      </c>
      <c r="BC612" s="1">
        <f>IF(IFERROR(MATCH(Tabelle11[[#Headers],[Spalte42]],Spielauswertung!$B600:$E600,0),0)=0,BC611,INDEX(Spielauswertung!$AB600:$AE600,MATCH(Tabelle11[[#Headers],[Spalte42]],Spielauswertung!$B600:$E600,0))+BC611)</f>
        <v>100</v>
      </c>
      <c r="BD612" s="1">
        <f>IF(IFERROR(MATCH(Tabelle11[[#Headers],[Spalte43]],Spielauswertung!$B600:$E600,0),0)=0,BD611,INDEX(Spielauswertung!$AB600:$AE600,MATCH(Tabelle11[[#Headers],[Spalte43]],Spielauswertung!$B600:$E600,0))+BD611)</f>
        <v>100</v>
      </c>
      <c r="BE612" s="1">
        <f>IF(IFERROR(MATCH(Tabelle11[[#Headers],[Spalte44]],Spielauswertung!$B600:$E600,0),0)=0,BE611,INDEX(Spielauswertung!$AB600:$AE600,MATCH(Tabelle11[[#Headers],[Spalte44]],Spielauswertung!$B600:$E600,0))+BE611)</f>
        <v>100</v>
      </c>
      <c r="BF612" s="1">
        <f>IF(IFERROR(MATCH(Tabelle11[[#Headers],[Spalte45]],Spielauswertung!$B600:$E600,0),0)=0,BF611,INDEX(Spielauswertung!$AB600:$AE600,MATCH(Tabelle11[[#Headers],[Spalte45]],Spielauswertung!$B600:$E600,0))+BF611)</f>
        <v>100</v>
      </c>
      <c r="BG612" s="1">
        <f>IF(IFERROR(MATCH(Tabelle11[[#Headers],[Spalte46]],Spielauswertung!$B600:$E600,0),0)=0,BG611,INDEX(Spielauswertung!$AB600:$AE600,MATCH(Tabelle11[[#Headers],[Spalte46]],Spielauswertung!$B600:$E600,0))+BG611)</f>
        <v>100</v>
      </c>
      <c r="BH612" s="1">
        <f>IF(IFERROR(MATCH(Tabelle11[[#Headers],[Spalte47]],Spielauswertung!$B600:$E600,0),0)=0,BH611,INDEX(Spielauswertung!$AB600:$AE600,MATCH(Tabelle11[[#Headers],[Spalte47]],Spielauswertung!$B600:$E600,0))+BH611)</f>
        <v>100</v>
      </c>
    </row>
    <row r="613" spans="1:60" x14ac:dyDescent="0.25">
      <c r="A613">
        <f t="shared" si="10"/>
        <v>600</v>
      </c>
      <c r="B613" s="1">
        <f>IF(IFERROR(MATCH(Tabelle11[[#Headers],[Aleix_V]],Spielauswertung!$B601:$E601,0),0)=0,B612,INDEX(Spielauswertung!$AB601:$AE601,MATCH(Tabelle11[[#Headers],[Aleix_V]],Spielauswertung!$B601:$E601,0))+B612)</f>
        <v>102.47318019444646</v>
      </c>
      <c r="C613" s="1">
        <f>IF(IFERROR(MATCH(Tabelle11[[#Headers],[Andres_H]],Spielauswertung!$B601:$E601,0),0)=0,C612,INDEX(Spielauswertung!$AB601:$AE601,MATCH(Tabelle11[[#Headers],[Andres_H]],Spielauswertung!$B601:$E601,0))+C612)</f>
        <v>95.535732339111306</v>
      </c>
      <c r="D613" s="1">
        <f>IF(IFERROR(MATCH(Tabelle11[[#Headers],[Anton_K]],Spielauswertung!$B601:$E601,0),0)=0,D612,INDEX(Spielauswertung!$AB601:$AE601,MATCH(Tabelle11[[#Headers],[Anton_K]],Spielauswertung!$B601:$E601,0))+D612)</f>
        <v>99.287728777054667</v>
      </c>
      <c r="E613" s="1">
        <f>IF(IFERROR(MATCH(Tabelle11[[#Headers],[Bastian_G]],Spielauswertung!$B601:$E601,0),0)=0,E612,INDEX(Spielauswertung!$AB601:$AE601,MATCH(Tabelle11[[#Headers],[Bastian_G]],Spielauswertung!$B601:$E601,0))+E612)</f>
        <v>117.49978695184252</v>
      </c>
      <c r="F613" s="1">
        <f>IF(IFERROR(MATCH(Tabelle11[[#Headers],[Ben_S]],Spielauswertung!$B601:$E601,0),0)=0,F612,INDEX(Spielauswertung!$AB601:$AE601,MATCH(Tabelle11[[#Headers],[Ben_S]],Spielauswertung!$B601:$E601,0))+F612)</f>
        <v>95.932799101521084</v>
      </c>
      <c r="G613" s="1">
        <f>IF(IFERROR(MATCH(Tabelle11[[#Headers],[Benedikt_K]],Spielauswertung!$B601:$E601,0),0)=0,G612,INDEX(Spielauswertung!$AB601:$AE601,MATCH(Tabelle11[[#Headers],[Benedikt_K]],Spielauswertung!$B601:$E601,0))+G612)</f>
        <v>101.20264176422626</v>
      </c>
      <c r="H613" s="1">
        <f>IF(IFERROR(MATCH(Tabelle11[[#Headers],[Benedikt_R]],Spielauswertung!$B601:$E601,0),0)=0,H612,INDEX(Spielauswertung!$AB601:$AE601,MATCH(Tabelle11[[#Headers],[Benedikt_R]],Spielauswertung!$B601:$E601,0))+H612)</f>
        <v>102.6264770510757</v>
      </c>
      <c r="I613" s="1">
        <f>IF(IFERROR(MATCH(Tabelle11[[#Headers],[Carsten_H]],Spielauswertung!$B601:$E601,0),0)=0,I612,INDEX(Spielauswertung!$AB601:$AE601,MATCH(Tabelle11[[#Headers],[Carsten_H]],Spielauswertung!$B601:$E601,0))+I612)</f>
        <v>90.817185094326874</v>
      </c>
      <c r="J613" s="1">
        <f>IF(IFERROR(MATCH(Tabelle11[[#Headers],[Christoph_R]],Spielauswertung!$B601:$E601,0),0)=0,J612,INDEX(Spielauswertung!$AB601:$AE601,MATCH(Tabelle11[[#Headers],[Christoph_R]],Spielauswertung!$B601:$E601,0))+J612)</f>
        <v>109.73261611443155</v>
      </c>
      <c r="K613" s="1">
        <f>IF(IFERROR(MATCH(Tabelle11[[#Headers],[Claudius_J]],Spielauswertung!$B601:$E601,0),0)=0,K612,INDEX(Spielauswertung!$AB601:$AE601,MATCH(Tabelle11[[#Headers],[Claudius_J]],Spielauswertung!$B601:$E601,0))+K612)</f>
        <v>106.16590636000029</v>
      </c>
      <c r="L613" s="1">
        <f>IF(IFERROR(MATCH(Tabelle11[[#Headers],[Daniel_D]],Spielauswertung!$B601:$E601,0),0)=0,L612,INDEX(Spielauswertung!$AB601:$AE601,MATCH(Tabelle11[[#Headers],[Daniel_D]],Spielauswertung!$B601:$E601,0))+L612)</f>
        <v>99.990299180470089</v>
      </c>
      <c r="M613" s="1">
        <f>IF(IFERROR(MATCH(Tabelle11[[#Headers],[David_R]],Spielauswertung!$B601:$E601,0),0)=0,M612,INDEX(Spielauswertung!$AB601:$AE601,MATCH(Tabelle11[[#Headers],[David_R]],Spielauswertung!$B601:$E601,0))+M612)</f>
        <v>96.715943522481638</v>
      </c>
      <c r="N613" s="1">
        <f>IF(IFERROR(MATCH(Tabelle11[[#Headers],[Dennis_P]],Spielauswertung!$B601:$E601,0),0)=0,N612,INDEX(Spielauswertung!$AB601:$AE601,MATCH(Tabelle11[[#Headers],[Dennis_P]],Spielauswertung!$B601:$E601,0))+N612)</f>
        <v>100.04773223105254</v>
      </c>
      <c r="O613" s="1">
        <f>IF(IFERROR(MATCH(Tabelle11[[#Headers],[Dennis_R]],Spielauswertung!$B601:$E601,0),0)=0,O612,INDEX(Spielauswertung!$AB601:$AE601,MATCH(Tabelle11[[#Headers],[Dennis_R]],Spielauswertung!$B601:$E601,0))+O612)</f>
        <v>75.131680864937195</v>
      </c>
      <c r="P613" s="1">
        <f>IF(IFERROR(MATCH(Tabelle11[[#Headers],[Detlef_R]],Spielauswertung!$B601:$E601,0),0)=0,P612,INDEX(Spielauswertung!$AB601:$AE601,MATCH(Tabelle11[[#Headers],[Detlef_R]],Spielauswertung!$B601:$E601,0))+P612)</f>
        <v>87.984671797367014</v>
      </c>
      <c r="Q613" s="1">
        <f>IF(IFERROR(MATCH(Tabelle11[[#Headers],[Dmitrij_M]],Spielauswertung!$B601:$E601,0),0)=0,Q612,INDEX(Spielauswertung!$AB601:$AE601,MATCH(Tabelle11[[#Headers],[Dmitrij_M]],Spielauswertung!$B601:$E601,0))+Q612)</f>
        <v>100.69975721846207</v>
      </c>
      <c r="R613" s="1">
        <f>IF(IFERROR(MATCH(Tabelle11[[#Headers],[Fabian_M]],Spielauswertung!$B601:$E601,0),0)=0,R612,INDEX(Spielauswertung!$AB601:$AE601,MATCH(Tabelle11[[#Headers],[Fabian_M]],Spielauswertung!$B601:$E601,0))+R612)</f>
        <v>95.805387841610738</v>
      </c>
      <c r="S613" s="1">
        <f>IF(IFERROR(MATCH(Tabelle11[[#Headers],[Hannes_S]],Spielauswertung!$B601:$E601,0),0)=0,S612,INDEX(Spielauswertung!$AB601:$AE601,MATCH(Tabelle11[[#Headers],[Hannes_S]],Spielauswertung!$B601:$E601,0))+S612)</f>
        <v>104.83899184012799</v>
      </c>
      <c r="T613" s="1">
        <f>IF(IFERROR(MATCH(Tabelle11[[#Headers],[Jan_B]],Spielauswertung!$B601:$E601,0),0)=0,T612,INDEX(Spielauswertung!$AB601:$AE601,MATCH(Tabelle11[[#Headers],[Jan_B]],Spielauswertung!$B601:$E601,0))+T612)</f>
        <v>100.2794420429173</v>
      </c>
      <c r="U613" s="1">
        <f>IF(IFERROR(MATCH(Tabelle11[[#Headers],[Jan_Hendrik_B]],Spielauswertung!$B601:$E601,0),0)=0,U612,INDEX(Spielauswertung!$AB601:$AE601,MATCH(Tabelle11[[#Headers],[Jan_Hendrik_B]],Spielauswertung!$B601:$E601,0))+U612)</f>
        <v>100.75492416935522</v>
      </c>
      <c r="V613" s="1">
        <f>IF(IFERROR(MATCH(Tabelle11[[#Headers],[Jens_N]],Spielauswertung!$B601:$E601,0),0)=0,V612,INDEX(Spielauswertung!$AB601:$AE601,MATCH(Tabelle11[[#Headers],[Jens_N]],Spielauswertung!$B601:$E601,0))+V612)</f>
        <v>99.643534710196832</v>
      </c>
      <c r="W613" s="1">
        <f>IF(IFERROR(MATCH(Tabelle11[[#Headers],[Johannes_S]],Spielauswertung!$B601:$E601,0),0)=0,W612,INDEX(Spielauswertung!$AB601:$AE601,MATCH(Tabelle11[[#Headers],[Johannes_S]],Spielauswertung!$B601:$E601,0))+W612)</f>
        <v>102.20284750979505</v>
      </c>
      <c r="X613" s="1">
        <f>IF(IFERROR(MATCH(Tabelle11[[#Headers],[Jonathan_F]],Spielauswertung!$B601:$E601,0),0)=0,X612,INDEX(Spielauswertung!$AB601:$AE601,MATCH(Tabelle11[[#Headers],[Jonathan_F]],Spielauswertung!$B601:$E601,0))+X612)</f>
        <v>98.938308797866256</v>
      </c>
      <c r="Y613" s="1">
        <f>IF(IFERROR(MATCH(Tabelle11[[#Headers],[Julius_P]],Spielauswertung!$B601:$E601,0),0)=0,Y612,INDEX(Spielauswertung!$AB601:$AE601,MATCH(Tabelle11[[#Headers],[Julius_P]],Spielauswertung!$B601:$E601,0))+Y612)</f>
        <v>96.540305101873642</v>
      </c>
      <c r="Z613" s="1">
        <f>IF(IFERROR(MATCH(Tabelle11[[#Headers],[Louis_W]],Spielauswertung!$B601:$E601,0),0)=0,Z612,INDEX(Spielauswertung!$AB601:$AE601,MATCH(Tabelle11[[#Headers],[Louis_W]],Spielauswertung!$B601:$E601,0))+Z612)</f>
        <v>87.497452285475362</v>
      </c>
      <c r="AA613" s="1">
        <f>IF(IFERROR(MATCH(Tabelle11[[#Headers],[Lukas_L]],Spielauswertung!$B601:$E601,0),0)=0,AA612,INDEX(Spielauswertung!$AB601:$AE601,MATCH(Tabelle11[[#Headers],[Lukas_L]],Spielauswertung!$B601:$E601,0))+AA612)</f>
        <v>98.447931341404143</v>
      </c>
      <c r="AB613" s="1">
        <f>IF(IFERROR(MATCH(Tabelle11[[#Headers],[Marcin_S]],Spielauswertung!$B601:$E601,0),0)=0,AB612,INDEX(Spielauswertung!$AB601:$AE601,MATCH(Tabelle11[[#Headers],[Marcin_S]],Spielauswertung!$B601:$E601,0))+AB612)</f>
        <v>85.463329105556824</v>
      </c>
      <c r="AC613" s="1">
        <f>IF(IFERROR(MATCH(Tabelle11[[#Headers],[Marco_K]],Spielauswertung!$B601:$E601,0),0)=0,AC612,INDEX(Spielauswertung!$AB601:$AE601,MATCH(Tabelle11[[#Headers],[Marco_K]],Spielauswertung!$B601:$E601,0))+AC612)</f>
        <v>102.12169819441469</v>
      </c>
      <c r="AD613" s="1">
        <f>IF(IFERROR(MATCH(Tabelle11[[#Headers],[Marius_M]],Spielauswertung!$B601:$E601,0),0)=0,AD612,INDEX(Spielauswertung!$AB601:$AE601,MATCH(Tabelle11[[#Headers],[Marius_M]],Spielauswertung!$B601:$E601,0))+AD612)</f>
        <v>124.54012374585781</v>
      </c>
      <c r="AE613" s="1">
        <f>IF(IFERROR(MATCH(Tabelle11[[#Headers],[Marvin_W]],Spielauswertung!$B601:$E601,0),0)=0,AE612,INDEX(Spielauswertung!$AB601:$AE601,MATCH(Tabelle11[[#Headers],[Marvin_W]],Spielauswertung!$B601:$E601,0))+AE612)</f>
        <v>96.700266280577438</v>
      </c>
      <c r="AF613" s="1">
        <f>IF(IFERROR(MATCH(Tabelle11[[#Headers],[Matthias_H]],Spielauswertung!$B601:$E601,0),0)=0,AF612,INDEX(Spielauswertung!$AB601:$AE601,MATCH(Tabelle11[[#Headers],[Matthias_H]],Spielauswertung!$B601:$E601,0))+AF612)</f>
        <v>105.42130178599372</v>
      </c>
      <c r="AG613" s="1">
        <f>IF(IFERROR(MATCH(Tabelle11[[#Headers],[Michael_D]],Spielauswertung!$B601:$E601,0),0)=0,AG612,INDEX(Spielauswertung!$AB601:$AE601,MATCH(Tabelle11[[#Headers],[Michael_D]],Spielauswertung!$B601:$E601,0))+AG612)</f>
        <v>96.436276170375336</v>
      </c>
      <c r="AH613" s="1">
        <f>IF(IFERROR(MATCH(Tabelle11[[#Headers],[Patrick_S]],Spielauswertung!$B601:$E601,0),0)=0,AH612,INDEX(Spielauswertung!$AB601:$AE601,MATCH(Tabelle11[[#Headers],[Patrick_S]],Spielauswertung!$B601:$E601,0))+AH612)</f>
        <v>98.975330692053802</v>
      </c>
      <c r="AI613" s="1">
        <f>IF(IFERROR(MATCH(Tabelle11[[#Headers],[Rano_M]],Spielauswertung!$B601:$E601,0),0)=0,AI612,INDEX(Spielauswertung!$AB601:$AE601,MATCH(Tabelle11[[#Headers],[Rano_M]],Spielauswertung!$B601:$E601,0))+AI612)</f>
        <v>109.38890657420265</v>
      </c>
      <c r="AJ613" s="1">
        <f>IF(IFERROR(MATCH(Tabelle11[[#Headers],[Rene_N]],Spielauswertung!$B601:$E601,0),0)=0,AJ612,INDEX(Spielauswertung!$AB601:$AE601,MATCH(Tabelle11[[#Headers],[Rene_N]],Spielauswertung!$B601:$E601,0))+AJ612)</f>
        <v>101.06482124619033</v>
      </c>
      <c r="AK613" s="1">
        <f>IF(IFERROR(MATCH(Tabelle11[[#Headers],[Rene_P]],Spielauswertung!$B601:$E601,0),0)=0,AK612,INDEX(Spielauswertung!$AB601:$AE601,MATCH(Tabelle11[[#Headers],[Rene_P]],Spielauswertung!$B601:$E601,0))+AK612)</f>
        <v>88.762543186332877</v>
      </c>
      <c r="AL613" s="1">
        <f>IF(IFERROR(MATCH(Tabelle11[[#Headers],[Richard_D]],Spielauswertung!$B601:$E601,0),0)=0,AL612,INDEX(Spielauswertung!$AB601:$AE601,MATCH(Tabelle11[[#Headers],[Richard_D]],Spielauswertung!$B601:$E601,0))+AL612)</f>
        <v>107.23233592026223</v>
      </c>
      <c r="AM613" s="1">
        <f>IF(IFERROR(MATCH(Tabelle11[[#Headers],[Rodrigo_R]],Spielauswertung!$B601:$E601,0),0)=0,AM612,INDEX(Spielauswertung!$AB601:$AE601,MATCH(Tabelle11[[#Headers],[Rodrigo_R]],Spielauswertung!$B601:$E601,0))+AM612)</f>
        <v>116.7028707921346</v>
      </c>
      <c r="AN613" s="1">
        <f>IF(IFERROR(MATCH(Tabelle11[[#Headers],[Sebastian_A]],Spielauswertung!$B601:$E601,0),0)=0,AN612,INDEX(Spielauswertung!$AB601:$AE601,MATCH(Tabelle11[[#Headers],[Sebastian_A]],Spielauswertung!$B601:$E601,0))+AN612)</f>
        <v>102.89457418671324</v>
      </c>
      <c r="AO613" s="1">
        <f>IF(IFERROR(MATCH(Tabelle11[[#Headers],[Sebastian_St]],Spielauswertung!$B601:$E601,0),0)=0,AO612,INDEX(Spielauswertung!$AB601:$AE601,MATCH(Tabelle11[[#Headers],[Sebastian_St]],Spielauswertung!$B601:$E601,0))+AO612)</f>
        <v>97.749574367408982</v>
      </c>
      <c r="AP613" s="1">
        <f>IF(IFERROR(MATCH(Tabelle11[[#Headers],[Simon_U]],Spielauswertung!$B601:$E601,0),0)=0,AP612,INDEX(Spielauswertung!$AB601:$AE601,MATCH(Tabelle11[[#Headers],[Simon_U]],Spielauswertung!$B601:$E601,0))+AP612)</f>
        <v>99.623054841470903</v>
      </c>
      <c r="AQ613" s="1">
        <f>IF(IFERROR(MATCH(Tabelle11[[#Headers],[Steffen_R]],Spielauswertung!$B601:$E601,0),0)=0,AQ612,INDEX(Spielauswertung!$AB601:$AE601,MATCH(Tabelle11[[#Headers],[Steffen_R]],Spielauswertung!$B601:$E601,0))+AQ612)</f>
        <v>93.247497067190949</v>
      </c>
      <c r="AR613" s="1">
        <f>IF(IFERROR(MATCH(Tabelle11[[#Headers],[Tim_R]],Spielauswertung!$B601:$E601,0),0)=0,AR612,INDEX(Spielauswertung!$AB601:$AE601,MATCH(Tabelle11[[#Headers],[Tim_R]],Spielauswertung!$B601:$E601,0))+AR612)</f>
        <v>103.07503787023374</v>
      </c>
      <c r="AS613" s="1">
        <f>IF(IFERROR(MATCH(Tabelle11[[#Headers],[Tobias_S]],Spielauswertung!$B601:$E601,0),0)=0,AS612,INDEX(Spielauswertung!$AB601:$AE601,MATCH(Tabelle11[[#Headers],[Tobias_S]],Spielauswertung!$B601:$E601,0))+AS612)</f>
        <v>98.6003422659997</v>
      </c>
      <c r="AT613" s="1">
        <f>IF(IFERROR(MATCH(Tabelle11[[#Headers],[Tom_R]],Spielauswertung!$B601:$E601,0),0)=0,AT612,INDEX(Spielauswertung!$AB601:$AE601,MATCH(Tabelle11[[#Headers],[Tom_R]],Spielauswertung!$B601:$E601,0))+AT612)</f>
        <v>112.62344492949197</v>
      </c>
      <c r="AU613" s="1">
        <f>IF(IFERROR(MATCH(Tabelle11[[#Headers],[Ton_L]],Spielauswertung!$B601:$E601,0),0)=0,AU612,INDEX(Spielauswertung!$AB601:$AE601,MATCH(Tabelle11[[#Headers],[Ton_L]],Spielauswertung!$B601:$E601,0))+AU612)</f>
        <v>92.683083360025861</v>
      </c>
      <c r="AV613" s="1">
        <f>IF(IFERROR(MATCH(Tabelle11[[#Headers],[Yixin_G]],Spielauswertung!$B601:$E601,0),0)=0,AV612,INDEX(Spielauswertung!$AB601:$AE601,MATCH(Tabelle11[[#Headers],[Yixin_G]],Spielauswertung!$B601:$E601,0))+AV612)</f>
        <v>99.900323214082661</v>
      </c>
      <c r="AW613" s="1">
        <f>IF(IFERROR(MATCH(Tabelle11[[#Headers],[Spalte36]],Spielauswertung!$B601:$E601,0),0)=0,AW612,INDEX(Spielauswertung!$AB601:$AE601,MATCH(Tabelle11[[#Headers],[Spalte36]],Spielauswertung!$B601:$E601,0))+AW612)</f>
        <v>100</v>
      </c>
      <c r="AX613" s="1">
        <f>IF(IFERROR(MATCH(Tabelle11[[#Headers],[Spalte37]],Spielauswertung!$B601:$E601,0),0)=0,AX612,INDEX(Spielauswertung!$AB601:$AE601,MATCH(Tabelle11[[#Headers],[Spalte37]],Spielauswertung!$B601:$E601,0))+AX612)</f>
        <v>100</v>
      </c>
      <c r="AY613" s="1">
        <f>IF(IFERROR(MATCH(Tabelle11[[#Headers],[Spalte38]],Spielauswertung!$B601:$E601,0),0)=0,AY612,INDEX(Spielauswertung!$AB601:$AE601,MATCH(Tabelle11[[#Headers],[Spalte38]],Spielauswertung!$B601:$E601,0))+AY612)</f>
        <v>100</v>
      </c>
      <c r="AZ613" s="1">
        <f>IF(IFERROR(MATCH(Tabelle11[[#Headers],[Spalte39]],Spielauswertung!$B601:$E601,0),0)=0,AZ612,INDEX(Spielauswertung!$AB601:$AE601,MATCH(Tabelle11[[#Headers],[Spalte39]],Spielauswertung!$B601:$E601,0))+AZ612)</f>
        <v>100</v>
      </c>
      <c r="BA613" s="1">
        <f>IF(IFERROR(MATCH(Tabelle11[[#Headers],[Spalte40]],Spielauswertung!$B601:$E601,0),0)=0,BA612,INDEX(Spielauswertung!$AB601:$AE601,MATCH(Tabelle11[[#Headers],[Spalte40]],Spielauswertung!$B601:$E601,0))+BA612)</f>
        <v>100</v>
      </c>
      <c r="BB613" s="1">
        <f>IF(IFERROR(MATCH(Tabelle11[[#Headers],[Spalte41]],Spielauswertung!$B601:$E601,0),0)=0,BB612,INDEX(Spielauswertung!$AB601:$AE601,MATCH(Tabelle11[[#Headers],[Spalte41]],Spielauswertung!$B601:$E601,0))+BB612)</f>
        <v>100</v>
      </c>
      <c r="BC613" s="1">
        <f>IF(IFERROR(MATCH(Tabelle11[[#Headers],[Spalte42]],Spielauswertung!$B601:$E601,0),0)=0,BC612,INDEX(Spielauswertung!$AB601:$AE601,MATCH(Tabelle11[[#Headers],[Spalte42]],Spielauswertung!$B601:$E601,0))+BC612)</f>
        <v>100</v>
      </c>
      <c r="BD613" s="1">
        <f>IF(IFERROR(MATCH(Tabelle11[[#Headers],[Spalte43]],Spielauswertung!$B601:$E601,0),0)=0,BD612,INDEX(Spielauswertung!$AB601:$AE601,MATCH(Tabelle11[[#Headers],[Spalte43]],Spielauswertung!$B601:$E601,0))+BD612)</f>
        <v>100</v>
      </c>
      <c r="BE613" s="1">
        <f>IF(IFERROR(MATCH(Tabelle11[[#Headers],[Spalte44]],Spielauswertung!$B601:$E601,0),0)=0,BE612,INDEX(Spielauswertung!$AB601:$AE601,MATCH(Tabelle11[[#Headers],[Spalte44]],Spielauswertung!$B601:$E601,0))+BE612)</f>
        <v>100</v>
      </c>
      <c r="BF613" s="1">
        <f>IF(IFERROR(MATCH(Tabelle11[[#Headers],[Spalte45]],Spielauswertung!$B601:$E601,0),0)=0,BF612,INDEX(Spielauswertung!$AB601:$AE601,MATCH(Tabelle11[[#Headers],[Spalte45]],Spielauswertung!$B601:$E601,0))+BF612)</f>
        <v>100</v>
      </c>
      <c r="BG613" s="1">
        <f>IF(IFERROR(MATCH(Tabelle11[[#Headers],[Spalte46]],Spielauswertung!$B601:$E601,0),0)=0,BG612,INDEX(Spielauswertung!$AB601:$AE601,MATCH(Tabelle11[[#Headers],[Spalte46]],Spielauswertung!$B601:$E601,0))+BG612)</f>
        <v>100</v>
      </c>
      <c r="BH613" s="1">
        <f>IF(IFERROR(MATCH(Tabelle11[[#Headers],[Spalte47]],Spielauswertung!$B601:$E601,0),0)=0,BH612,INDEX(Spielauswertung!$AB601:$AE601,MATCH(Tabelle11[[#Headers],[Spalte47]],Spielauswertung!$B601:$E601,0))+BH612)</f>
        <v>100</v>
      </c>
    </row>
    <row r="614" spans="1:60" x14ac:dyDescent="0.25">
      <c r="A614">
        <f t="shared" si="10"/>
        <v>601</v>
      </c>
      <c r="B614" s="1">
        <f>IF(IFERROR(MATCH(Tabelle11[[#Headers],[Aleix_V]],Spielauswertung!$B602:$E602,0),0)=0,B613,INDEX(Spielauswertung!$AB602:$AE602,MATCH(Tabelle11[[#Headers],[Aleix_V]],Spielauswertung!$B602:$E602,0))+B613)</f>
        <v>102.47318019444646</v>
      </c>
      <c r="C614" s="1">
        <f>IF(IFERROR(MATCH(Tabelle11[[#Headers],[Andres_H]],Spielauswertung!$B602:$E602,0),0)=0,C613,INDEX(Spielauswertung!$AB602:$AE602,MATCH(Tabelle11[[#Headers],[Andres_H]],Spielauswertung!$B602:$E602,0))+C613)</f>
        <v>95.535732339111306</v>
      </c>
      <c r="D614" s="1">
        <f>IF(IFERROR(MATCH(Tabelle11[[#Headers],[Anton_K]],Spielauswertung!$B602:$E602,0),0)=0,D613,INDEX(Spielauswertung!$AB602:$AE602,MATCH(Tabelle11[[#Headers],[Anton_K]],Spielauswertung!$B602:$E602,0))+D613)</f>
        <v>99.287728777054667</v>
      </c>
      <c r="E614" s="1">
        <f>IF(IFERROR(MATCH(Tabelle11[[#Headers],[Bastian_G]],Spielauswertung!$B602:$E602,0),0)=0,E613,INDEX(Spielauswertung!$AB602:$AE602,MATCH(Tabelle11[[#Headers],[Bastian_G]],Spielauswertung!$B602:$E602,0))+E613)</f>
        <v>117.49978695184252</v>
      </c>
      <c r="F614" s="1">
        <f>IF(IFERROR(MATCH(Tabelle11[[#Headers],[Ben_S]],Spielauswertung!$B602:$E602,0),0)=0,F613,INDEX(Spielauswertung!$AB602:$AE602,MATCH(Tabelle11[[#Headers],[Ben_S]],Spielauswertung!$B602:$E602,0))+F613)</f>
        <v>95.932799101521084</v>
      </c>
      <c r="G614" s="1">
        <f>IF(IFERROR(MATCH(Tabelle11[[#Headers],[Benedikt_K]],Spielauswertung!$B602:$E602,0),0)=0,G613,INDEX(Spielauswertung!$AB602:$AE602,MATCH(Tabelle11[[#Headers],[Benedikt_K]],Spielauswertung!$B602:$E602,0))+G613)</f>
        <v>101.20264176422626</v>
      </c>
      <c r="H614" s="1">
        <f>IF(IFERROR(MATCH(Tabelle11[[#Headers],[Benedikt_R]],Spielauswertung!$B602:$E602,0),0)=0,H613,INDEX(Spielauswertung!$AB602:$AE602,MATCH(Tabelle11[[#Headers],[Benedikt_R]],Spielauswertung!$B602:$E602,0))+H613)</f>
        <v>102.6264770510757</v>
      </c>
      <c r="I614" s="1">
        <f>IF(IFERROR(MATCH(Tabelle11[[#Headers],[Carsten_H]],Spielauswertung!$B602:$E602,0),0)=0,I613,INDEX(Spielauswertung!$AB602:$AE602,MATCH(Tabelle11[[#Headers],[Carsten_H]],Spielauswertung!$B602:$E602,0))+I613)</f>
        <v>90.817185094326874</v>
      </c>
      <c r="J614" s="1">
        <f>IF(IFERROR(MATCH(Tabelle11[[#Headers],[Christoph_R]],Spielauswertung!$B602:$E602,0),0)=0,J613,INDEX(Spielauswertung!$AB602:$AE602,MATCH(Tabelle11[[#Headers],[Christoph_R]],Spielauswertung!$B602:$E602,0))+J613)</f>
        <v>109.73261611443155</v>
      </c>
      <c r="K614" s="1">
        <f>IF(IFERROR(MATCH(Tabelle11[[#Headers],[Claudius_J]],Spielauswertung!$B602:$E602,0),0)=0,K613,INDEX(Spielauswertung!$AB602:$AE602,MATCH(Tabelle11[[#Headers],[Claudius_J]],Spielauswertung!$B602:$E602,0))+K613)</f>
        <v>106.16590636000029</v>
      </c>
      <c r="L614" s="1">
        <f>IF(IFERROR(MATCH(Tabelle11[[#Headers],[Daniel_D]],Spielauswertung!$B602:$E602,0),0)=0,L613,INDEX(Spielauswertung!$AB602:$AE602,MATCH(Tabelle11[[#Headers],[Daniel_D]],Spielauswertung!$B602:$E602,0))+L613)</f>
        <v>99.990299180470089</v>
      </c>
      <c r="M614" s="1">
        <f>IF(IFERROR(MATCH(Tabelle11[[#Headers],[David_R]],Spielauswertung!$B602:$E602,0),0)=0,M613,INDEX(Spielauswertung!$AB602:$AE602,MATCH(Tabelle11[[#Headers],[David_R]],Spielauswertung!$B602:$E602,0))+M613)</f>
        <v>96.715943522481638</v>
      </c>
      <c r="N614" s="1">
        <f>IF(IFERROR(MATCH(Tabelle11[[#Headers],[Dennis_P]],Spielauswertung!$B602:$E602,0),0)=0,N613,INDEX(Spielauswertung!$AB602:$AE602,MATCH(Tabelle11[[#Headers],[Dennis_P]],Spielauswertung!$B602:$E602,0))+N613)</f>
        <v>100.04773223105254</v>
      </c>
      <c r="O614" s="1">
        <f>IF(IFERROR(MATCH(Tabelle11[[#Headers],[Dennis_R]],Spielauswertung!$B602:$E602,0),0)=0,O613,INDEX(Spielauswertung!$AB602:$AE602,MATCH(Tabelle11[[#Headers],[Dennis_R]],Spielauswertung!$B602:$E602,0))+O613)</f>
        <v>75.131680864937195</v>
      </c>
      <c r="P614" s="1">
        <f>IF(IFERROR(MATCH(Tabelle11[[#Headers],[Detlef_R]],Spielauswertung!$B602:$E602,0),0)=0,P613,INDEX(Spielauswertung!$AB602:$AE602,MATCH(Tabelle11[[#Headers],[Detlef_R]],Spielauswertung!$B602:$E602,0))+P613)</f>
        <v>87.984671797367014</v>
      </c>
      <c r="Q614" s="1">
        <f>IF(IFERROR(MATCH(Tabelle11[[#Headers],[Dmitrij_M]],Spielauswertung!$B602:$E602,0),0)=0,Q613,INDEX(Spielauswertung!$AB602:$AE602,MATCH(Tabelle11[[#Headers],[Dmitrij_M]],Spielauswertung!$B602:$E602,0))+Q613)</f>
        <v>100.69975721846207</v>
      </c>
      <c r="R614" s="1">
        <f>IF(IFERROR(MATCH(Tabelle11[[#Headers],[Fabian_M]],Spielauswertung!$B602:$E602,0),0)=0,R613,INDEX(Spielauswertung!$AB602:$AE602,MATCH(Tabelle11[[#Headers],[Fabian_M]],Spielauswertung!$B602:$E602,0))+R613)</f>
        <v>95.805387841610738</v>
      </c>
      <c r="S614" s="1">
        <f>IF(IFERROR(MATCH(Tabelle11[[#Headers],[Hannes_S]],Spielauswertung!$B602:$E602,0),0)=0,S613,INDEX(Spielauswertung!$AB602:$AE602,MATCH(Tabelle11[[#Headers],[Hannes_S]],Spielauswertung!$B602:$E602,0))+S613)</f>
        <v>104.83899184012799</v>
      </c>
      <c r="T614" s="1">
        <f>IF(IFERROR(MATCH(Tabelle11[[#Headers],[Jan_B]],Spielauswertung!$B602:$E602,0),0)=0,T613,INDEX(Spielauswertung!$AB602:$AE602,MATCH(Tabelle11[[#Headers],[Jan_B]],Spielauswertung!$B602:$E602,0))+T613)</f>
        <v>100.2794420429173</v>
      </c>
      <c r="U614" s="1">
        <f>IF(IFERROR(MATCH(Tabelle11[[#Headers],[Jan_Hendrik_B]],Spielauswertung!$B602:$E602,0),0)=0,U613,INDEX(Spielauswertung!$AB602:$AE602,MATCH(Tabelle11[[#Headers],[Jan_Hendrik_B]],Spielauswertung!$B602:$E602,0))+U613)</f>
        <v>100.75492416935522</v>
      </c>
      <c r="V614" s="1">
        <f>IF(IFERROR(MATCH(Tabelle11[[#Headers],[Jens_N]],Spielauswertung!$B602:$E602,0),0)=0,V613,INDEX(Spielauswertung!$AB602:$AE602,MATCH(Tabelle11[[#Headers],[Jens_N]],Spielauswertung!$B602:$E602,0))+V613)</f>
        <v>99.643534710196832</v>
      </c>
      <c r="W614" s="1">
        <f>IF(IFERROR(MATCH(Tabelle11[[#Headers],[Johannes_S]],Spielauswertung!$B602:$E602,0),0)=0,W613,INDEX(Spielauswertung!$AB602:$AE602,MATCH(Tabelle11[[#Headers],[Johannes_S]],Spielauswertung!$B602:$E602,0))+W613)</f>
        <v>102.20284750979505</v>
      </c>
      <c r="X614" s="1">
        <f>IF(IFERROR(MATCH(Tabelle11[[#Headers],[Jonathan_F]],Spielauswertung!$B602:$E602,0),0)=0,X613,INDEX(Spielauswertung!$AB602:$AE602,MATCH(Tabelle11[[#Headers],[Jonathan_F]],Spielauswertung!$B602:$E602,0))+X613)</f>
        <v>98.938308797866256</v>
      </c>
      <c r="Y614" s="1">
        <f>IF(IFERROR(MATCH(Tabelle11[[#Headers],[Julius_P]],Spielauswertung!$B602:$E602,0),0)=0,Y613,INDEX(Spielauswertung!$AB602:$AE602,MATCH(Tabelle11[[#Headers],[Julius_P]],Spielauswertung!$B602:$E602,0))+Y613)</f>
        <v>96.540305101873642</v>
      </c>
      <c r="Z614" s="1">
        <f>IF(IFERROR(MATCH(Tabelle11[[#Headers],[Louis_W]],Spielauswertung!$B602:$E602,0),0)=0,Z613,INDEX(Spielauswertung!$AB602:$AE602,MATCH(Tabelle11[[#Headers],[Louis_W]],Spielauswertung!$B602:$E602,0))+Z613)</f>
        <v>87.497452285475362</v>
      </c>
      <c r="AA614" s="1">
        <f>IF(IFERROR(MATCH(Tabelle11[[#Headers],[Lukas_L]],Spielauswertung!$B602:$E602,0),0)=0,AA613,INDEX(Spielauswertung!$AB602:$AE602,MATCH(Tabelle11[[#Headers],[Lukas_L]],Spielauswertung!$B602:$E602,0))+AA613)</f>
        <v>98.447931341404143</v>
      </c>
      <c r="AB614" s="1">
        <f>IF(IFERROR(MATCH(Tabelle11[[#Headers],[Marcin_S]],Spielauswertung!$B602:$E602,0),0)=0,AB613,INDEX(Spielauswertung!$AB602:$AE602,MATCH(Tabelle11[[#Headers],[Marcin_S]],Spielauswertung!$B602:$E602,0))+AB613)</f>
        <v>85.463329105556824</v>
      </c>
      <c r="AC614" s="1">
        <f>IF(IFERROR(MATCH(Tabelle11[[#Headers],[Marco_K]],Spielauswertung!$B602:$E602,0),0)=0,AC613,INDEX(Spielauswertung!$AB602:$AE602,MATCH(Tabelle11[[#Headers],[Marco_K]],Spielauswertung!$B602:$E602,0))+AC613)</f>
        <v>102.12169819441469</v>
      </c>
      <c r="AD614" s="1">
        <f>IF(IFERROR(MATCH(Tabelle11[[#Headers],[Marius_M]],Spielauswertung!$B602:$E602,0),0)=0,AD613,INDEX(Spielauswertung!$AB602:$AE602,MATCH(Tabelle11[[#Headers],[Marius_M]],Spielauswertung!$B602:$E602,0))+AD613)</f>
        <v>124.54012374585781</v>
      </c>
      <c r="AE614" s="1">
        <f>IF(IFERROR(MATCH(Tabelle11[[#Headers],[Marvin_W]],Spielauswertung!$B602:$E602,0),0)=0,AE613,INDEX(Spielauswertung!$AB602:$AE602,MATCH(Tabelle11[[#Headers],[Marvin_W]],Spielauswertung!$B602:$E602,0))+AE613)</f>
        <v>96.700266280577438</v>
      </c>
      <c r="AF614" s="1">
        <f>IF(IFERROR(MATCH(Tabelle11[[#Headers],[Matthias_H]],Spielauswertung!$B602:$E602,0),0)=0,AF613,INDEX(Spielauswertung!$AB602:$AE602,MATCH(Tabelle11[[#Headers],[Matthias_H]],Spielauswertung!$B602:$E602,0))+AF613)</f>
        <v>105.42130178599372</v>
      </c>
      <c r="AG614" s="1">
        <f>IF(IFERROR(MATCH(Tabelle11[[#Headers],[Michael_D]],Spielauswertung!$B602:$E602,0),0)=0,AG613,INDEX(Spielauswertung!$AB602:$AE602,MATCH(Tabelle11[[#Headers],[Michael_D]],Spielauswertung!$B602:$E602,0))+AG613)</f>
        <v>96.436276170375336</v>
      </c>
      <c r="AH614" s="1">
        <f>IF(IFERROR(MATCH(Tabelle11[[#Headers],[Patrick_S]],Spielauswertung!$B602:$E602,0),0)=0,AH613,INDEX(Spielauswertung!$AB602:$AE602,MATCH(Tabelle11[[#Headers],[Patrick_S]],Spielauswertung!$B602:$E602,0))+AH613)</f>
        <v>98.975330692053802</v>
      </c>
      <c r="AI614" s="1">
        <f>IF(IFERROR(MATCH(Tabelle11[[#Headers],[Rano_M]],Spielauswertung!$B602:$E602,0),0)=0,AI613,INDEX(Spielauswertung!$AB602:$AE602,MATCH(Tabelle11[[#Headers],[Rano_M]],Spielauswertung!$B602:$E602,0))+AI613)</f>
        <v>109.38890657420265</v>
      </c>
      <c r="AJ614" s="1">
        <f>IF(IFERROR(MATCH(Tabelle11[[#Headers],[Rene_N]],Spielauswertung!$B602:$E602,0),0)=0,AJ613,INDEX(Spielauswertung!$AB602:$AE602,MATCH(Tabelle11[[#Headers],[Rene_N]],Spielauswertung!$B602:$E602,0))+AJ613)</f>
        <v>101.06482124619033</v>
      </c>
      <c r="AK614" s="1">
        <f>IF(IFERROR(MATCH(Tabelle11[[#Headers],[Rene_P]],Spielauswertung!$B602:$E602,0),0)=0,AK613,INDEX(Spielauswertung!$AB602:$AE602,MATCH(Tabelle11[[#Headers],[Rene_P]],Spielauswertung!$B602:$E602,0))+AK613)</f>
        <v>88.762543186332877</v>
      </c>
      <c r="AL614" s="1">
        <f>IF(IFERROR(MATCH(Tabelle11[[#Headers],[Richard_D]],Spielauswertung!$B602:$E602,0),0)=0,AL613,INDEX(Spielauswertung!$AB602:$AE602,MATCH(Tabelle11[[#Headers],[Richard_D]],Spielauswertung!$B602:$E602,0))+AL613)</f>
        <v>107.23233592026223</v>
      </c>
      <c r="AM614" s="1">
        <f>IF(IFERROR(MATCH(Tabelle11[[#Headers],[Rodrigo_R]],Spielauswertung!$B602:$E602,0),0)=0,AM613,INDEX(Spielauswertung!$AB602:$AE602,MATCH(Tabelle11[[#Headers],[Rodrigo_R]],Spielauswertung!$B602:$E602,0))+AM613)</f>
        <v>116.7028707921346</v>
      </c>
      <c r="AN614" s="1">
        <f>IF(IFERROR(MATCH(Tabelle11[[#Headers],[Sebastian_A]],Spielauswertung!$B602:$E602,0),0)=0,AN613,INDEX(Spielauswertung!$AB602:$AE602,MATCH(Tabelle11[[#Headers],[Sebastian_A]],Spielauswertung!$B602:$E602,0))+AN613)</f>
        <v>102.89457418671324</v>
      </c>
      <c r="AO614" s="1">
        <f>IF(IFERROR(MATCH(Tabelle11[[#Headers],[Sebastian_St]],Spielauswertung!$B602:$E602,0),0)=0,AO613,INDEX(Spielauswertung!$AB602:$AE602,MATCH(Tabelle11[[#Headers],[Sebastian_St]],Spielauswertung!$B602:$E602,0))+AO613)</f>
        <v>97.749574367408982</v>
      </c>
      <c r="AP614" s="1">
        <f>IF(IFERROR(MATCH(Tabelle11[[#Headers],[Simon_U]],Spielauswertung!$B602:$E602,0),0)=0,AP613,INDEX(Spielauswertung!$AB602:$AE602,MATCH(Tabelle11[[#Headers],[Simon_U]],Spielauswertung!$B602:$E602,0))+AP613)</f>
        <v>99.623054841470903</v>
      </c>
      <c r="AQ614" s="1">
        <f>IF(IFERROR(MATCH(Tabelle11[[#Headers],[Steffen_R]],Spielauswertung!$B602:$E602,0),0)=0,AQ613,INDEX(Spielauswertung!$AB602:$AE602,MATCH(Tabelle11[[#Headers],[Steffen_R]],Spielauswertung!$B602:$E602,0))+AQ613)</f>
        <v>93.247497067190949</v>
      </c>
      <c r="AR614" s="1">
        <f>IF(IFERROR(MATCH(Tabelle11[[#Headers],[Tim_R]],Spielauswertung!$B602:$E602,0),0)=0,AR613,INDEX(Spielauswertung!$AB602:$AE602,MATCH(Tabelle11[[#Headers],[Tim_R]],Spielauswertung!$B602:$E602,0))+AR613)</f>
        <v>103.07503787023374</v>
      </c>
      <c r="AS614" s="1">
        <f>IF(IFERROR(MATCH(Tabelle11[[#Headers],[Tobias_S]],Spielauswertung!$B602:$E602,0),0)=0,AS613,INDEX(Spielauswertung!$AB602:$AE602,MATCH(Tabelle11[[#Headers],[Tobias_S]],Spielauswertung!$B602:$E602,0))+AS613)</f>
        <v>98.6003422659997</v>
      </c>
      <c r="AT614" s="1">
        <f>IF(IFERROR(MATCH(Tabelle11[[#Headers],[Tom_R]],Spielauswertung!$B602:$E602,0),0)=0,AT613,INDEX(Spielauswertung!$AB602:$AE602,MATCH(Tabelle11[[#Headers],[Tom_R]],Spielauswertung!$B602:$E602,0))+AT613)</f>
        <v>112.62344492949197</v>
      </c>
      <c r="AU614" s="1">
        <f>IF(IFERROR(MATCH(Tabelle11[[#Headers],[Ton_L]],Spielauswertung!$B602:$E602,0),0)=0,AU613,INDEX(Spielauswertung!$AB602:$AE602,MATCH(Tabelle11[[#Headers],[Ton_L]],Spielauswertung!$B602:$E602,0))+AU613)</f>
        <v>92.683083360025861</v>
      </c>
      <c r="AV614" s="1">
        <f>IF(IFERROR(MATCH(Tabelle11[[#Headers],[Yixin_G]],Spielauswertung!$B602:$E602,0),0)=0,AV613,INDEX(Spielauswertung!$AB602:$AE602,MATCH(Tabelle11[[#Headers],[Yixin_G]],Spielauswertung!$B602:$E602,0))+AV613)</f>
        <v>99.900323214082661</v>
      </c>
      <c r="AW614" s="1">
        <f>IF(IFERROR(MATCH(Tabelle11[[#Headers],[Spalte36]],Spielauswertung!$B602:$E602,0),0)=0,AW613,INDEX(Spielauswertung!$AB602:$AE602,MATCH(Tabelle11[[#Headers],[Spalte36]],Spielauswertung!$B602:$E602,0))+AW613)</f>
        <v>100</v>
      </c>
      <c r="AX614" s="1">
        <f>IF(IFERROR(MATCH(Tabelle11[[#Headers],[Spalte37]],Spielauswertung!$B602:$E602,0),0)=0,AX613,INDEX(Spielauswertung!$AB602:$AE602,MATCH(Tabelle11[[#Headers],[Spalte37]],Spielauswertung!$B602:$E602,0))+AX613)</f>
        <v>100</v>
      </c>
      <c r="AY614" s="1">
        <f>IF(IFERROR(MATCH(Tabelle11[[#Headers],[Spalte38]],Spielauswertung!$B602:$E602,0),0)=0,AY613,INDEX(Spielauswertung!$AB602:$AE602,MATCH(Tabelle11[[#Headers],[Spalte38]],Spielauswertung!$B602:$E602,0))+AY613)</f>
        <v>100</v>
      </c>
      <c r="AZ614" s="1">
        <f>IF(IFERROR(MATCH(Tabelle11[[#Headers],[Spalte39]],Spielauswertung!$B602:$E602,0),0)=0,AZ613,INDEX(Spielauswertung!$AB602:$AE602,MATCH(Tabelle11[[#Headers],[Spalte39]],Spielauswertung!$B602:$E602,0))+AZ613)</f>
        <v>100</v>
      </c>
      <c r="BA614" s="1">
        <f>IF(IFERROR(MATCH(Tabelle11[[#Headers],[Spalte40]],Spielauswertung!$B602:$E602,0),0)=0,BA613,INDEX(Spielauswertung!$AB602:$AE602,MATCH(Tabelle11[[#Headers],[Spalte40]],Spielauswertung!$B602:$E602,0))+BA613)</f>
        <v>100</v>
      </c>
      <c r="BB614" s="1">
        <f>IF(IFERROR(MATCH(Tabelle11[[#Headers],[Spalte41]],Spielauswertung!$B602:$E602,0),0)=0,BB613,INDEX(Spielauswertung!$AB602:$AE602,MATCH(Tabelle11[[#Headers],[Spalte41]],Spielauswertung!$B602:$E602,0))+BB613)</f>
        <v>100</v>
      </c>
      <c r="BC614" s="1">
        <f>IF(IFERROR(MATCH(Tabelle11[[#Headers],[Spalte42]],Spielauswertung!$B602:$E602,0),0)=0,BC613,INDEX(Spielauswertung!$AB602:$AE602,MATCH(Tabelle11[[#Headers],[Spalte42]],Spielauswertung!$B602:$E602,0))+BC613)</f>
        <v>100</v>
      </c>
      <c r="BD614" s="1">
        <f>IF(IFERROR(MATCH(Tabelle11[[#Headers],[Spalte43]],Spielauswertung!$B602:$E602,0),0)=0,BD613,INDEX(Spielauswertung!$AB602:$AE602,MATCH(Tabelle11[[#Headers],[Spalte43]],Spielauswertung!$B602:$E602,0))+BD613)</f>
        <v>100</v>
      </c>
      <c r="BE614" s="1">
        <f>IF(IFERROR(MATCH(Tabelle11[[#Headers],[Spalte44]],Spielauswertung!$B602:$E602,0),0)=0,BE613,INDEX(Spielauswertung!$AB602:$AE602,MATCH(Tabelle11[[#Headers],[Spalte44]],Spielauswertung!$B602:$E602,0))+BE613)</f>
        <v>100</v>
      </c>
      <c r="BF614" s="1">
        <f>IF(IFERROR(MATCH(Tabelle11[[#Headers],[Spalte45]],Spielauswertung!$B602:$E602,0),0)=0,BF613,INDEX(Spielauswertung!$AB602:$AE602,MATCH(Tabelle11[[#Headers],[Spalte45]],Spielauswertung!$B602:$E602,0))+BF613)</f>
        <v>100</v>
      </c>
      <c r="BG614" s="1">
        <f>IF(IFERROR(MATCH(Tabelle11[[#Headers],[Spalte46]],Spielauswertung!$B602:$E602,0),0)=0,BG613,INDEX(Spielauswertung!$AB602:$AE602,MATCH(Tabelle11[[#Headers],[Spalte46]],Spielauswertung!$B602:$E602,0))+BG613)</f>
        <v>100</v>
      </c>
      <c r="BH614" s="1">
        <f>IF(IFERROR(MATCH(Tabelle11[[#Headers],[Spalte47]],Spielauswertung!$B602:$E602,0),0)=0,BH613,INDEX(Spielauswertung!$AB602:$AE602,MATCH(Tabelle11[[#Headers],[Spalte47]],Spielauswertung!$B602:$E602,0))+BH613)</f>
        <v>100</v>
      </c>
    </row>
    <row r="615" spans="1:60" x14ac:dyDescent="0.25">
      <c r="A615">
        <f t="shared" si="10"/>
        <v>602</v>
      </c>
      <c r="B615" s="1">
        <f>IF(IFERROR(MATCH(Tabelle11[[#Headers],[Aleix_V]],Spielauswertung!$B603:$E603,0),0)=0,B614,INDEX(Spielauswertung!$AB603:$AE603,MATCH(Tabelle11[[#Headers],[Aleix_V]],Spielauswertung!$B603:$E603,0))+B614)</f>
        <v>102.47318019444646</v>
      </c>
      <c r="C615" s="1">
        <f>IF(IFERROR(MATCH(Tabelle11[[#Headers],[Andres_H]],Spielauswertung!$B603:$E603,0),0)=0,C614,INDEX(Spielauswertung!$AB603:$AE603,MATCH(Tabelle11[[#Headers],[Andres_H]],Spielauswertung!$B603:$E603,0))+C614)</f>
        <v>95.535732339111306</v>
      </c>
      <c r="D615" s="1">
        <f>IF(IFERROR(MATCH(Tabelle11[[#Headers],[Anton_K]],Spielauswertung!$B603:$E603,0),0)=0,D614,INDEX(Spielauswertung!$AB603:$AE603,MATCH(Tabelle11[[#Headers],[Anton_K]],Spielauswertung!$B603:$E603,0))+D614)</f>
        <v>99.287728777054667</v>
      </c>
      <c r="E615" s="1">
        <f>IF(IFERROR(MATCH(Tabelle11[[#Headers],[Bastian_G]],Spielauswertung!$B603:$E603,0),0)=0,E614,INDEX(Spielauswertung!$AB603:$AE603,MATCH(Tabelle11[[#Headers],[Bastian_G]],Spielauswertung!$B603:$E603,0))+E614)</f>
        <v>117.49978695184252</v>
      </c>
      <c r="F615" s="1">
        <f>IF(IFERROR(MATCH(Tabelle11[[#Headers],[Ben_S]],Spielauswertung!$B603:$E603,0),0)=0,F614,INDEX(Spielauswertung!$AB603:$AE603,MATCH(Tabelle11[[#Headers],[Ben_S]],Spielauswertung!$B603:$E603,0))+F614)</f>
        <v>95.932799101521084</v>
      </c>
      <c r="G615" s="1">
        <f>IF(IFERROR(MATCH(Tabelle11[[#Headers],[Benedikt_K]],Spielauswertung!$B603:$E603,0),0)=0,G614,INDEX(Spielauswertung!$AB603:$AE603,MATCH(Tabelle11[[#Headers],[Benedikt_K]],Spielauswertung!$B603:$E603,0))+G614)</f>
        <v>101.20264176422626</v>
      </c>
      <c r="H615" s="1">
        <f>IF(IFERROR(MATCH(Tabelle11[[#Headers],[Benedikt_R]],Spielauswertung!$B603:$E603,0),0)=0,H614,INDEX(Spielauswertung!$AB603:$AE603,MATCH(Tabelle11[[#Headers],[Benedikt_R]],Spielauswertung!$B603:$E603,0))+H614)</f>
        <v>102.6264770510757</v>
      </c>
      <c r="I615" s="1">
        <f>IF(IFERROR(MATCH(Tabelle11[[#Headers],[Carsten_H]],Spielauswertung!$B603:$E603,0),0)=0,I614,INDEX(Spielauswertung!$AB603:$AE603,MATCH(Tabelle11[[#Headers],[Carsten_H]],Spielauswertung!$B603:$E603,0))+I614)</f>
        <v>90.817185094326874</v>
      </c>
      <c r="J615" s="1">
        <f>IF(IFERROR(MATCH(Tabelle11[[#Headers],[Christoph_R]],Spielauswertung!$B603:$E603,0),0)=0,J614,INDEX(Spielauswertung!$AB603:$AE603,MATCH(Tabelle11[[#Headers],[Christoph_R]],Spielauswertung!$B603:$E603,0))+J614)</f>
        <v>109.73261611443155</v>
      </c>
      <c r="K615" s="1">
        <f>IF(IFERROR(MATCH(Tabelle11[[#Headers],[Claudius_J]],Spielauswertung!$B603:$E603,0),0)=0,K614,INDEX(Spielauswertung!$AB603:$AE603,MATCH(Tabelle11[[#Headers],[Claudius_J]],Spielauswertung!$B603:$E603,0))+K614)</f>
        <v>106.16590636000029</v>
      </c>
      <c r="L615" s="1">
        <f>IF(IFERROR(MATCH(Tabelle11[[#Headers],[Daniel_D]],Spielauswertung!$B603:$E603,0),0)=0,L614,INDEX(Spielauswertung!$AB603:$AE603,MATCH(Tabelle11[[#Headers],[Daniel_D]],Spielauswertung!$B603:$E603,0))+L614)</f>
        <v>99.990299180470089</v>
      </c>
      <c r="M615" s="1">
        <f>IF(IFERROR(MATCH(Tabelle11[[#Headers],[David_R]],Spielauswertung!$B603:$E603,0),0)=0,M614,INDEX(Spielauswertung!$AB603:$AE603,MATCH(Tabelle11[[#Headers],[David_R]],Spielauswertung!$B603:$E603,0))+M614)</f>
        <v>96.715943522481638</v>
      </c>
      <c r="N615" s="1">
        <f>IF(IFERROR(MATCH(Tabelle11[[#Headers],[Dennis_P]],Spielauswertung!$B603:$E603,0),0)=0,N614,INDEX(Spielauswertung!$AB603:$AE603,MATCH(Tabelle11[[#Headers],[Dennis_P]],Spielauswertung!$B603:$E603,0))+N614)</f>
        <v>100.04773223105254</v>
      </c>
      <c r="O615" s="1">
        <f>IF(IFERROR(MATCH(Tabelle11[[#Headers],[Dennis_R]],Spielauswertung!$B603:$E603,0),0)=0,O614,INDEX(Spielauswertung!$AB603:$AE603,MATCH(Tabelle11[[#Headers],[Dennis_R]],Spielauswertung!$B603:$E603,0))+O614)</f>
        <v>75.131680864937195</v>
      </c>
      <c r="P615" s="1">
        <f>IF(IFERROR(MATCH(Tabelle11[[#Headers],[Detlef_R]],Spielauswertung!$B603:$E603,0),0)=0,P614,INDEX(Spielauswertung!$AB603:$AE603,MATCH(Tabelle11[[#Headers],[Detlef_R]],Spielauswertung!$B603:$E603,0))+P614)</f>
        <v>87.984671797367014</v>
      </c>
      <c r="Q615" s="1">
        <f>IF(IFERROR(MATCH(Tabelle11[[#Headers],[Dmitrij_M]],Spielauswertung!$B603:$E603,0),0)=0,Q614,INDEX(Spielauswertung!$AB603:$AE603,MATCH(Tabelle11[[#Headers],[Dmitrij_M]],Spielauswertung!$B603:$E603,0))+Q614)</f>
        <v>100.69975721846207</v>
      </c>
      <c r="R615" s="1">
        <f>IF(IFERROR(MATCH(Tabelle11[[#Headers],[Fabian_M]],Spielauswertung!$B603:$E603,0),0)=0,R614,INDEX(Spielauswertung!$AB603:$AE603,MATCH(Tabelle11[[#Headers],[Fabian_M]],Spielauswertung!$B603:$E603,0))+R614)</f>
        <v>95.805387841610738</v>
      </c>
      <c r="S615" s="1">
        <f>IF(IFERROR(MATCH(Tabelle11[[#Headers],[Hannes_S]],Spielauswertung!$B603:$E603,0),0)=0,S614,INDEX(Spielauswertung!$AB603:$AE603,MATCH(Tabelle11[[#Headers],[Hannes_S]],Spielauswertung!$B603:$E603,0))+S614)</f>
        <v>104.83899184012799</v>
      </c>
      <c r="T615" s="1">
        <f>IF(IFERROR(MATCH(Tabelle11[[#Headers],[Jan_B]],Spielauswertung!$B603:$E603,0),0)=0,T614,INDEX(Spielauswertung!$AB603:$AE603,MATCH(Tabelle11[[#Headers],[Jan_B]],Spielauswertung!$B603:$E603,0))+T614)</f>
        <v>100.2794420429173</v>
      </c>
      <c r="U615" s="1">
        <f>IF(IFERROR(MATCH(Tabelle11[[#Headers],[Jan_Hendrik_B]],Spielauswertung!$B603:$E603,0),0)=0,U614,INDEX(Spielauswertung!$AB603:$AE603,MATCH(Tabelle11[[#Headers],[Jan_Hendrik_B]],Spielauswertung!$B603:$E603,0))+U614)</f>
        <v>100.75492416935522</v>
      </c>
      <c r="V615" s="1">
        <f>IF(IFERROR(MATCH(Tabelle11[[#Headers],[Jens_N]],Spielauswertung!$B603:$E603,0),0)=0,V614,INDEX(Spielauswertung!$AB603:$AE603,MATCH(Tabelle11[[#Headers],[Jens_N]],Spielauswertung!$B603:$E603,0))+V614)</f>
        <v>99.643534710196832</v>
      </c>
      <c r="W615" s="1">
        <f>IF(IFERROR(MATCH(Tabelle11[[#Headers],[Johannes_S]],Spielauswertung!$B603:$E603,0),0)=0,W614,INDEX(Spielauswertung!$AB603:$AE603,MATCH(Tabelle11[[#Headers],[Johannes_S]],Spielauswertung!$B603:$E603,0))+W614)</f>
        <v>102.20284750979505</v>
      </c>
      <c r="X615" s="1">
        <f>IF(IFERROR(MATCH(Tabelle11[[#Headers],[Jonathan_F]],Spielauswertung!$B603:$E603,0),0)=0,X614,INDEX(Spielauswertung!$AB603:$AE603,MATCH(Tabelle11[[#Headers],[Jonathan_F]],Spielauswertung!$B603:$E603,0))+X614)</f>
        <v>98.938308797866256</v>
      </c>
      <c r="Y615" s="1">
        <f>IF(IFERROR(MATCH(Tabelle11[[#Headers],[Julius_P]],Spielauswertung!$B603:$E603,0),0)=0,Y614,INDEX(Spielauswertung!$AB603:$AE603,MATCH(Tabelle11[[#Headers],[Julius_P]],Spielauswertung!$B603:$E603,0))+Y614)</f>
        <v>96.540305101873642</v>
      </c>
      <c r="Z615" s="1">
        <f>IF(IFERROR(MATCH(Tabelle11[[#Headers],[Louis_W]],Spielauswertung!$B603:$E603,0),0)=0,Z614,INDEX(Spielauswertung!$AB603:$AE603,MATCH(Tabelle11[[#Headers],[Louis_W]],Spielauswertung!$B603:$E603,0))+Z614)</f>
        <v>87.497452285475362</v>
      </c>
      <c r="AA615" s="1">
        <f>IF(IFERROR(MATCH(Tabelle11[[#Headers],[Lukas_L]],Spielauswertung!$B603:$E603,0),0)=0,AA614,INDEX(Spielauswertung!$AB603:$AE603,MATCH(Tabelle11[[#Headers],[Lukas_L]],Spielauswertung!$B603:$E603,0))+AA614)</f>
        <v>98.447931341404143</v>
      </c>
      <c r="AB615" s="1">
        <f>IF(IFERROR(MATCH(Tabelle11[[#Headers],[Marcin_S]],Spielauswertung!$B603:$E603,0),0)=0,AB614,INDEX(Spielauswertung!$AB603:$AE603,MATCH(Tabelle11[[#Headers],[Marcin_S]],Spielauswertung!$B603:$E603,0))+AB614)</f>
        <v>85.463329105556824</v>
      </c>
      <c r="AC615" s="1">
        <f>IF(IFERROR(MATCH(Tabelle11[[#Headers],[Marco_K]],Spielauswertung!$B603:$E603,0),0)=0,AC614,INDEX(Spielauswertung!$AB603:$AE603,MATCH(Tabelle11[[#Headers],[Marco_K]],Spielauswertung!$B603:$E603,0))+AC614)</f>
        <v>102.12169819441469</v>
      </c>
      <c r="AD615" s="1">
        <f>IF(IFERROR(MATCH(Tabelle11[[#Headers],[Marius_M]],Spielauswertung!$B603:$E603,0),0)=0,AD614,INDEX(Spielauswertung!$AB603:$AE603,MATCH(Tabelle11[[#Headers],[Marius_M]],Spielauswertung!$B603:$E603,0))+AD614)</f>
        <v>124.54012374585781</v>
      </c>
      <c r="AE615" s="1">
        <f>IF(IFERROR(MATCH(Tabelle11[[#Headers],[Marvin_W]],Spielauswertung!$B603:$E603,0),0)=0,AE614,INDEX(Spielauswertung!$AB603:$AE603,MATCH(Tabelle11[[#Headers],[Marvin_W]],Spielauswertung!$B603:$E603,0))+AE614)</f>
        <v>96.700266280577438</v>
      </c>
      <c r="AF615" s="1">
        <f>IF(IFERROR(MATCH(Tabelle11[[#Headers],[Matthias_H]],Spielauswertung!$B603:$E603,0),0)=0,AF614,INDEX(Spielauswertung!$AB603:$AE603,MATCH(Tabelle11[[#Headers],[Matthias_H]],Spielauswertung!$B603:$E603,0))+AF614)</f>
        <v>105.42130178599372</v>
      </c>
      <c r="AG615" s="1">
        <f>IF(IFERROR(MATCH(Tabelle11[[#Headers],[Michael_D]],Spielauswertung!$B603:$E603,0),0)=0,AG614,INDEX(Spielauswertung!$AB603:$AE603,MATCH(Tabelle11[[#Headers],[Michael_D]],Spielauswertung!$B603:$E603,0))+AG614)</f>
        <v>96.436276170375336</v>
      </c>
      <c r="AH615" s="1">
        <f>IF(IFERROR(MATCH(Tabelle11[[#Headers],[Patrick_S]],Spielauswertung!$B603:$E603,0),0)=0,AH614,INDEX(Spielauswertung!$AB603:$AE603,MATCH(Tabelle11[[#Headers],[Patrick_S]],Spielauswertung!$B603:$E603,0))+AH614)</f>
        <v>98.975330692053802</v>
      </c>
      <c r="AI615" s="1">
        <f>IF(IFERROR(MATCH(Tabelle11[[#Headers],[Rano_M]],Spielauswertung!$B603:$E603,0),0)=0,AI614,INDEX(Spielauswertung!$AB603:$AE603,MATCH(Tabelle11[[#Headers],[Rano_M]],Spielauswertung!$B603:$E603,0))+AI614)</f>
        <v>109.38890657420265</v>
      </c>
      <c r="AJ615" s="1">
        <f>IF(IFERROR(MATCH(Tabelle11[[#Headers],[Rene_N]],Spielauswertung!$B603:$E603,0),0)=0,AJ614,INDEX(Spielauswertung!$AB603:$AE603,MATCH(Tabelle11[[#Headers],[Rene_N]],Spielauswertung!$B603:$E603,0))+AJ614)</f>
        <v>101.06482124619033</v>
      </c>
      <c r="AK615" s="1">
        <f>IF(IFERROR(MATCH(Tabelle11[[#Headers],[Rene_P]],Spielauswertung!$B603:$E603,0),0)=0,AK614,INDEX(Spielauswertung!$AB603:$AE603,MATCH(Tabelle11[[#Headers],[Rene_P]],Spielauswertung!$B603:$E603,0))+AK614)</f>
        <v>88.762543186332877</v>
      </c>
      <c r="AL615" s="1">
        <f>IF(IFERROR(MATCH(Tabelle11[[#Headers],[Richard_D]],Spielauswertung!$B603:$E603,0),0)=0,AL614,INDEX(Spielauswertung!$AB603:$AE603,MATCH(Tabelle11[[#Headers],[Richard_D]],Spielauswertung!$B603:$E603,0))+AL614)</f>
        <v>107.23233592026223</v>
      </c>
      <c r="AM615" s="1">
        <f>IF(IFERROR(MATCH(Tabelle11[[#Headers],[Rodrigo_R]],Spielauswertung!$B603:$E603,0),0)=0,AM614,INDEX(Spielauswertung!$AB603:$AE603,MATCH(Tabelle11[[#Headers],[Rodrigo_R]],Spielauswertung!$B603:$E603,0))+AM614)</f>
        <v>116.7028707921346</v>
      </c>
      <c r="AN615" s="1">
        <f>IF(IFERROR(MATCH(Tabelle11[[#Headers],[Sebastian_A]],Spielauswertung!$B603:$E603,0),0)=0,AN614,INDEX(Spielauswertung!$AB603:$AE603,MATCH(Tabelle11[[#Headers],[Sebastian_A]],Spielauswertung!$B603:$E603,0))+AN614)</f>
        <v>102.89457418671324</v>
      </c>
      <c r="AO615" s="1">
        <f>IF(IFERROR(MATCH(Tabelle11[[#Headers],[Sebastian_St]],Spielauswertung!$B603:$E603,0),0)=0,AO614,INDEX(Spielauswertung!$AB603:$AE603,MATCH(Tabelle11[[#Headers],[Sebastian_St]],Spielauswertung!$B603:$E603,0))+AO614)</f>
        <v>97.749574367408982</v>
      </c>
      <c r="AP615" s="1">
        <f>IF(IFERROR(MATCH(Tabelle11[[#Headers],[Simon_U]],Spielauswertung!$B603:$E603,0),0)=0,AP614,INDEX(Spielauswertung!$AB603:$AE603,MATCH(Tabelle11[[#Headers],[Simon_U]],Spielauswertung!$B603:$E603,0))+AP614)</f>
        <v>99.623054841470903</v>
      </c>
      <c r="AQ615" s="1">
        <f>IF(IFERROR(MATCH(Tabelle11[[#Headers],[Steffen_R]],Spielauswertung!$B603:$E603,0),0)=0,AQ614,INDEX(Spielauswertung!$AB603:$AE603,MATCH(Tabelle11[[#Headers],[Steffen_R]],Spielauswertung!$B603:$E603,0))+AQ614)</f>
        <v>93.247497067190949</v>
      </c>
      <c r="AR615" s="1">
        <f>IF(IFERROR(MATCH(Tabelle11[[#Headers],[Tim_R]],Spielauswertung!$B603:$E603,0),0)=0,AR614,INDEX(Spielauswertung!$AB603:$AE603,MATCH(Tabelle11[[#Headers],[Tim_R]],Spielauswertung!$B603:$E603,0))+AR614)</f>
        <v>103.07503787023374</v>
      </c>
      <c r="AS615" s="1">
        <f>IF(IFERROR(MATCH(Tabelle11[[#Headers],[Tobias_S]],Spielauswertung!$B603:$E603,0),0)=0,AS614,INDEX(Spielauswertung!$AB603:$AE603,MATCH(Tabelle11[[#Headers],[Tobias_S]],Spielauswertung!$B603:$E603,0))+AS614)</f>
        <v>98.6003422659997</v>
      </c>
      <c r="AT615" s="1">
        <f>IF(IFERROR(MATCH(Tabelle11[[#Headers],[Tom_R]],Spielauswertung!$B603:$E603,0),0)=0,AT614,INDEX(Spielauswertung!$AB603:$AE603,MATCH(Tabelle11[[#Headers],[Tom_R]],Spielauswertung!$B603:$E603,0))+AT614)</f>
        <v>112.62344492949197</v>
      </c>
      <c r="AU615" s="1">
        <f>IF(IFERROR(MATCH(Tabelle11[[#Headers],[Ton_L]],Spielauswertung!$B603:$E603,0),0)=0,AU614,INDEX(Spielauswertung!$AB603:$AE603,MATCH(Tabelle11[[#Headers],[Ton_L]],Spielauswertung!$B603:$E603,0))+AU614)</f>
        <v>92.683083360025861</v>
      </c>
      <c r="AV615" s="1">
        <f>IF(IFERROR(MATCH(Tabelle11[[#Headers],[Yixin_G]],Spielauswertung!$B603:$E603,0),0)=0,AV614,INDEX(Spielauswertung!$AB603:$AE603,MATCH(Tabelle11[[#Headers],[Yixin_G]],Spielauswertung!$B603:$E603,0))+AV614)</f>
        <v>99.900323214082661</v>
      </c>
      <c r="AW615" s="1">
        <f>IF(IFERROR(MATCH(Tabelle11[[#Headers],[Spalte36]],Spielauswertung!$B603:$E603,0),0)=0,AW614,INDEX(Spielauswertung!$AB603:$AE603,MATCH(Tabelle11[[#Headers],[Spalte36]],Spielauswertung!$B603:$E603,0))+AW614)</f>
        <v>100</v>
      </c>
      <c r="AX615" s="1">
        <f>IF(IFERROR(MATCH(Tabelle11[[#Headers],[Spalte37]],Spielauswertung!$B603:$E603,0),0)=0,AX614,INDEX(Spielauswertung!$AB603:$AE603,MATCH(Tabelle11[[#Headers],[Spalte37]],Spielauswertung!$B603:$E603,0))+AX614)</f>
        <v>100</v>
      </c>
      <c r="AY615" s="1">
        <f>IF(IFERROR(MATCH(Tabelle11[[#Headers],[Spalte38]],Spielauswertung!$B603:$E603,0),0)=0,AY614,INDEX(Spielauswertung!$AB603:$AE603,MATCH(Tabelle11[[#Headers],[Spalte38]],Spielauswertung!$B603:$E603,0))+AY614)</f>
        <v>100</v>
      </c>
      <c r="AZ615" s="1">
        <f>IF(IFERROR(MATCH(Tabelle11[[#Headers],[Spalte39]],Spielauswertung!$B603:$E603,0),0)=0,AZ614,INDEX(Spielauswertung!$AB603:$AE603,MATCH(Tabelle11[[#Headers],[Spalte39]],Spielauswertung!$B603:$E603,0))+AZ614)</f>
        <v>100</v>
      </c>
      <c r="BA615" s="1">
        <f>IF(IFERROR(MATCH(Tabelle11[[#Headers],[Spalte40]],Spielauswertung!$B603:$E603,0),0)=0,BA614,INDEX(Spielauswertung!$AB603:$AE603,MATCH(Tabelle11[[#Headers],[Spalte40]],Spielauswertung!$B603:$E603,0))+BA614)</f>
        <v>100</v>
      </c>
      <c r="BB615" s="1">
        <f>IF(IFERROR(MATCH(Tabelle11[[#Headers],[Spalte41]],Spielauswertung!$B603:$E603,0),0)=0,BB614,INDEX(Spielauswertung!$AB603:$AE603,MATCH(Tabelle11[[#Headers],[Spalte41]],Spielauswertung!$B603:$E603,0))+BB614)</f>
        <v>100</v>
      </c>
      <c r="BC615" s="1">
        <f>IF(IFERROR(MATCH(Tabelle11[[#Headers],[Spalte42]],Spielauswertung!$B603:$E603,0),0)=0,BC614,INDEX(Spielauswertung!$AB603:$AE603,MATCH(Tabelle11[[#Headers],[Spalte42]],Spielauswertung!$B603:$E603,0))+BC614)</f>
        <v>100</v>
      </c>
      <c r="BD615" s="1">
        <f>IF(IFERROR(MATCH(Tabelle11[[#Headers],[Spalte43]],Spielauswertung!$B603:$E603,0),0)=0,BD614,INDEX(Spielauswertung!$AB603:$AE603,MATCH(Tabelle11[[#Headers],[Spalte43]],Spielauswertung!$B603:$E603,0))+BD614)</f>
        <v>100</v>
      </c>
      <c r="BE615" s="1">
        <f>IF(IFERROR(MATCH(Tabelle11[[#Headers],[Spalte44]],Spielauswertung!$B603:$E603,0),0)=0,BE614,INDEX(Spielauswertung!$AB603:$AE603,MATCH(Tabelle11[[#Headers],[Spalte44]],Spielauswertung!$B603:$E603,0))+BE614)</f>
        <v>100</v>
      </c>
      <c r="BF615" s="1">
        <f>IF(IFERROR(MATCH(Tabelle11[[#Headers],[Spalte45]],Spielauswertung!$B603:$E603,0),0)=0,BF614,INDEX(Spielauswertung!$AB603:$AE603,MATCH(Tabelle11[[#Headers],[Spalte45]],Spielauswertung!$B603:$E603,0))+BF614)</f>
        <v>100</v>
      </c>
      <c r="BG615" s="1">
        <f>IF(IFERROR(MATCH(Tabelle11[[#Headers],[Spalte46]],Spielauswertung!$B603:$E603,0),0)=0,BG614,INDEX(Spielauswertung!$AB603:$AE603,MATCH(Tabelle11[[#Headers],[Spalte46]],Spielauswertung!$B603:$E603,0))+BG614)</f>
        <v>100</v>
      </c>
      <c r="BH615" s="1">
        <f>IF(IFERROR(MATCH(Tabelle11[[#Headers],[Spalte47]],Spielauswertung!$B603:$E603,0),0)=0,BH614,INDEX(Spielauswertung!$AB603:$AE603,MATCH(Tabelle11[[#Headers],[Spalte47]],Spielauswertung!$B603:$E603,0))+BH614)</f>
        <v>100</v>
      </c>
    </row>
    <row r="616" spans="1:60" x14ac:dyDescent="0.25">
      <c r="A616">
        <f t="shared" si="10"/>
        <v>603</v>
      </c>
      <c r="B616" s="1">
        <f>IF(IFERROR(MATCH(Tabelle11[[#Headers],[Aleix_V]],Spielauswertung!$B604:$E604,0),0)=0,B615,INDEX(Spielauswertung!$AB604:$AE604,MATCH(Tabelle11[[#Headers],[Aleix_V]],Spielauswertung!$B604:$E604,0))+B615)</f>
        <v>102.47318019444646</v>
      </c>
      <c r="C616" s="1">
        <f>IF(IFERROR(MATCH(Tabelle11[[#Headers],[Andres_H]],Spielauswertung!$B604:$E604,0),0)=0,C615,INDEX(Spielauswertung!$AB604:$AE604,MATCH(Tabelle11[[#Headers],[Andres_H]],Spielauswertung!$B604:$E604,0))+C615)</f>
        <v>95.535732339111306</v>
      </c>
      <c r="D616" s="1">
        <f>IF(IFERROR(MATCH(Tabelle11[[#Headers],[Anton_K]],Spielauswertung!$B604:$E604,0),0)=0,D615,INDEX(Spielauswertung!$AB604:$AE604,MATCH(Tabelle11[[#Headers],[Anton_K]],Spielauswertung!$B604:$E604,0))+D615)</f>
        <v>99.287728777054667</v>
      </c>
      <c r="E616" s="1">
        <f>IF(IFERROR(MATCH(Tabelle11[[#Headers],[Bastian_G]],Spielauswertung!$B604:$E604,0),0)=0,E615,INDEX(Spielauswertung!$AB604:$AE604,MATCH(Tabelle11[[#Headers],[Bastian_G]],Spielauswertung!$B604:$E604,0))+E615)</f>
        <v>117.49978695184252</v>
      </c>
      <c r="F616" s="1">
        <f>IF(IFERROR(MATCH(Tabelle11[[#Headers],[Ben_S]],Spielauswertung!$B604:$E604,0),0)=0,F615,INDEX(Spielauswertung!$AB604:$AE604,MATCH(Tabelle11[[#Headers],[Ben_S]],Spielauswertung!$B604:$E604,0))+F615)</f>
        <v>95.932799101521084</v>
      </c>
      <c r="G616" s="1">
        <f>IF(IFERROR(MATCH(Tabelle11[[#Headers],[Benedikt_K]],Spielauswertung!$B604:$E604,0),0)=0,G615,INDEX(Spielauswertung!$AB604:$AE604,MATCH(Tabelle11[[#Headers],[Benedikt_K]],Spielauswertung!$B604:$E604,0))+G615)</f>
        <v>101.20264176422626</v>
      </c>
      <c r="H616" s="1">
        <f>IF(IFERROR(MATCH(Tabelle11[[#Headers],[Benedikt_R]],Spielauswertung!$B604:$E604,0),0)=0,H615,INDEX(Spielauswertung!$AB604:$AE604,MATCH(Tabelle11[[#Headers],[Benedikt_R]],Spielauswertung!$B604:$E604,0))+H615)</f>
        <v>102.6264770510757</v>
      </c>
      <c r="I616" s="1">
        <f>IF(IFERROR(MATCH(Tabelle11[[#Headers],[Carsten_H]],Spielauswertung!$B604:$E604,0),0)=0,I615,INDEX(Spielauswertung!$AB604:$AE604,MATCH(Tabelle11[[#Headers],[Carsten_H]],Spielauswertung!$B604:$E604,0))+I615)</f>
        <v>90.817185094326874</v>
      </c>
      <c r="J616" s="1">
        <f>IF(IFERROR(MATCH(Tabelle11[[#Headers],[Christoph_R]],Spielauswertung!$B604:$E604,0),0)=0,J615,INDEX(Spielauswertung!$AB604:$AE604,MATCH(Tabelle11[[#Headers],[Christoph_R]],Spielauswertung!$B604:$E604,0))+J615)</f>
        <v>109.73261611443155</v>
      </c>
      <c r="K616" s="1">
        <f>IF(IFERROR(MATCH(Tabelle11[[#Headers],[Claudius_J]],Spielauswertung!$B604:$E604,0),0)=0,K615,INDEX(Spielauswertung!$AB604:$AE604,MATCH(Tabelle11[[#Headers],[Claudius_J]],Spielauswertung!$B604:$E604,0))+K615)</f>
        <v>106.16590636000029</v>
      </c>
      <c r="L616" s="1">
        <f>IF(IFERROR(MATCH(Tabelle11[[#Headers],[Daniel_D]],Spielauswertung!$B604:$E604,0),0)=0,L615,INDEX(Spielauswertung!$AB604:$AE604,MATCH(Tabelle11[[#Headers],[Daniel_D]],Spielauswertung!$B604:$E604,0))+L615)</f>
        <v>99.990299180470089</v>
      </c>
      <c r="M616" s="1">
        <f>IF(IFERROR(MATCH(Tabelle11[[#Headers],[David_R]],Spielauswertung!$B604:$E604,0),0)=0,M615,INDEX(Spielauswertung!$AB604:$AE604,MATCH(Tabelle11[[#Headers],[David_R]],Spielauswertung!$B604:$E604,0))+M615)</f>
        <v>96.715943522481638</v>
      </c>
      <c r="N616" s="1">
        <f>IF(IFERROR(MATCH(Tabelle11[[#Headers],[Dennis_P]],Spielauswertung!$B604:$E604,0),0)=0,N615,INDEX(Spielauswertung!$AB604:$AE604,MATCH(Tabelle11[[#Headers],[Dennis_P]],Spielauswertung!$B604:$E604,0))+N615)</f>
        <v>100.04773223105254</v>
      </c>
      <c r="O616" s="1">
        <f>IF(IFERROR(MATCH(Tabelle11[[#Headers],[Dennis_R]],Spielauswertung!$B604:$E604,0),0)=0,O615,INDEX(Spielauswertung!$AB604:$AE604,MATCH(Tabelle11[[#Headers],[Dennis_R]],Spielauswertung!$B604:$E604,0))+O615)</f>
        <v>75.131680864937195</v>
      </c>
      <c r="P616" s="1">
        <f>IF(IFERROR(MATCH(Tabelle11[[#Headers],[Detlef_R]],Spielauswertung!$B604:$E604,0),0)=0,P615,INDEX(Spielauswertung!$AB604:$AE604,MATCH(Tabelle11[[#Headers],[Detlef_R]],Spielauswertung!$B604:$E604,0))+P615)</f>
        <v>87.984671797367014</v>
      </c>
      <c r="Q616" s="1">
        <f>IF(IFERROR(MATCH(Tabelle11[[#Headers],[Dmitrij_M]],Spielauswertung!$B604:$E604,0),0)=0,Q615,INDEX(Spielauswertung!$AB604:$AE604,MATCH(Tabelle11[[#Headers],[Dmitrij_M]],Spielauswertung!$B604:$E604,0))+Q615)</f>
        <v>100.69975721846207</v>
      </c>
      <c r="R616" s="1">
        <f>IF(IFERROR(MATCH(Tabelle11[[#Headers],[Fabian_M]],Spielauswertung!$B604:$E604,0),0)=0,R615,INDEX(Spielauswertung!$AB604:$AE604,MATCH(Tabelle11[[#Headers],[Fabian_M]],Spielauswertung!$B604:$E604,0))+R615)</f>
        <v>95.805387841610738</v>
      </c>
      <c r="S616" s="1">
        <f>IF(IFERROR(MATCH(Tabelle11[[#Headers],[Hannes_S]],Spielauswertung!$B604:$E604,0),0)=0,S615,INDEX(Spielauswertung!$AB604:$AE604,MATCH(Tabelle11[[#Headers],[Hannes_S]],Spielauswertung!$B604:$E604,0))+S615)</f>
        <v>104.83899184012799</v>
      </c>
      <c r="T616" s="1">
        <f>IF(IFERROR(MATCH(Tabelle11[[#Headers],[Jan_B]],Spielauswertung!$B604:$E604,0),0)=0,T615,INDEX(Spielauswertung!$AB604:$AE604,MATCH(Tabelle11[[#Headers],[Jan_B]],Spielauswertung!$B604:$E604,0))+T615)</f>
        <v>100.2794420429173</v>
      </c>
      <c r="U616" s="1">
        <f>IF(IFERROR(MATCH(Tabelle11[[#Headers],[Jan_Hendrik_B]],Spielauswertung!$B604:$E604,0),0)=0,U615,INDEX(Spielauswertung!$AB604:$AE604,MATCH(Tabelle11[[#Headers],[Jan_Hendrik_B]],Spielauswertung!$B604:$E604,0))+U615)</f>
        <v>100.75492416935522</v>
      </c>
      <c r="V616" s="1">
        <f>IF(IFERROR(MATCH(Tabelle11[[#Headers],[Jens_N]],Spielauswertung!$B604:$E604,0),0)=0,V615,INDEX(Spielauswertung!$AB604:$AE604,MATCH(Tabelle11[[#Headers],[Jens_N]],Spielauswertung!$B604:$E604,0))+V615)</f>
        <v>99.643534710196832</v>
      </c>
      <c r="W616" s="1">
        <f>IF(IFERROR(MATCH(Tabelle11[[#Headers],[Johannes_S]],Spielauswertung!$B604:$E604,0),0)=0,W615,INDEX(Spielauswertung!$AB604:$AE604,MATCH(Tabelle11[[#Headers],[Johannes_S]],Spielauswertung!$B604:$E604,0))+W615)</f>
        <v>102.20284750979505</v>
      </c>
      <c r="X616" s="1">
        <f>IF(IFERROR(MATCH(Tabelle11[[#Headers],[Jonathan_F]],Spielauswertung!$B604:$E604,0),0)=0,X615,INDEX(Spielauswertung!$AB604:$AE604,MATCH(Tabelle11[[#Headers],[Jonathan_F]],Spielauswertung!$B604:$E604,0))+X615)</f>
        <v>98.938308797866256</v>
      </c>
      <c r="Y616" s="1">
        <f>IF(IFERROR(MATCH(Tabelle11[[#Headers],[Julius_P]],Spielauswertung!$B604:$E604,0),0)=0,Y615,INDEX(Spielauswertung!$AB604:$AE604,MATCH(Tabelle11[[#Headers],[Julius_P]],Spielauswertung!$B604:$E604,0))+Y615)</f>
        <v>96.540305101873642</v>
      </c>
      <c r="Z616" s="1">
        <f>IF(IFERROR(MATCH(Tabelle11[[#Headers],[Louis_W]],Spielauswertung!$B604:$E604,0),0)=0,Z615,INDEX(Spielauswertung!$AB604:$AE604,MATCH(Tabelle11[[#Headers],[Louis_W]],Spielauswertung!$B604:$E604,0))+Z615)</f>
        <v>87.497452285475362</v>
      </c>
      <c r="AA616" s="1">
        <f>IF(IFERROR(MATCH(Tabelle11[[#Headers],[Lukas_L]],Spielauswertung!$B604:$E604,0),0)=0,AA615,INDEX(Spielauswertung!$AB604:$AE604,MATCH(Tabelle11[[#Headers],[Lukas_L]],Spielauswertung!$B604:$E604,0))+AA615)</f>
        <v>98.447931341404143</v>
      </c>
      <c r="AB616" s="1">
        <f>IF(IFERROR(MATCH(Tabelle11[[#Headers],[Marcin_S]],Spielauswertung!$B604:$E604,0),0)=0,AB615,INDEX(Spielauswertung!$AB604:$AE604,MATCH(Tabelle11[[#Headers],[Marcin_S]],Spielauswertung!$B604:$E604,0))+AB615)</f>
        <v>85.463329105556824</v>
      </c>
      <c r="AC616" s="1">
        <f>IF(IFERROR(MATCH(Tabelle11[[#Headers],[Marco_K]],Spielauswertung!$B604:$E604,0),0)=0,AC615,INDEX(Spielauswertung!$AB604:$AE604,MATCH(Tabelle11[[#Headers],[Marco_K]],Spielauswertung!$B604:$E604,0))+AC615)</f>
        <v>102.12169819441469</v>
      </c>
      <c r="AD616" s="1">
        <f>IF(IFERROR(MATCH(Tabelle11[[#Headers],[Marius_M]],Spielauswertung!$B604:$E604,0),0)=0,AD615,INDEX(Spielauswertung!$AB604:$AE604,MATCH(Tabelle11[[#Headers],[Marius_M]],Spielauswertung!$B604:$E604,0))+AD615)</f>
        <v>124.54012374585781</v>
      </c>
      <c r="AE616" s="1">
        <f>IF(IFERROR(MATCH(Tabelle11[[#Headers],[Marvin_W]],Spielauswertung!$B604:$E604,0),0)=0,AE615,INDEX(Spielauswertung!$AB604:$AE604,MATCH(Tabelle11[[#Headers],[Marvin_W]],Spielauswertung!$B604:$E604,0))+AE615)</f>
        <v>96.700266280577438</v>
      </c>
      <c r="AF616" s="1">
        <f>IF(IFERROR(MATCH(Tabelle11[[#Headers],[Matthias_H]],Spielauswertung!$B604:$E604,0),0)=0,AF615,INDEX(Spielauswertung!$AB604:$AE604,MATCH(Tabelle11[[#Headers],[Matthias_H]],Spielauswertung!$B604:$E604,0))+AF615)</f>
        <v>105.42130178599372</v>
      </c>
      <c r="AG616" s="1">
        <f>IF(IFERROR(MATCH(Tabelle11[[#Headers],[Michael_D]],Spielauswertung!$B604:$E604,0),0)=0,AG615,INDEX(Spielauswertung!$AB604:$AE604,MATCH(Tabelle11[[#Headers],[Michael_D]],Spielauswertung!$B604:$E604,0))+AG615)</f>
        <v>96.436276170375336</v>
      </c>
      <c r="AH616" s="1">
        <f>IF(IFERROR(MATCH(Tabelle11[[#Headers],[Patrick_S]],Spielauswertung!$B604:$E604,0),0)=0,AH615,INDEX(Spielauswertung!$AB604:$AE604,MATCH(Tabelle11[[#Headers],[Patrick_S]],Spielauswertung!$B604:$E604,0))+AH615)</f>
        <v>98.975330692053802</v>
      </c>
      <c r="AI616" s="1">
        <f>IF(IFERROR(MATCH(Tabelle11[[#Headers],[Rano_M]],Spielauswertung!$B604:$E604,0),0)=0,AI615,INDEX(Spielauswertung!$AB604:$AE604,MATCH(Tabelle11[[#Headers],[Rano_M]],Spielauswertung!$B604:$E604,0))+AI615)</f>
        <v>109.38890657420265</v>
      </c>
      <c r="AJ616" s="1">
        <f>IF(IFERROR(MATCH(Tabelle11[[#Headers],[Rene_N]],Spielauswertung!$B604:$E604,0),0)=0,AJ615,INDEX(Spielauswertung!$AB604:$AE604,MATCH(Tabelle11[[#Headers],[Rene_N]],Spielauswertung!$B604:$E604,0))+AJ615)</f>
        <v>101.06482124619033</v>
      </c>
      <c r="AK616" s="1">
        <f>IF(IFERROR(MATCH(Tabelle11[[#Headers],[Rene_P]],Spielauswertung!$B604:$E604,0),0)=0,AK615,INDEX(Spielauswertung!$AB604:$AE604,MATCH(Tabelle11[[#Headers],[Rene_P]],Spielauswertung!$B604:$E604,0))+AK615)</f>
        <v>88.762543186332877</v>
      </c>
      <c r="AL616" s="1">
        <f>IF(IFERROR(MATCH(Tabelle11[[#Headers],[Richard_D]],Spielauswertung!$B604:$E604,0),0)=0,AL615,INDEX(Spielauswertung!$AB604:$AE604,MATCH(Tabelle11[[#Headers],[Richard_D]],Spielauswertung!$B604:$E604,0))+AL615)</f>
        <v>107.23233592026223</v>
      </c>
      <c r="AM616" s="1">
        <f>IF(IFERROR(MATCH(Tabelle11[[#Headers],[Rodrigo_R]],Spielauswertung!$B604:$E604,0),0)=0,AM615,INDEX(Spielauswertung!$AB604:$AE604,MATCH(Tabelle11[[#Headers],[Rodrigo_R]],Spielauswertung!$B604:$E604,0))+AM615)</f>
        <v>116.7028707921346</v>
      </c>
      <c r="AN616" s="1">
        <f>IF(IFERROR(MATCH(Tabelle11[[#Headers],[Sebastian_A]],Spielauswertung!$B604:$E604,0),0)=0,AN615,INDEX(Spielauswertung!$AB604:$AE604,MATCH(Tabelle11[[#Headers],[Sebastian_A]],Spielauswertung!$B604:$E604,0))+AN615)</f>
        <v>102.89457418671324</v>
      </c>
      <c r="AO616" s="1">
        <f>IF(IFERROR(MATCH(Tabelle11[[#Headers],[Sebastian_St]],Spielauswertung!$B604:$E604,0),0)=0,AO615,INDEX(Spielauswertung!$AB604:$AE604,MATCH(Tabelle11[[#Headers],[Sebastian_St]],Spielauswertung!$B604:$E604,0))+AO615)</f>
        <v>97.749574367408982</v>
      </c>
      <c r="AP616" s="1">
        <f>IF(IFERROR(MATCH(Tabelle11[[#Headers],[Simon_U]],Spielauswertung!$B604:$E604,0),0)=0,AP615,INDEX(Spielauswertung!$AB604:$AE604,MATCH(Tabelle11[[#Headers],[Simon_U]],Spielauswertung!$B604:$E604,0))+AP615)</f>
        <v>99.623054841470903</v>
      </c>
      <c r="AQ616" s="1">
        <f>IF(IFERROR(MATCH(Tabelle11[[#Headers],[Steffen_R]],Spielauswertung!$B604:$E604,0),0)=0,AQ615,INDEX(Spielauswertung!$AB604:$AE604,MATCH(Tabelle11[[#Headers],[Steffen_R]],Spielauswertung!$B604:$E604,0))+AQ615)</f>
        <v>93.247497067190949</v>
      </c>
      <c r="AR616" s="1">
        <f>IF(IFERROR(MATCH(Tabelle11[[#Headers],[Tim_R]],Spielauswertung!$B604:$E604,0),0)=0,AR615,INDEX(Spielauswertung!$AB604:$AE604,MATCH(Tabelle11[[#Headers],[Tim_R]],Spielauswertung!$B604:$E604,0))+AR615)</f>
        <v>103.07503787023374</v>
      </c>
      <c r="AS616" s="1">
        <f>IF(IFERROR(MATCH(Tabelle11[[#Headers],[Tobias_S]],Spielauswertung!$B604:$E604,0),0)=0,AS615,INDEX(Spielauswertung!$AB604:$AE604,MATCH(Tabelle11[[#Headers],[Tobias_S]],Spielauswertung!$B604:$E604,0))+AS615)</f>
        <v>98.6003422659997</v>
      </c>
      <c r="AT616" s="1">
        <f>IF(IFERROR(MATCH(Tabelle11[[#Headers],[Tom_R]],Spielauswertung!$B604:$E604,0),0)=0,AT615,INDEX(Spielauswertung!$AB604:$AE604,MATCH(Tabelle11[[#Headers],[Tom_R]],Spielauswertung!$B604:$E604,0))+AT615)</f>
        <v>112.62344492949197</v>
      </c>
      <c r="AU616" s="1">
        <f>IF(IFERROR(MATCH(Tabelle11[[#Headers],[Ton_L]],Spielauswertung!$B604:$E604,0),0)=0,AU615,INDEX(Spielauswertung!$AB604:$AE604,MATCH(Tabelle11[[#Headers],[Ton_L]],Spielauswertung!$B604:$E604,0))+AU615)</f>
        <v>92.683083360025861</v>
      </c>
      <c r="AV616" s="1">
        <f>IF(IFERROR(MATCH(Tabelle11[[#Headers],[Yixin_G]],Spielauswertung!$B604:$E604,0),0)=0,AV615,INDEX(Spielauswertung!$AB604:$AE604,MATCH(Tabelle11[[#Headers],[Yixin_G]],Spielauswertung!$B604:$E604,0))+AV615)</f>
        <v>99.900323214082661</v>
      </c>
      <c r="AW616" s="1">
        <f>IF(IFERROR(MATCH(Tabelle11[[#Headers],[Spalte36]],Spielauswertung!$B604:$E604,0),0)=0,AW615,INDEX(Spielauswertung!$AB604:$AE604,MATCH(Tabelle11[[#Headers],[Spalte36]],Spielauswertung!$B604:$E604,0))+AW615)</f>
        <v>100</v>
      </c>
      <c r="AX616" s="1">
        <f>IF(IFERROR(MATCH(Tabelle11[[#Headers],[Spalte37]],Spielauswertung!$B604:$E604,0),0)=0,AX615,INDEX(Spielauswertung!$AB604:$AE604,MATCH(Tabelle11[[#Headers],[Spalte37]],Spielauswertung!$B604:$E604,0))+AX615)</f>
        <v>100</v>
      </c>
      <c r="AY616" s="1">
        <f>IF(IFERROR(MATCH(Tabelle11[[#Headers],[Spalte38]],Spielauswertung!$B604:$E604,0),0)=0,AY615,INDEX(Spielauswertung!$AB604:$AE604,MATCH(Tabelle11[[#Headers],[Spalte38]],Spielauswertung!$B604:$E604,0))+AY615)</f>
        <v>100</v>
      </c>
      <c r="AZ616" s="1">
        <f>IF(IFERROR(MATCH(Tabelle11[[#Headers],[Spalte39]],Spielauswertung!$B604:$E604,0),0)=0,AZ615,INDEX(Spielauswertung!$AB604:$AE604,MATCH(Tabelle11[[#Headers],[Spalte39]],Spielauswertung!$B604:$E604,0))+AZ615)</f>
        <v>100</v>
      </c>
      <c r="BA616" s="1">
        <f>IF(IFERROR(MATCH(Tabelle11[[#Headers],[Spalte40]],Spielauswertung!$B604:$E604,0),0)=0,BA615,INDEX(Spielauswertung!$AB604:$AE604,MATCH(Tabelle11[[#Headers],[Spalte40]],Spielauswertung!$B604:$E604,0))+BA615)</f>
        <v>100</v>
      </c>
      <c r="BB616" s="1">
        <f>IF(IFERROR(MATCH(Tabelle11[[#Headers],[Spalte41]],Spielauswertung!$B604:$E604,0),0)=0,BB615,INDEX(Spielauswertung!$AB604:$AE604,MATCH(Tabelle11[[#Headers],[Spalte41]],Spielauswertung!$B604:$E604,0))+BB615)</f>
        <v>100</v>
      </c>
      <c r="BC616" s="1">
        <f>IF(IFERROR(MATCH(Tabelle11[[#Headers],[Spalte42]],Spielauswertung!$B604:$E604,0),0)=0,BC615,INDEX(Spielauswertung!$AB604:$AE604,MATCH(Tabelle11[[#Headers],[Spalte42]],Spielauswertung!$B604:$E604,0))+BC615)</f>
        <v>100</v>
      </c>
      <c r="BD616" s="1">
        <f>IF(IFERROR(MATCH(Tabelle11[[#Headers],[Spalte43]],Spielauswertung!$B604:$E604,0),0)=0,BD615,INDEX(Spielauswertung!$AB604:$AE604,MATCH(Tabelle11[[#Headers],[Spalte43]],Spielauswertung!$B604:$E604,0))+BD615)</f>
        <v>100</v>
      </c>
      <c r="BE616" s="1">
        <f>IF(IFERROR(MATCH(Tabelle11[[#Headers],[Spalte44]],Spielauswertung!$B604:$E604,0),0)=0,BE615,INDEX(Spielauswertung!$AB604:$AE604,MATCH(Tabelle11[[#Headers],[Spalte44]],Spielauswertung!$B604:$E604,0))+BE615)</f>
        <v>100</v>
      </c>
      <c r="BF616" s="1">
        <f>IF(IFERROR(MATCH(Tabelle11[[#Headers],[Spalte45]],Spielauswertung!$B604:$E604,0),0)=0,BF615,INDEX(Spielauswertung!$AB604:$AE604,MATCH(Tabelle11[[#Headers],[Spalte45]],Spielauswertung!$B604:$E604,0))+BF615)</f>
        <v>100</v>
      </c>
      <c r="BG616" s="1">
        <f>IF(IFERROR(MATCH(Tabelle11[[#Headers],[Spalte46]],Spielauswertung!$B604:$E604,0),0)=0,BG615,INDEX(Spielauswertung!$AB604:$AE604,MATCH(Tabelle11[[#Headers],[Spalte46]],Spielauswertung!$B604:$E604,0))+BG615)</f>
        <v>100</v>
      </c>
      <c r="BH616" s="1">
        <f>IF(IFERROR(MATCH(Tabelle11[[#Headers],[Spalte47]],Spielauswertung!$B604:$E604,0),0)=0,BH615,INDEX(Spielauswertung!$AB604:$AE604,MATCH(Tabelle11[[#Headers],[Spalte47]],Spielauswertung!$B604:$E604,0))+BH615)</f>
        <v>100</v>
      </c>
    </row>
    <row r="617" spans="1:60" x14ac:dyDescent="0.25">
      <c r="A617">
        <f t="shared" si="10"/>
        <v>604</v>
      </c>
      <c r="B617" s="1">
        <f>IF(IFERROR(MATCH(Tabelle11[[#Headers],[Aleix_V]],Spielauswertung!$B605:$E605,0),0)=0,B616,INDEX(Spielauswertung!$AB605:$AE605,MATCH(Tabelle11[[#Headers],[Aleix_V]],Spielauswertung!$B605:$E605,0))+B616)</f>
        <v>102.47318019444646</v>
      </c>
      <c r="C617" s="1">
        <f>IF(IFERROR(MATCH(Tabelle11[[#Headers],[Andres_H]],Spielauswertung!$B605:$E605,0),0)=0,C616,INDEX(Spielauswertung!$AB605:$AE605,MATCH(Tabelle11[[#Headers],[Andres_H]],Spielauswertung!$B605:$E605,0))+C616)</f>
        <v>95.535732339111306</v>
      </c>
      <c r="D617" s="1">
        <f>IF(IFERROR(MATCH(Tabelle11[[#Headers],[Anton_K]],Spielauswertung!$B605:$E605,0),0)=0,D616,INDEX(Spielauswertung!$AB605:$AE605,MATCH(Tabelle11[[#Headers],[Anton_K]],Spielauswertung!$B605:$E605,0))+D616)</f>
        <v>99.287728777054667</v>
      </c>
      <c r="E617" s="1">
        <f>IF(IFERROR(MATCH(Tabelle11[[#Headers],[Bastian_G]],Spielauswertung!$B605:$E605,0),0)=0,E616,INDEX(Spielauswertung!$AB605:$AE605,MATCH(Tabelle11[[#Headers],[Bastian_G]],Spielauswertung!$B605:$E605,0))+E616)</f>
        <v>117.49978695184252</v>
      </c>
      <c r="F617" s="1">
        <f>IF(IFERROR(MATCH(Tabelle11[[#Headers],[Ben_S]],Spielauswertung!$B605:$E605,0),0)=0,F616,INDEX(Spielauswertung!$AB605:$AE605,MATCH(Tabelle11[[#Headers],[Ben_S]],Spielauswertung!$B605:$E605,0))+F616)</f>
        <v>95.932799101521084</v>
      </c>
      <c r="G617" s="1">
        <f>IF(IFERROR(MATCH(Tabelle11[[#Headers],[Benedikt_K]],Spielauswertung!$B605:$E605,0),0)=0,G616,INDEX(Spielauswertung!$AB605:$AE605,MATCH(Tabelle11[[#Headers],[Benedikt_K]],Spielauswertung!$B605:$E605,0))+G616)</f>
        <v>101.20264176422626</v>
      </c>
      <c r="H617" s="1">
        <f>IF(IFERROR(MATCH(Tabelle11[[#Headers],[Benedikt_R]],Spielauswertung!$B605:$E605,0),0)=0,H616,INDEX(Spielauswertung!$AB605:$AE605,MATCH(Tabelle11[[#Headers],[Benedikt_R]],Spielauswertung!$B605:$E605,0))+H616)</f>
        <v>102.6264770510757</v>
      </c>
      <c r="I617" s="1">
        <f>IF(IFERROR(MATCH(Tabelle11[[#Headers],[Carsten_H]],Spielauswertung!$B605:$E605,0),0)=0,I616,INDEX(Spielauswertung!$AB605:$AE605,MATCH(Tabelle11[[#Headers],[Carsten_H]],Spielauswertung!$B605:$E605,0))+I616)</f>
        <v>90.817185094326874</v>
      </c>
      <c r="J617" s="1">
        <f>IF(IFERROR(MATCH(Tabelle11[[#Headers],[Christoph_R]],Spielauswertung!$B605:$E605,0),0)=0,J616,INDEX(Spielauswertung!$AB605:$AE605,MATCH(Tabelle11[[#Headers],[Christoph_R]],Spielauswertung!$B605:$E605,0))+J616)</f>
        <v>109.73261611443155</v>
      </c>
      <c r="K617" s="1">
        <f>IF(IFERROR(MATCH(Tabelle11[[#Headers],[Claudius_J]],Spielauswertung!$B605:$E605,0),0)=0,K616,INDEX(Spielauswertung!$AB605:$AE605,MATCH(Tabelle11[[#Headers],[Claudius_J]],Spielauswertung!$B605:$E605,0))+K616)</f>
        <v>106.16590636000029</v>
      </c>
      <c r="L617" s="1">
        <f>IF(IFERROR(MATCH(Tabelle11[[#Headers],[Daniel_D]],Spielauswertung!$B605:$E605,0),0)=0,L616,INDEX(Spielauswertung!$AB605:$AE605,MATCH(Tabelle11[[#Headers],[Daniel_D]],Spielauswertung!$B605:$E605,0))+L616)</f>
        <v>99.990299180470089</v>
      </c>
      <c r="M617" s="1">
        <f>IF(IFERROR(MATCH(Tabelle11[[#Headers],[David_R]],Spielauswertung!$B605:$E605,0),0)=0,M616,INDEX(Spielauswertung!$AB605:$AE605,MATCH(Tabelle11[[#Headers],[David_R]],Spielauswertung!$B605:$E605,0))+M616)</f>
        <v>96.715943522481638</v>
      </c>
      <c r="N617" s="1">
        <f>IF(IFERROR(MATCH(Tabelle11[[#Headers],[Dennis_P]],Spielauswertung!$B605:$E605,0),0)=0,N616,INDEX(Spielauswertung!$AB605:$AE605,MATCH(Tabelle11[[#Headers],[Dennis_P]],Spielauswertung!$B605:$E605,0))+N616)</f>
        <v>100.04773223105254</v>
      </c>
      <c r="O617" s="1">
        <f>IF(IFERROR(MATCH(Tabelle11[[#Headers],[Dennis_R]],Spielauswertung!$B605:$E605,0),0)=0,O616,INDEX(Spielauswertung!$AB605:$AE605,MATCH(Tabelle11[[#Headers],[Dennis_R]],Spielauswertung!$B605:$E605,0))+O616)</f>
        <v>75.131680864937195</v>
      </c>
      <c r="P617" s="1">
        <f>IF(IFERROR(MATCH(Tabelle11[[#Headers],[Detlef_R]],Spielauswertung!$B605:$E605,0),0)=0,P616,INDEX(Spielauswertung!$AB605:$AE605,MATCH(Tabelle11[[#Headers],[Detlef_R]],Spielauswertung!$B605:$E605,0))+P616)</f>
        <v>87.984671797367014</v>
      </c>
      <c r="Q617" s="1">
        <f>IF(IFERROR(MATCH(Tabelle11[[#Headers],[Dmitrij_M]],Spielauswertung!$B605:$E605,0),0)=0,Q616,INDEX(Spielauswertung!$AB605:$AE605,MATCH(Tabelle11[[#Headers],[Dmitrij_M]],Spielauswertung!$B605:$E605,0))+Q616)</f>
        <v>100.69975721846207</v>
      </c>
      <c r="R617" s="1">
        <f>IF(IFERROR(MATCH(Tabelle11[[#Headers],[Fabian_M]],Spielauswertung!$B605:$E605,0),0)=0,R616,INDEX(Spielauswertung!$AB605:$AE605,MATCH(Tabelle11[[#Headers],[Fabian_M]],Spielauswertung!$B605:$E605,0))+R616)</f>
        <v>95.805387841610738</v>
      </c>
      <c r="S617" s="1">
        <f>IF(IFERROR(MATCH(Tabelle11[[#Headers],[Hannes_S]],Spielauswertung!$B605:$E605,0),0)=0,S616,INDEX(Spielauswertung!$AB605:$AE605,MATCH(Tabelle11[[#Headers],[Hannes_S]],Spielauswertung!$B605:$E605,0))+S616)</f>
        <v>104.83899184012799</v>
      </c>
      <c r="T617" s="1">
        <f>IF(IFERROR(MATCH(Tabelle11[[#Headers],[Jan_B]],Spielauswertung!$B605:$E605,0),0)=0,T616,INDEX(Spielauswertung!$AB605:$AE605,MATCH(Tabelle11[[#Headers],[Jan_B]],Spielauswertung!$B605:$E605,0))+T616)</f>
        <v>100.2794420429173</v>
      </c>
      <c r="U617" s="1">
        <f>IF(IFERROR(MATCH(Tabelle11[[#Headers],[Jan_Hendrik_B]],Spielauswertung!$B605:$E605,0),0)=0,U616,INDEX(Spielauswertung!$AB605:$AE605,MATCH(Tabelle11[[#Headers],[Jan_Hendrik_B]],Spielauswertung!$B605:$E605,0))+U616)</f>
        <v>100.75492416935522</v>
      </c>
      <c r="V617" s="1">
        <f>IF(IFERROR(MATCH(Tabelle11[[#Headers],[Jens_N]],Spielauswertung!$B605:$E605,0),0)=0,V616,INDEX(Spielauswertung!$AB605:$AE605,MATCH(Tabelle11[[#Headers],[Jens_N]],Spielauswertung!$B605:$E605,0))+V616)</f>
        <v>99.643534710196832</v>
      </c>
      <c r="W617" s="1">
        <f>IF(IFERROR(MATCH(Tabelle11[[#Headers],[Johannes_S]],Spielauswertung!$B605:$E605,0),0)=0,W616,INDEX(Spielauswertung!$AB605:$AE605,MATCH(Tabelle11[[#Headers],[Johannes_S]],Spielauswertung!$B605:$E605,0))+W616)</f>
        <v>102.20284750979505</v>
      </c>
      <c r="X617" s="1">
        <f>IF(IFERROR(MATCH(Tabelle11[[#Headers],[Jonathan_F]],Spielauswertung!$B605:$E605,0),0)=0,X616,INDEX(Spielauswertung!$AB605:$AE605,MATCH(Tabelle11[[#Headers],[Jonathan_F]],Spielauswertung!$B605:$E605,0))+X616)</f>
        <v>98.938308797866256</v>
      </c>
      <c r="Y617" s="1">
        <f>IF(IFERROR(MATCH(Tabelle11[[#Headers],[Julius_P]],Spielauswertung!$B605:$E605,0),0)=0,Y616,INDEX(Spielauswertung!$AB605:$AE605,MATCH(Tabelle11[[#Headers],[Julius_P]],Spielauswertung!$B605:$E605,0))+Y616)</f>
        <v>96.540305101873642</v>
      </c>
      <c r="Z617" s="1">
        <f>IF(IFERROR(MATCH(Tabelle11[[#Headers],[Louis_W]],Spielauswertung!$B605:$E605,0),0)=0,Z616,INDEX(Spielauswertung!$AB605:$AE605,MATCH(Tabelle11[[#Headers],[Louis_W]],Spielauswertung!$B605:$E605,0))+Z616)</f>
        <v>87.497452285475362</v>
      </c>
      <c r="AA617" s="1">
        <f>IF(IFERROR(MATCH(Tabelle11[[#Headers],[Lukas_L]],Spielauswertung!$B605:$E605,0),0)=0,AA616,INDEX(Spielauswertung!$AB605:$AE605,MATCH(Tabelle11[[#Headers],[Lukas_L]],Spielauswertung!$B605:$E605,0))+AA616)</f>
        <v>98.447931341404143</v>
      </c>
      <c r="AB617" s="1">
        <f>IF(IFERROR(MATCH(Tabelle11[[#Headers],[Marcin_S]],Spielauswertung!$B605:$E605,0),0)=0,AB616,INDEX(Spielauswertung!$AB605:$AE605,MATCH(Tabelle11[[#Headers],[Marcin_S]],Spielauswertung!$B605:$E605,0))+AB616)</f>
        <v>85.463329105556824</v>
      </c>
      <c r="AC617" s="1">
        <f>IF(IFERROR(MATCH(Tabelle11[[#Headers],[Marco_K]],Spielauswertung!$B605:$E605,0),0)=0,AC616,INDEX(Spielauswertung!$AB605:$AE605,MATCH(Tabelle11[[#Headers],[Marco_K]],Spielauswertung!$B605:$E605,0))+AC616)</f>
        <v>102.12169819441469</v>
      </c>
      <c r="AD617" s="1">
        <f>IF(IFERROR(MATCH(Tabelle11[[#Headers],[Marius_M]],Spielauswertung!$B605:$E605,0),0)=0,AD616,INDEX(Spielauswertung!$AB605:$AE605,MATCH(Tabelle11[[#Headers],[Marius_M]],Spielauswertung!$B605:$E605,0))+AD616)</f>
        <v>124.54012374585781</v>
      </c>
      <c r="AE617" s="1">
        <f>IF(IFERROR(MATCH(Tabelle11[[#Headers],[Marvin_W]],Spielauswertung!$B605:$E605,0),0)=0,AE616,INDEX(Spielauswertung!$AB605:$AE605,MATCH(Tabelle11[[#Headers],[Marvin_W]],Spielauswertung!$B605:$E605,0))+AE616)</f>
        <v>96.700266280577438</v>
      </c>
      <c r="AF617" s="1">
        <f>IF(IFERROR(MATCH(Tabelle11[[#Headers],[Matthias_H]],Spielauswertung!$B605:$E605,0),0)=0,AF616,INDEX(Spielauswertung!$AB605:$AE605,MATCH(Tabelle11[[#Headers],[Matthias_H]],Spielauswertung!$B605:$E605,0))+AF616)</f>
        <v>105.42130178599372</v>
      </c>
      <c r="AG617" s="1">
        <f>IF(IFERROR(MATCH(Tabelle11[[#Headers],[Michael_D]],Spielauswertung!$B605:$E605,0),0)=0,AG616,INDEX(Spielauswertung!$AB605:$AE605,MATCH(Tabelle11[[#Headers],[Michael_D]],Spielauswertung!$B605:$E605,0))+AG616)</f>
        <v>96.436276170375336</v>
      </c>
      <c r="AH617" s="1">
        <f>IF(IFERROR(MATCH(Tabelle11[[#Headers],[Patrick_S]],Spielauswertung!$B605:$E605,0),0)=0,AH616,INDEX(Spielauswertung!$AB605:$AE605,MATCH(Tabelle11[[#Headers],[Patrick_S]],Spielauswertung!$B605:$E605,0))+AH616)</f>
        <v>98.975330692053802</v>
      </c>
      <c r="AI617" s="1">
        <f>IF(IFERROR(MATCH(Tabelle11[[#Headers],[Rano_M]],Spielauswertung!$B605:$E605,0),0)=0,AI616,INDEX(Spielauswertung!$AB605:$AE605,MATCH(Tabelle11[[#Headers],[Rano_M]],Spielauswertung!$B605:$E605,0))+AI616)</f>
        <v>109.38890657420265</v>
      </c>
      <c r="AJ617" s="1">
        <f>IF(IFERROR(MATCH(Tabelle11[[#Headers],[Rene_N]],Spielauswertung!$B605:$E605,0),0)=0,AJ616,INDEX(Spielauswertung!$AB605:$AE605,MATCH(Tabelle11[[#Headers],[Rene_N]],Spielauswertung!$B605:$E605,0))+AJ616)</f>
        <v>101.06482124619033</v>
      </c>
      <c r="AK617" s="1">
        <f>IF(IFERROR(MATCH(Tabelle11[[#Headers],[Rene_P]],Spielauswertung!$B605:$E605,0),0)=0,AK616,INDEX(Spielauswertung!$AB605:$AE605,MATCH(Tabelle11[[#Headers],[Rene_P]],Spielauswertung!$B605:$E605,0))+AK616)</f>
        <v>88.762543186332877</v>
      </c>
      <c r="AL617" s="1">
        <f>IF(IFERROR(MATCH(Tabelle11[[#Headers],[Richard_D]],Spielauswertung!$B605:$E605,0),0)=0,AL616,INDEX(Spielauswertung!$AB605:$AE605,MATCH(Tabelle11[[#Headers],[Richard_D]],Spielauswertung!$B605:$E605,0))+AL616)</f>
        <v>107.23233592026223</v>
      </c>
      <c r="AM617" s="1">
        <f>IF(IFERROR(MATCH(Tabelle11[[#Headers],[Rodrigo_R]],Spielauswertung!$B605:$E605,0),0)=0,AM616,INDEX(Spielauswertung!$AB605:$AE605,MATCH(Tabelle11[[#Headers],[Rodrigo_R]],Spielauswertung!$B605:$E605,0))+AM616)</f>
        <v>116.7028707921346</v>
      </c>
      <c r="AN617" s="1">
        <f>IF(IFERROR(MATCH(Tabelle11[[#Headers],[Sebastian_A]],Spielauswertung!$B605:$E605,0),0)=0,AN616,INDEX(Spielauswertung!$AB605:$AE605,MATCH(Tabelle11[[#Headers],[Sebastian_A]],Spielauswertung!$B605:$E605,0))+AN616)</f>
        <v>102.89457418671324</v>
      </c>
      <c r="AO617" s="1">
        <f>IF(IFERROR(MATCH(Tabelle11[[#Headers],[Sebastian_St]],Spielauswertung!$B605:$E605,0),0)=0,AO616,INDEX(Spielauswertung!$AB605:$AE605,MATCH(Tabelle11[[#Headers],[Sebastian_St]],Spielauswertung!$B605:$E605,0))+AO616)</f>
        <v>97.749574367408982</v>
      </c>
      <c r="AP617" s="1">
        <f>IF(IFERROR(MATCH(Tabelle11[[#Headers],[Simon_U]],Spielauswertung!$B605:$E605,0),0)=0,AP616,INDEX(Spielauswertung!$AB605:$AE605,MATCH(Tabelle11[[#Headers],[Simon_U]],Spielauswertung!$B605:$E605,0))+AP616)</f>
        <v>99.623054841470903</v>
      </c>
      <c r="AQ617" s="1">
        <f>IF(IFERROR(MATCH(Tabelle11[[#Headers],[Steffen_R]],Spielauswertung!$B605:$E605,0),0)=0,AQ616,INDEX(Spielauswertung!$AB605:$AE605,MATCH(Tabelle11[[#Headers],[Steffen_R]],Spielauswertung!$B605:$E605,0))+AQ616)</f>
        <v>93.247497067190949</v>
      </c>
      <c r="AR617" s="1">
        <f>IF(IFERROR(MATCH(Tabelle11[[#Headers],[Tim_R]],Spielauswertung!$B605:$E605,0),0)=0,AR616,INDEX(Spielauswertung!$AB605:$AE605,MATCH(Tabelle11[[#Headers],[Tim_R]],Spielauswertung!$B605:$E605,0))+AR616)</f>
        <v>103.07503787023374</v>
      </c>
      <c r="AS617" s="1">
        <f>IF(IFERROR(MATCH(Tabelle11[[#Headers],[Tobias_S]],Spielauswertung!$B605:$E605,0),0)=0,AS616,INDEX(Spielauswertung!$AB605:$AE605,MATCH(Tabelle11[[#Headers],[Tobias_S]],Spielauswertung!$B605:$E605,0))+AS616)</f>
        <v>98.6003422659997</v>
      </c>
      <c r="AT617" s="1">
        <f>IF(IFERROR(MATCH(Tabelle11[[#Headers],[Tom_R]],Spielauswertung!$B605:$E605,0),0)=0,AT616,INDEX(Spielauswertung!$AB605:$AE605,MATCH(Tabelle11[[#Headers],[Tom_R]],Spielauswertung!$B605:$E605,0))+AT616)</f>
        <v>112.62344492949197</v>
      </c>
      <c r="AU617" s="1">
        <f>IF(IFERROR(MATCH(Tabelle11[[#Headers],[Ton_L]],Spielauswertung!$B605:$E605,0),0)=0,AU616,INDEX(Spielauswertung!$AB605:$AE605,MATCH(Tabelle11[[#Headers],[Ton_L]],Spielauswertung!$B605:$E605,0))+AU616)</f>
        <v>92.683083360025861</v>
      </c>
      <c r="AV617" s="1">
        <f>IF(IFERROR(MATCH(Tabelle11[[#Headers],[Yixin_G]],Spielauswertung!$B605:$E605,0),0)=0,AV616,INDEX(Spielauswertung!$AB605:$AE605,MATCH(Tabelle11[[#Headers],[Yixin_G]],Spielauswertung!$B605:$E605,0))+AV616)</f>
        <v>99.900323214082661</v>
      </c>
      <c r="AW617" s="1">
        <f>IF(IFERROR(MATCH(Tabelle11[[#Headers],[Spalte36]],Spielauswertung!$B605:$E605,0),0)=0,AW616,INDEX(Spielauswertung!$AB605:$AE605,MATCH(Tabelle11[[#Headers],[Spalte36]],Spielauswertung!$B605:$E605,0))+AW616)</f>
        <v>100</v>
      </c>
      <c r="AX617" s="1">
        <f>IF(IFERROR(MATCH(Tabelle11[[#Headers],[Spalte37]],Spielauswertung!$B605:$E605,0),0)=0,AX616,INDEX(Spielauswertung!$AB605:$AE605,MATCH(Tabelle11[[#Headers],[Spalte37]],Spielauswertung!$B605:$E605,0))+AX616)</f>
        <v>100</v>
      </c>
      <c r="AY617" s="1">
        <f>IF(IFERROR(MATCH(Tabelle11[[#Headers],[Spalte38]],Spielauswertung!$B605:$E605,0),0)=0,AY616,INDEX(Spielauswertung!$AB605:$AE605,MATCH(Tabelle11[[#Headers],[Spalte38]],Spielauswertung!$B605:$E605,0))+AY616)</f>
        <v>100</v>
      </c>
      <c r="AZ617" s="1">
        <f>IF(IFERROR(MATCH(Tabelle11[[#Headers],[Spalte39]],Spielauswertung!$B605:$E605,0),0)=0,AZ616,INDEX(Spielauswertung!$AB605:$AE605,MATCH(Tabelle11[[#Headers],[Spalte39]],Spielauswertung!$B605:$E605,0))+AZ616)</f>
        <v>100</v>
      </c>
      <c r="BA617" s="1">
        <f>IF(IFERROR(MATCH(Tabelle11[[#Headers],[Spalte40]],Spielauswertung!$B605:$E605,0),0)=0,BA616,INDEX(Spielauswertung!$AB605:$AE605,MATCH(Tabelle11[[#Headers],[Spalte40]],Spielauswertung!$B605:$E605,0))+BA616)</f>
        <v>100</v>
      </c>
      <c r="BB617" s="1">
        <f>IF(IFERROR(MATCH(Tabelle11[[#Headers],[Spalte41]],Spielauswertung!$B605:$E605,0),0)=0,BB616,INDEX(Spielauswertung!$AB605:$AE605,MATCH(Tabelle11[[#Headers],[Spalte41]],Spielauswertung!$B605:$E605,0))+BB616)</f>
        <v>100</v>
      </c>
      <c r="BC617" s="1">
        <f>IF(IFERROR(MATCH(Tabelle11[[#Headers],[Spalte42]],Spielauswertung!$B605:$E605,0),0)=0,BC616,INDEX(Spielauswertung!$AB605:$AE605,MATCH(Tabelle11[[#Headers],[Spalte42]],Spielauswertung!$B605:$E605,0))+BC616)</f>
        <v>100</v>
      </c>
      <c r="BD617" s="1">
        <f>IF(IFERROR(MATCH(Tabelle11[[#Headers],[Spalte43]],Spielauswertung!$B605:$E605,0),0)=0,BD616,INDEX(Spielauswertung!$AB605:$AE605,MATCH(Tabelle11[[#Headers],[Spalte43]],Spielauswertung!$B605:$E605,0))+BD616)</f>
        <v>100</v>
      </c>
      <c r="BE617" s="1">
        <f>IF(IFERROR(MATCH(Tabelle11[[#Headers],[Spalte44]],Spielauswertung!$B605:$E605,0),0)=0,BE616,INDEX(Spielauswertung!$AB605:$AE605,MATCH(Tabelle11[[#Headers],[Spalte44]],Spielauswertung!$B605:$E605,0))+BE616)</f>
        <v>100</v>
      </c>
      <c r="BF617" s="1">
        <f>IF(IFERROR(MATCH(Tabelle11[[#Headers],[Spalte45]],Spielauswertung!$B605:$E605,0),0)=0,BF616,INDEX(Spielauswertung!$AB605:$AE605,MATCH(Tabelle11[[#Headers],[Spalte45]],Spielauswertung!$B605:$E605,0))+BF616)</f>
        <v>100</v>
      </c>
      <c r="BG617" s="1">
        <f>IF(IFERROR(MATCH(Tabelle11[[#Headers],[Spalte46]],Spielauswertung!$B605:$E605,0),0)=0,BG616,INDEX(Spielauswertung!$AB605:$AE605,MATCH(Tabelle11[[#Headers],[Spalte46]],Spielauswertung!$B605:$E605,0))+BG616)</f>
        <v>100</v>
      </c>
      <c r="BH617" s="1">
        <f>IF(IFERROR(MATCH(Tabelle11[[#Headers],[Spalte47]],Spielauswertung!$B605:$E605,0),0)=0,BH616,INDEX(Spielauswertung!$AB605:$AE605,MATCH(Tabelle11[[#Headers],[Spalte47]],Spielauswertung!$B605:$E605,0))+BH616)</f>
        <v>100</v>
      </c>
    </row>
    <row r="618" spans="1:60" x14ac:dyDescent="0.25">
      <c r="A618">
        <f t="shared" si="10"/>
        <v>605</v>
      </c>
      <c r="B618" s="1">
        <f>IF(IFERROR(MATCH(Tabelle11[[#Headers],[Aleix_V]],Spielauswertung!$B606:$E606,0),0)=0,B617,INDEX(Spielauswertung!$AB606:$AE606,MATCH(Tabelle11[[#Headers],[Aleix_V]],Spielauswertung!$B606:$E606,0))+B617)</f>
        <v>102.47318019444646</v>
      </c>
      <c r="C618" s="1">
        <f>IF(IFERROR(MATCH(Tabelle11[[#Headers],[Andres_H]],Spielauswertung!$B606:$E606,0),0)=0,C617,INDEX(Spielauswertung!$AB606:$AE606,MATCH(Tabelle11[[#Headers],[Andres_H]],Spielauswertung!$B606:$E606,0))+C617)</f>
        <v>95.535732339111306</v>
      </c>
      <c r="D618" s="1">
        <f>IF(IFERROR(MATCH(Tabelle11[[#Headers],[Anton_K]],Spielauswertung!$B606:$E606,0),0)=0,D617,INDEX(Spielauswertung!$AB606:$AE606,MATCH(Tabelle11[[#Headers],[Anton_K]],Spielauswertung!$B606:$E606,0))+D617)</f>
        <v>99.287728777054667</v>
      </c>
      <c r="E618" s="1">
        <f>IF(IFERROR(MATCH(Tabelle11[[#Headers],[Bastian_G]],Spielauswertung!$B606:$E606,0),0)=0,E617,INDEX(Spielauswertung!$AB606:$AE606,MATCH(Tabelle11[[#Headers],[Bastian_G]],Spielauswertung!$B606:$E606,0))+E617)</f>
        <v>117.49978695184252</v>
      </c>
      <c r="F618" s="1">
        <f>IF(IFERROR(MATCH(Tabelle11[[#Headers],[Ben_S]],Spielauswertung!$B606:$E606,0),0)=0,F617,INDEX(Spielauswertung!$AB606:$AE606,MATCH(Tabelle11[[#Headers],[Ben_S]],Spielauswertung!$B606:$E606,0))+F617)</f>
        <v>95.932799101521084</v>
      </c>
      <c r="G618" s="1">
        <f>IF(IFERROR(MATCH(Tabelle11[[#Headers],[Benedikt_K]],Spielauswertung!$B606:$E606,0),0)=0,G617,INDEX(Spielauswertung!$AB606:$AE606,MATCH(Tabelle11[[#Headers],[Benedikt_K]],Spielauswertung!$B606:$E606,0))+G617)</f>
        <v>101.20264176422626</v>
      </c>
      <c r="H618" s="1">
        <f>IF(IFERROR(MATCH(Tabelle11[[#Headers],[Benedikt_R]],Spielauswertung!$B606:$E606,0),0)=0,H617,INDEX(Spielauswertung!$AB606:$AE606,MATCH(Tabelle11[[#Headers],[Benedikt_R]],Spielauswertung!$B606:$E606,0))+H617)</f>
        <v>102.6264770510757</v>
      </c>
      <c r="I618" s="1">
        <f>IF(IFERROR(MATCH(Tabelle11[[#Headers],[Carsten_H]],Spielauswertung!$B606:$E606,0),0)=0,I617,INDEX(Spielauswertung!$AB606:$AE606,MATCH(Tabelle11[[#Headers],[Carsten_H]],Spielauswertung!$B606:$E606,0))+I617)</f>
        <v>90.817185094326874</v>
      </c>
      <c r="J618" s="1">
        <f>IF(IFERROR(MATCH(Tabelle11[[#Headers],[Christoph_R]],Spielauswertung!$B606:$E606,0),0)=0,J617,INDEX(Spielauswertung!$AB606:$AE606,MATCH(Tabelle11[[#Headers],[Christoph_R]],Spielauswertung!$B606:$E606,0))+J617)</f>
        <v>109.73261611443155</v>
      </c>
      <c r="K618" s="1">
        <f>IF(IFERROR(MATCH(Tabelle11[[#Headers],[Claudius_J]],Spielauswertung!$B606:$E606,0),0)=0,K617,INDEX(Spielauswertung!$AB606:$AE606,MATCH(Tabelle11[[#Headers],[Claudius_J]],Spielauswertung!$B606:$E606,0))+K617)</f>
        <v>106.16590636000029</v>
      </c>
      <c r="L618" s="1">
        <f>IF(IFERROR(MATCH(Tabelle11[[#Headers],[Daniel_D]],Spielauswertung!$B606:$E606,0),0)=0,L617,INDEX(Spielauswertung!$AB606:$AE606,MATCH(Tabelle11[[#Headers],[Daniel_D]],Spielauswertung!$B606:$E606,0))+L617)</f>
        <v>99.990299180470089</v>
      </c>
      <c r="M618" s="1">
        <f>IF(IFERROR(MATCH(Tabelle11[[#Headers],[David_R]],Spielauswertung!$B606:$E606,0),0)=0,M617,INDEX(Spielauswertung!$AB606:$AE606,MATCH(Tabelle11[[#Headers],[David_R]],Spielauswertung!$B606:$E606,0))+M617)</f>
        <v>96.715943522481638</v>
      </c>
      <c r="N618" s="1">
        <f>IF(IFERROR(MATCH(Tabelle11[[#Headers],[Dennis_P]],Spielauswertung!$B606:$E606,0),0)=0,N617,INDEX(Spielauswertung!$AB606:$AE606,MATCH(Tabelle11[[#Headers],[Dennis_P]],Spielauswertung!$B606:$E606,0))+N617)</f>
        <v>100.04773223105254</v>
      </c>
      <c r="O618" s="1">
        <f>IF(IFERROR(MATCH(Tabelle11[[#Headers],[Dennis_R]],Spielauswertung!$B606:$E606,0),0)=0,O617,INDEX(Spielauswertung!$AB606:$AE606,MATCH(Tabelle11[[#Headers],[Dennis_R]],Spielauswertung!$B606:$E606,0))+O617)</f>
        <v>75.131680864937195</v>
      </c>
      <c r="P618" s="1">
        <f>IF(IFERROR(MATCH(Tabelle11[[#Headers],[Detlef_R]],Spielauswertung!$B606:$E606,0),0)=0,P617,INDEX(Spielauswertung!$AB606:$AE606,MATCH(Tabelle11[[#Headers],[Detlef_R]],Spielauswertung!$B606:$E606,0))+P617)</f>
        <v>87.984671797367014</v>
      </c>
      <c r="Q618" s="1">
        <f>IF(IFERROR(MATCH(Tabelle11[[#Headers],[Dmitrij_M]],Spielauswertung!$B606:$E606,0),0)=0,Q617,INDEX(Spielauswertung!$AB606:$AE606,MATCH(Tabelle11[[#Headers],[Dmitrij_M]],Spielauswertung!$B606:$E606,0))+Q617)</f>
        <v>100.69975721846207</v>
      </c>
      <c r="R618" s="1">
        <f>IF(IFERROR(MATCH(Tabelle11[[#Headers],[Fabian_M]],Spielauswertung!$B606:$E606,0),0)=0,R617,INDEX(Spielauswertung!$AB606:$AE606,MATCH(Tabelle11[[#Headers],[Fabian_M]],Spielauswertung!$B606:$E606,0))+R617)</f>
        <v>95.805387841610738</v>
      </c>
      <c r="S618" s="1">
        <f>IF(IFERROR(MATCH(Tabelle11[[#Headers],[Hannes_S]],Spielauswertung!$B606:$E606,0),0)=0,S617,INDEX(Spielauswertung!$AB606:$AE606,MATCH(Tabelle11[[#Headers],[Hannes_S]],Spielauswertung!$B606:$E606,0))+S617)</f>
        <v>104.83899184012799</v>
      </c>
      <c r="T618" s="1">
        <f>IF(IFERROR(MATCH(Tabelle11[[#Headers],[Jan_B]],Spielauswertung!$B606:$E606,0),0)=0,T617,INDEX(Spielauswertung!$AB606:$AE606,MATCH(Tabelle11[[#Headers],[Jan_B]],Spielauswertung!$B606:$E606,0))+T617)</f>
        <v>100.2794420429173</v>
      </c>
      <c r="U618" s="1">
        <f>IF(IFERROR(MATCH(Tabelle11[[#Headers],[Jan_Hendrik_B]],Spielauswertung!$B606:$E606,0),0)=0,U617,INDEX(Spielauswertung!$AB606:$AE606,MATCH(Tabelle11[[#Headers],[Jan_Hendrik_B]],Spielauswertung!$B606:$E606,0))+U617)</f>
        <v>100.75492416935522</v>
      </c>
      <c r="V618" s="1">
        <f>IF(IFERROR(MATCH(Tabelle11[[#Headers],[Jens_N]],Spielauswertung!$B606:$E606,0),0)=0,V617,INDEX(Spielauswertung!$AB606:$AE606,MATCH(Tabelle11[[#Headers],[Jens_N]],Spielauswertung!$B606:$E606,0))+V617)</f>
        <v>99.643534710196832</v>
      </c>
      <c r="W618" s="1">
        <f>IF(IFERROR(MATCH(Tabelle11[[#Headers],[Johannes_S]],Spielauswertung!$B606:$E606,0),0)=0,W617,INDEX(Spielauswertung!$AB606:$AE606,MATCH(Tabelle11[[#Headers],[Johannes_S]],Spielauswertung!$B606:$E606,0))+W617)</f>
        <v>102.20284750979505</v>
      </c>
      <c r="X618" s="1">
        <f>IF(IFERROR(MATCH(Tabelle11[[#Headers],[Jonathan_F]],Spielauswertung!$B606:$E606,0),0)=0,X617,INDEX(Spielauswertung!$AB606:$AE606,MATCH(Tabelle11[[#Headers],[Jonathan_F]],Spielauswertung!$B606:$E606,0))+X617)</f>
        <v>98.938308797866256</v>
      </c>
      <c r="Y618" s="1">
        <f>IF(IFERROR(MATCH(Tabelle11[[#Headers],[Julius_P]],Spielauswertung!$B606:$E606,0),0)=0,Y617,INDEX(Spielauswertung!$AB606:$AE606,MATCH(Tabelle11[[#Headers],[Julius_P]],Spielauswertung!$B606:$E606,0))+Y617)</f>
        <v>96.540305101873642</v>
      </c>
      <c r="Z618" s="1">
        <f>IF(IFERROR(MATCH(Tabelle11[[#Headers],[Louis_W]],Spielauswertung!$B606:$E606,0),0)=0,Z617,INDEX(Spielauswertung!$AB606:$AE606,MATCH(Tabelle11[[#Headers],[Louis_W]],Spielauswertung!$B606:$E606,0))+Z617)</f>
        <v>87.497452285475362</v>
      </c>
      <c r="AA618" s="1">
        <f>IF(IFERROR(MATCH(Tabelle11[[#Headers],[Lukas_L]],Spielauswertung!$B606:$E606,0),0)=0,AA617,INDEX(Spielauswertung!$AB606:$AE606,MATCH(Tabelle11[[#Headers],[Lukas_L]],Spielauswertung!$B606:$E606,0))+AA617)</f>
        <v>98.447931341404143</v>
      </c>
      <c r="AB618" s="1">
        <f>IF(IFERROR(MATCH(Tabelle11[[#Headers],[Marcin_S]],Spielauswertung!$B606:$E606,0),0)=0,AB617,INDEX(Spielauswertung!$AB606:$AE606,MATCH(Tabelle11[[#Headers],[Marcin_S]],Spielauswertung!$B606:$E606,0))+AB617)</f>
        <v>85.463329105556824</v>
      </c>
      <c r="AC618" s="1">
        <f>IF(IFERROR(MATCH(Tabelle11[[#Headers],[Marco_K]],Spielauswertung!$B606:$E606,0),0)=0,AC617,INDEX(Spielauswertung!$AB606:$AE606,MATCH(Tabelle11[[#Headers],[Marco_K]],Spielauswertung!$B606:$E606,0))+AC617)</f>
        <v>102.12169819441469</v>
      </c>
      <c r="AD618" s="1">
        <f>IF(IFERROR(MATCH(Tabelle11[[#Headers],[Marius_M]],Spielauswertung!$B606:$E606,0),0)=0,AD617,INDEX(Spielauswertung!$AB606:$AE606,MATCH(Tabelle11[[#Headers],[Marius_M]],Spielauswertung!$B606:$E606,0))+AD617)</f>
        <v>124.54012374585781</v>
      </c>
      <c r="AE618" s="1">
        <f>IF(IFERROR(MATCH(Tabelle11[[#Headers],[Marvin_W]],Spielauswertung!$B606:$E606,0),0)=0,AE617,INDEX(Spielauswertung!$AB606:$AE606,MATCH(Tabelle11[[#Headers],[Marvin_W]],Spielauswertung!$B606:$E606,0))+AE617)</f>
        <v>96.700266280577438</v>
      </c>
      <c r="AF618" s="1">
        <f>IF(IFERROR(MATCH(Tabelle11[[#Headers],[Matthias_H]],Spielauswertung!$B606:$E606,0),0)=0,AF617,INDEX(Spielauswertung!$AB606:$AE606,MATCH(Tabelle11[[#Headers],[Matthias_H]],Spielauswertung!$B606:$E606,0))+AF617)</f>
        <v>105.42130178599372</v>
      </c>
      <c r="AG618" s="1">
        <f>IF(IFERROR(MATCH(Tabelle11[[#Headers],[Michael_D]],Spielauswertung!$B606:$E606,0),0)=0,AG617,INDEX(Spielauswertung!$AB606:$AE606,MATCH(Tabelle11[[#Headers],[Michael_D]],Spielauswertung!$B606:$E606,0))+AG617)</f>
        <v>96.436276170375336</v>
      </c>
      <c r="AH618" s="1">
        <f>IF(IFERROR(MATCH(Tabelle11[[#Headers],[Patrick_S]],Spielauswertung!$B606:$E606,0),0)=0,AH617,INDEX(Spielauswertung!$AB606:$AE606,MATCH(Tabelle11[[#Headers],[Patrick_S]],Spielauswertung!$B606:$E606,0))+AH617)</f>
        <v>98.975330692053802</v>
      </c>
      <c r="AI618" s="1">
        <f>IF(IFERROR(MATCH(Tabelle11[[#Headers],[Rano_M]],Spielauswertung!$B606:$E606,0),0)=0,AI617,INDEX(Spielauswertung!$AB606:$AE606,MATCH(Tabelle11[[#Headers],[Rano_M]],Spielauswertung!$B606:$E606,0))+AI617)</f>
        <v>109.38890657420265</v>
      </c>
      <c r="AJ618" s="1">
        <f>IF(IFERROR(MATCH(Tabelle11[[#Headers],[Rene_N]],Spielauswertung!$B606:$E606,0),0)=0,AJ617,INDEX(Spielauswertung!$AB606:$AE606,MATCH(Tabelle11[[#Headers],[Rene_N]],Spielauswertung!$B606:$E606,0))+AJ617)</f>
        <v>101.06482124619033</v>
      </c>
      <c r="AK618" s="1">
        <f>IF(IFERROR(MATCH(Tabelle11[[#Headers],[Rene_P]],Spielauswertung!$B606:$E606,0),0)=0,AK617,INDEX(Spielauswertung!$AB606:$AE606,MATCH(Tabelle11[[#Headers],[Rene_P]],Spielauswertung!$B606:$E606,0))+AK617)</f>
        <v>88.762543186332877</v>
      </c>
      <c r="AL618" s="1">
        <f>IF(IFERROR(MATCH(Tabelle11[[#Headers],[Richard_D]],Spielauswertung!$B606:$E606,0),0)=0,AL617,INDEX(Spielauswertung!$AB606:$AE606,MATCH(Tabelle11[[#Headers],[Richard_D]],Spielauswertung!$B606:$E606,0))+AL617)</f>
        <v>107.23233592026223</v>
      </c>
      <c r="AM618" s="1">
        <f>IF(IFERROR(MATCH(Tabelle11[[#Headers],[Rodrigo_R]],Spielauswertung!$B606:$E606,0),0)=0,AM617,INDEX(Spielauswertung!$AB606:$AE606,MATCH(Tabelle11[[#Headers],[Rodrigo_R]],Spielauswertung!$B606:$E606,0))+AM617)</f>
        <v>116.7028707921346</v>
      </c>
      <c r="AN618" s="1">
        <f>IF(IFERROR(MATCH(Tabelle11[[#Headers],[Sebastian_A]],Spielauswertung!$B606:$E606,0),0)=0,AN617,INDEX(Spielauswertung!$AB606:$AE606,MATCH(Tabelle11[[#Headers],[Sebastian_A]],Spielauswertung!$B606:$E606,0))+AN617)</f>
        <v>102.89457418671324</v>
      </c>
      <c r="AO618" s="1">
        <f>IF(IFERROR(MATCH(Tabelle11[[#Headers],[Sebastian_St]],Spielauswertung!$B606:$E606,0),0)=0,AO617,INDEX(Spielauswertung!$AB606:$AE606,MATCH(Tabelle11[[#Headers],[Sebastian_St]],Spielauswertung!$B606:$E606,0))+AO617)</f>
        <v>97.749574367408982</v>
      </c>
      <c r="AP618" s="1">
        <f>IF(IFERROR(MATCH(Tabelle11[[#Headers],[Simon_U]],Spielauswertung!$B606:$E606,0),0)=0,AP617,INDEX(Spielauswertung!$AB606:$AE606,MATCH(Tabelle11[[#Headers],[Simon_U]],Spielauswertung!$B606:$E606,0))+AP617)</f>
        <v>99.623054841470903</v>
      </c>
      <c r="AQ618" s="1">
        <f>IF(IFERROR(MATCH(Tabelle11[[#Headers],[Steffen_R]],Spielauswertung!$B606:$E606,0),0)=0,AQ617,INDEX(Spielauswertung!$AB606:$AE606,MATCH(Tabelle11[[#Headers],[Steffen_R]],Spielauswertung!$B606:$E606,0))+AQ617)</f>
        <v>93.247497067190949</v>
      </c>
      <c r="AR618" s="1">
        <f>IF(IFERROR(MATCH(Tabelle11[[#Headers],[Tim_R]],Spielauswertung!$B606:$E606,0),0)=0,AR617,INDEX(Spielauswertung!$AB606:$AE606,MATCH(Tabelle11[[#Headers],[Tim_R]],Spielauswertung!$B606:$E606,0))+AR617)</f>
        <v>103.07503787023374</v>
      </c>
      <c r="AS618" s="1">
        <f>IF(IFERROR(MATCH(Tabelle11[[#Headers],[Tobias_S]],Spielauswertung!$B606:$E606,0),0)=0,AS617,INDEX(Spielauswertung!$AB606:$AE606,MATCH(Tabelle11[[#Headers],[Tobias_S]],Spielauswertung!$B606:$E606,0))+AS617)</f>
        <v>98.6003422659997</v>
      </c>
      <c r="AT618" s="1">
        <f>IF(IFERROR(MATCH(Tabelle11[[#Headers],[Tom_R]],Spielauswertung!$B606:$E606,0),0)=0,AT617,INDEX(Spielauswertung!$AB606:$AE606,MATCH(Tabelle11[[#Headers],[Tom_R]],Spielauswertung!$B606:$E606,0))+AT617)</f>
        <v>112.62344492949197</v>
      </c>
      <c r="AU618" s="1">
        <f>IF(IFERROR(MATCH(Tabelle11[[#Headers],[Ton_L]],Spielauswertung!$B606:$E606,0),0)=0,AU617,INDEX(Spielauswertung!$AB606:$AE606,MATCH(Tabelle11[[#Headers],[Ton_L]],Spielauswertung!$B606:$E606,0))+AU617)</f>
        <v>92.683083360025861</v>
      </c>
      <c r="AV618" s="1">
        <f>IF(IFERROR(MATCH(Tabelle11[[#Headers],[Yixin_G]],Spielauswertung!$B606:$E606,0),0)=0,AV617,INDEX(Spielauswertung!$AB606:$AE606,MATCH(Tabelle11[[#Headers],[Yixin_G]],Spielauswertung!$B606:$E606,0))+AV617)</f>
        <v>99.900323214082661</v>
      </c>
      <c r="AW618" s="1">
        <f>IF(IFERROR(MATCH(Tabelle11[[#Headers],[Spalte36]],Spielauswertung!$B606:$E606,0),0)=0,AW617,INDEX(Spielauswertung!$AB606:$AE606,MATCH(Tabelle11[[#Headers],[Spalte36]],Spielauswertung!$B606:$E606,0))+AW617)</f>
        <v>100</v>
      </c>
      <c r="AX618" s="1">
        <f>IF(IFERROR(MATCH(Tabelle11[[#Headers],[Spalte37]],Spielauswertung!$B606:$E606,0),0)=0,AX617,INDEX(Spielauswertung!$AB606:$AE606,MATCH(Tabelle11[[#Headers],[Spalte37]],Spielauswertung!$B606:$E606,0))+AX617)</f>
        <v>100</v>
      </c>
      <c r="AY618" s="1">
        <f>IF(IFERROR(MATCH(Tabelle11[[#Headers],[Spalte38]],Spielauswertung!$B606:$E606,0),0)=0,AY617,INDEX(Spielauswertung!$AB606:$AE606,MATCH(Tabelle11[[#Headers],[Spalte38]],Spielauswertung!$B606:$E606,0))+AY617)</f>
        <v>100</v>
      </c>
      <c r="AZ618" s="1">
        <f>IF(IFERROR(MATCH(Tabelle11[[#Headers],[Spalte39]],Spielauswertung!$B606:$E606,0),0)=0,AZ617,INDEX(Spielauswertung!$AB606:$AE606,MATCH(Tabelle11[[#Headers],[Spalte39]],Spielauswertung!$B606:$E606,0))+AZ617)</f>
        <v>100</v>
      </c>
      <c r="BA618" s="1">
        <f>IF(IFERROR(MATCH(Tabelle11[[#Headers],[Spalte40]],Spielauswertung!$B606:$E606,0),0)=0,BA617,INDEX(Spielauswertung!$AB606:$AE606,MATCH(Tabelle11[[#Headers],[Spalte40]],Spielauswertung!$B606:$E606,0))+BA617)</f>
        <v>100</v>
      </c>
      <c r="BB618" s="1">
        <f>IF(IFERROR(MATCH(Tabelle11[[#Headers],[Spalte41]],Spielauswertung!$B606:$E606,0),0)=0,BB617,INDEX(Spielauswertung!$AB606:$AE606,MATCH(Tabelle11[[#Headers],[Spalte41]],Spielauswertung!$B606:$E606,0))+BB617)</f>
        <v>100</v>
      </c>
      <c r="BC618" s="1">
        <f>IF(IFERROR(MATCH(Tabelle11[[#Headers],[Spalte42]],Spielauswertung!$B606:$E606,0),0)=0,BC617,INDEX(Spielauswertung!$AB606:$AE606,MATCH(Tabelle11[[#Headers],[Spalte42]],Spielauswertung!$B606:$E606,0))+BC617)</f>
        <v>100</v>
      </c>
      <c r="BD618" s="1">
        <f>IF(IFERROR(MATCH(Tabelle11[[#Headers],[Spalte43]],Spielauswertung!$B606:$E606,0),0)=0,BD617,INDEX(Spielauswertung!$AB606:$AE606,MATCH(Tabelle11[[#Headers],[Spalte43]],Spielauswertung!$B606:$E606,0))+BD617)</f>
        <v>100</v>
      </c>
      <c r="BE618" s="1">
        <f>IF(IFERROR(MATCH(Tabelle11[[#Headers],[Spalte44]],Spielauswertung!$B606:$E606,0),0)=0,BE617,INDEX(Spielauswertung!$AB606:$AE606,MATCH(Tabelle11[[#Headers],[Spalte44]],Spielauswertung!$B606:$E606,0))+BE617)</f>
        <v>100</v>
      </c>
      <c r="BF618" s="1">
        <f>IF(IFERROR(MATCH(Tabelle11[[#Headers],[Spalte45]],Spielauswertung!$B606:$E606,0),0)=0,BF617,INDEX(Spielauswertung!$AB606:$AE606,MATCH(Tabelle11[[#Headers],[Spalte45]],Spielauswertung!$B606:$E606,0))+BF617)</f>
        <v>100</v>
      </c>
      <c r="BG618" s="1">
        <f>IF(IFERROR(MATCH(Tabelle11[[#Headers],[Spalte46]],Spielauswertung!$B606:$E606,0),0)=0,BG617,INDEX(Spielauswertung!$AB606:$AE606,MATCH(Tabelle11[[#Headers],[Spalte46]],Spielauswertung!$B606:$E606,0))+BG617)</f>
        <v>100</v>
      </c>
      <c r="BH618" s="1">
        <f>IF(IFERROR(MATCH(Tabelle11[[#Headers],[Spalte47]],Spielauswertung!$B606:$E606,0),0)=0,BH617,INDEX(Spielauswertung!$AB606:$AE606,MATCH(Tabelle11[[#Headers],[Spalte47]],Spielauswertung!$B606:$E606,0))+BH617)</f>
        <v>100</v>
      </c>
    </row>
    <row r="619" spans="1:60" x14ac:dyDescent="0.25">
      <c r="A619">
        <f t="shared" si="10"/>
        <v>606</v>
      </c>
      <c r="B619" s="1">
        <f>IF(IFERROR(MATCH(Tabelle11[[#Headers],[Aleix_V]],Spielauswertung!$B607:$E607,0),0)=0,B618,INDEX(Spielauswertung!$AB607:$AE607,MATCH(Tabelle11[[#Headers],[Aleix_V]],Spielauswertung!$B607:$E607,0))+B618)</f>
        <v>102.47318019444646</v>
      </c>
      <c r="C619" s="1">
        <f>IF(IFERROR(MATCH(Tabelle11[[#Headers],[Andres_H]],Spielauswertung!$B607:$E607,0),0)=0,C618,INDEX(Spielauswertung!$AB607:$AE607,MATCH(Tabelle11[[#Headers],[Andres_H]],Spielauswertung!$B607:$E607,0))+C618)</f>
        <v>95.535732339111306</v>
      </c>
      <c r="D619" s="1">
        <f>IF(IFERROR(MATCH(Tabelle11[[#Headers],[Anton_K]],Spielauswertung!$B607:$E607,0),0)=0,D618,INDEX(Spielauswertung!$AB607:$AE607,MATCH(Tabelle11[[#Headers],[Anton_K]],Spielauswertung!$B607:$E607,0))+D618)</f>
        <v>99.287728777054667</v>
      </c>
      <c r="E619" s="1">
        <f>IF(IFERROR(MATCH(Tabelle11[[#Headers],[Bastian_G]],Spielauswertung!$B607:$E607,0),0)=0,E618,INDEX(Spielauswertung!$AB607:$AE607,MATCH(Tabelle11[[#Headers],[Bastian_G]],Spielauswertung!$B607:$E607,0))+E618)</f>
        <v>117.49978695184252</v>
      </c>
      <c r="F619" s="1">
        <f>IF(IFERROR(MATCH(Tabelle11[[#Headers],[Ben_S]],Spielauswertung!$B607:$E607,0),0)=0,F618,INDEX(Spielauswertung!$AB607:$AE607,MATCH(Tabelle11[[#Headers],[Ben_S]],Spielauswertung!$B607:$E607,0))+F618)</f>
        <v>95.932799101521084</v>
      </c>
      <c r="G619" s="1">
        <f>IF(IFERROR(MATCH(Tabelle11[[#Headers],[Benedikt_K]],Spielauswertung!$B607:$E607,0),0)=0,G618,INDEX(Spielauswertung!$AB607:$AE607,MATCH(Tabelle11[[#Headers],[Benedikt_K]],Spielauswertung!$B607:$E607,0))+G618)</f>
        <v>101.20264176422626</v>
      </c>
      <c r="H619" s="1">
        <f>IF(IFERROR(MATCH(Tabelle11[[#Headers],[Benedikt_R]],Spielauswertung!$B607:$E607,0),0)=0,H618,INDEX(Spielauswertung!$AB607:$AE607,MATCH(Tabelle11[[#Headers],[Benedikt_R]],Spielauswertung!$B607:$E607,0))+H618)</f>
        <v>102.6264770510757</v>
      </c>
      <c r="I619" s="1">
        <f>IF(IFERROR(MATCH(Tabelle11[[#Headers],[Carsten_H]],Spielauswertung!$B607:$E607,0),0)=0,I618,INDEX(Spielauswertung!$AB607:$AE607,MATCH(Tabelle11[[#Headers],[Carsten_H]],Spielauswertung!$B607:$E607,0))+I618)</f>
        <v>90.817185094326874</v>
      </c>
      <c r="J619" s="1">
        <f>IF(IFERROR(MATCH(Tabelle11[[#Headers],[Christoph_R]],Spielauswertung!$B607:$E607,0),0)=0,J618,INDEX(Spielauswertung!$AB607:$AE607,MATCH(Tabelle11[[#Headers],[Christoph_R]],Spielauswertung!$B607:$E607,0))+J618)</f>
        <v>109.73261611443155</v>
      </c>
      <c r="K619" s="1">
        <f>IF(IFERROR(MATCH(Tabelle11[[#Headers],[Claudius_J]],Spielauswertung!$B607:$E607,0),0)=0,K618,INDEX(Spielauswertung!$AB607:$AE607,MATCH(Tabelle11[[#Headers],[Claudius_J]],Spielauswertung!$B607:$E607,0))+K618)</f>
        <v>106.16590636000029</v>
      </c>
      <c r="L619" s="1">
        <f>IF(IFERROR(MATCH(Tabelle11[[#Headers],[Daniel_D]],Spielauswertung!$B607:$E607,0),0)=0,L618,INDEX(Spielauswertung!$AB607:$AE607,MATCH(Tabelle11[[#Headers],[Daniel_D]],Spielauswertung!$B607:$E607,0))+L618)</f>
        <v>99.990299180470089</v>
      </c>
      <c r="M619" s="1">
        <f>IF(IFERROR(MATCH(Tabelle11[[#Headers],[David_R]],Spielauswertung!$B607:$E607,0),0)=0,M618,INDEX(Spielauswertung!$AB607:$AE607,MATCH(Tabelle11[[#Headers],[David_R]],Spielauswertung!$B607:$E607,0))+M618)</f>
        <v>96.715943522481638</v>
      </c>
      <c r="N619" s="1">
        <f>IF(IFERROR(MATCH(Tabelle11[[#Headers],[Dennis_P]],Spielauswertung!$B607:$E607,0),0)=0,N618,INDEX(Spielauswertung!$AB607:$AE607,MATCH(Tabelle11[[#Headers],[Dennis_P]],Spielauswertung!$B607:$E607,0))+N618)</f>
        <v>100.04773223105254</v>
      </c>
      <c r="O619" s="1">
        <f>IF(IFERROR(MATCH(Tabelle11[[#Headers],[Dennis_R]],Spielauswertung!$B607:$E607,0),0)=0,O618,INDEX(Spielauswertung!$AB607:$AE607,MATCH(Tabelle11[[#Headers],[Dennis_R]],Spielauswertung!$B607:$E607,0))+O618)</f>
        <v>75.131680864937195</v>
      </c>
      <c r="P619" s="1">
        <f>IF(IFERROR(MATCH(Tabelle11[[#Headers],[Detlef_R]],Spielauswertung!$B607:$E607,0),0)=0,P618,INDEX(Spielauswertung!$AB607:$AE607,MATCH(Tabelle11[[#Headers],[Detlef_R]],Spielauswertung!$B607:$E607,0))+P618)</f>
        <v>87.984671797367014</v>
      </c>
      <c r="Q619" s="1">
        <f>IF(IFERROR(MATCH(Tabelle11[[#Headers],[Dmitrij_M]],Spielauswertung!$B607:$E607,0),0)=0,Q618,INDEX(Spielauswertung!$AB607:$AE607,MATCH(Tabelle11[[#Headers],[Dmitrij_M]],Spielauswertung!$B607:$E607,0))+Q618)</f>
        <v>100.69975721846207</v>
      </c>
      <c r="R619" s="1">
        <f>IF(IFERROR(MATCH(Tabelle11[[#Headers],[Fabian_M]],Spielauswertung!$B607:$E607,0),0)=0,R618,INDEX(Spielauswertung!$AB607:$AE607,MATCH(Tabelle11[[#Headers],[Fabian_M]],Spielauswertung!$B607:$E607,0))+R618)</f>
        <v>95.805387841610738</v>
      </c>
      <c r="S619" s="1">
        <f>IF(IFERROR(MATCH(Tabelle11[[#Headers],[Hannes_S]],Spielauswertung!$B607:$E607,0),0)=0,S618,INDEX(Spielauswertung!$AB607:$AE607,MATCH(Tabelle11[[#Headers],[Hannes_S]],Spielauswertung!$B607:$E607,0))+S618)</f>
        <v>104.83899184012799</v>
      </c>
      <c r="T619" s="1">
        <f>IF(IFERROR(MATCH(Tabelle11[[#Headers],[Jan_B]],Spielauswertung!$B607:$E607,0),0)=0,T618,INDEX(Spielauswertung!$AB607:$AE607,MATCH(Tabelle11[[#Headers],[Jan_B]],Spielauswertung!$B607:$E607,0))+T618)</f>
        <v>100.2794420429173</v>
      </c>
      <c r="U619" s="1">
        <f>IF(IFERROR(MATCH(Tabelle11[[#Headers],[Jan_Hendrik_B]],Spielauswertung!$B607:$E607,0),0)=0,U618,INDEX(Spielauswertung!$AB607:$AE607,MATCH(Tabelle11[[#Headers],[Jan_Hendrik_B]],Spielauswertung!$B607:$E607,0))+U618)</f>
        <v>100.75492416935522</v>
      </c>
      <c r="V619" s="1">
        <f>IF(IFERROR(MATCH(Tabelle11[[#Headers],[Jens_N]],Spielauswertung!$B607:$E607,0),0)=0,V618,INDEX(Spielauswertung!$AB607:$AE607,MATCH(Tabelle11[[#Headers],[Jens_N]],Spielauswertung!$B607:$E607,0))+V618)</f>
        <v>99.643534710196832</v>
      </c>
      <c r="W619" s="1">
        <f>IF(IFERROR(MATCH(Tabelle11[[#Headers],[Johannes_S]],Spielauswertung!$B607:$E607,0),0)=0,W618,INDEX(Spielauswertung!$AB607:$AE607,MATCH(Tabelle11[[#Headers],[Johannes_S]],Spielauswertung!$B607:$E607,0))+W618)</f>
        <v>102.20284750979505</v>
      </c>
      <c r="X619" s="1">
        <f>IF(IFERROR(MATCH(Tabelle11[[#Headers],[Jonathan_F]],Spielauswertung!$B607:$E607,0),0)=0,X618,INDEX(Spielauswertung!$AB607:$AE607,MATCH(Tabelle11[[#Headers],[Jonathan_F]],Spielauswertung!$B607:$E607,0))+X618)</f>
        <v>98.938308797866256</v>
      </c>
      <c r="Y619" s="1">
        <f>IF(IFERROR(MATCH(Tabelle11[[#Headers],[Julius_P]],Spielauswertung!$B607:$E607,0),0)=0,Y618,INDEX(Spielauswertung!$AB607:$AE607,MATCH(Tabelle11[[#Headers],[Julius_P]],Spielauswertung!$B607:$E607,0))+Y618)</f>
        <v>96.540305101873642</v>
      </c>
      <c r="Z619" s="1">
        <f>IF(IFERROR(MATCH(Tabelle11[[#Headers],[Louis_W]],Spielauswertung!$B607:$E607,0),0)=0,Z618,INDEX(Spielauswertung!$AB607:$AE607,MATCH(Tabelle11[[#Headers],[Louis_W]],Spielauswertung!$B607:$E607,0))+Z618)</f>
        <v>87.497452285475362</v>
      </c>
      <c r="AA619" s="1">
        <f>IF(IFERROR(MATCH(Tabelle11[[#Headers],[Lukas_L]],Spielauswertung!$B607:$E607,0),0)=0,AA618,INDEX(Spielauswertung!$AB607:$AE607,MATCH(Tabelle11[[#Headers],[Lukas_L]],Spielauswertung!$B607:$E607,0))+AA618)</f>
        <v>98.447931341404143</v>
      </c>
      <c r="AB619" s="1">
        <f>IF(IFERROR(MATCH(Tabelle11[[#Headers],[Marcin_S]],Spielauswertung!$B607:$E607,0),0)=0,AB618,INDEX(Spielauswertung!$AB607:$AE607,MATCH(Tabelle11[[#Headers],[Marcin_S]],Spielauswertung!$B607:$E607,0))+AB618)</f>
        <v>85.463329105556824</v>
      </c>
      <c r="AC619" s="1">
        <f>IF(IFERROR(MATCH(Tabelle11[[#Headers],[Marco_K]],Spielauswertung!$B607:$E607,0),0)=0,AC618,INDEX(Spielauswertung!$AB607:$AE607,MATCH(Tabelle11[[#Headers],[Marco_K]],Spielauswertung!$B607:$E607,0))+AC618)</f>
        <v>102.12169819441469</v>
      </c>
      <c r="AD619" s="1">
        <f>IF(IFERROR(MATCH(Tabelle11[[#Headers],[Marius_M]],Spielauswertung!$B607:$E607,0),0)=0,AD618,INDEX(Spielauswertung!$AB607:$AE607,MATCH(Tabelle11[[#Headers],[Marius_M]],Spielauswertung!$B607:$E607,0))+AD618)</f>
        <v>124.54012374585781</v>
      </c>
      <c r="AE619" s="1">
        <f>IF(IFERROR(MATCH(Tabelle11[[#Headers],[Marvin_W]],Spielauswertung!$B607:$E607,0),0)=0,AE618,INDEX(Spielauswertung!$AB607:$AE607,MATCH(Tabelle11[[#Headers],[Marvin_W]],Spielauswertung!$B607:$E607,0))+AE618)</f>
        <v>96.700266280577438</v>
      </c>
      <c r="AF619" s="1">
        <f>IF(IFERROR(MATCH(Tabelle11[[#Headers],[Matthias_H]],Spielauswertung!$B607:$E607,0),0)=0,AF618,INDEX(Spielauswertung!$AB607:$AE607,MATCH(Tabelle11[[#Headers],[Matthias_H]],Spielauswertung!$B607:$E607,0))+AF618)</f>
        <v>105.42130178599372</v>
      </c>
      <c r="AG619" s="1">
        <f>IF(IFERROR(MATCH(Tabelle11[[#Headers],[Michael_D]],Spielauswertung!$B607:$E607,0),0)=0,AG618,INDEX(Spielauswertung!$AB607:$AE607,MATCH(Tabelle11[[#Headers],[Michael_D]],Spielauswertung!$B607:$E607,0))+AG618)</f>
        <v>96.436276170375336</v>
      </c>
      <c r="AH619" s="1">
        <f>IF(IFERROR(MATCH(Tabelle11[[#Headers],[Patrick_S]],Spielauswertung!$B607:$E607,0),0)=0,AH618,INDEX(Spielauswertung!$AB607:$AE607,MATCH(Tabelle11[[#Headers],[Patrick_S]],Spielauswertung!$B607:$E607,0))+AH618)</f>
        <v>98.975330692053802</v>
      </c>
      <c r="AI619" s="1">
        <f>IF(IFERROR(MATCH(Tabelle11[[#Headers],[Rano_M]],Spielauswertung!$B607:$E607,0),0)=0,AI618,INDEX(Spielauswertung!$AB607:$AE607,MATCH(Tabelle11[[#Headers],[Rano_M]],Spielauswertung!$B607:$E607,0))+AI618)</f>
        <v>109.38890657420265</v>
      </c>
      <c r="AJ619" s="1">
        <f>IF(IFERROR(MATCH(Tabelle11[[#Headers],[Rene_N]],Spielauswertung!$B607:$E607,0),0)=0,AJ618,INDEX(Spielauswertung!$AB607:$AE607,MATCH(Tabelle11[[#Headers],[Rene_N]],Spielauswertung!$B607:$E607,0))+AJ618)</f>
        <v>101.06482124619033</v>
      </c>
      <c r="AK619" s="1">
        <f>IF(IFERROR(MATCH(Tabelle11[[#Headers],[Rene_P]],Spielauswertung!$B607:$E607,0),0)=0,AK618,INDEX(Spielauswertung!$AB607:$AE607,MATCH(Tabelle11[[#Headers],[Rene_P]],Spielauswertung!$B607:$E607,0))+AK618)</f>
        <v>88.762543186332877</v>
      </c>
      <c r="AL619" s="1">
        <f>IF(IFERROR(MATCH(Tabelle11[[#Headers],[Richard_D]],Spielauswertung!$B607:$E607,0),0)=0,AL618,INDEX(Spielauswertung!$AB607:$AE607,MATCH(Tabelle11[[#Headers],[Richard_D]],Spielauswertung!$B607:$E607,0))+AL618)</f>
        <v>107.23233592026223</v>
      </c>
      <c r="AM619" s="1">
        <f>IF(IFERROR(MATCH(Tabelle11[[#Headers],[Rodrigo_R]],Spielauswertung!$B607:$E607,0),0)=0,AM618,INDEX(Spielauswertung!$AB607:$AE607,MATCH(Tabelle11[[#Headers],[Rodrigo_R]],Spielauswertung!$B607:$E607,0))+AM618)</f>
        <v>116.7028707921346</v>
      </c>
      <c r="AN619" s="1">
        <f>IF(IFERROR(MATCH(Tabelle11[[#Headers],[Sebastian_A]],Spielauswertung!$B607:$E607,0),0)=0,AN618,INDEX(Spielauswertung!$AB607:$AE607,MATCH(Tabelle11[[#Headers],[Sebastian_A]],Spielauswertung!$B607:$E607,0))+AN618)</f>
        <v>102.89457418671324</v>
      </c>
      <c r="AO619" s="1">
        <f>IF(IFERROR(MATCH(Tabelle11[[#Headers],[Sebastian_St]],Spielauswertung!$B607:$E607,0),0)=0,AO618,INDEX(Spielauswertung!$AB607:$AE607,MATCH(Tabelle11[[#Headers],[Sebastian_St]],Spielauswertung!$B607:$E607,0))+AO618)</f>
        <v>97.749574367408982</v>
      </c>
      <c r="AP619" s="1">
        <f>IF(IFERROR(MATCH(Tabelle11[[#Headers],[Simon_U]],Spielauswertung!$B607:$E607,0),0)=0,AP618,INDEX(Spielauswertung!$AB607:$AE607,MATCH(Tabelle11[[#Headers],[Simon_U]],Spielauswertung!$B607:$E607,0))+AP618)</f>
        <v>99.623054841470903</v>
      </c>
      <c r="AQ619" s="1">
        <f>IF(IFERROR(MATCH(Tabelle11[[#Headers],[Steffen_R]],Spielauswertung!$B607:$E607,0),0)=0,AQ618,INDEX(Spielauswertung!$AB607:$AE607,MATCH(Tabelle11[[#Headers],[Steffen_R]],Spielauswertung!$B607:$E607,0))+AQ618)</f>
        <v>93.247497067190949</v>
      </c>
      <c r="AR619" s="1">
        <f>IF(IFERROR(MATCH(Tabelle11[[#Headers],[Tim_R]],Spielauswertung!$B607:$E607,0),0)=0,AR618,INDEX(Spielauswertung!$AB607:$AE607,MATCH(Tabelle11[[#Headers],[Tim_R]],Spielauswertung!$B607:$E607,0))+AR618)</f>
        <v>103.07503787023374</v>
      </c>
      <c r="AS619" s="1">
        <f>IF(IFERROR(MATCH(Tabelle11[[#Headers],[Tobias_S]],Spielauswertung!$B607:$E607,0),0)=0,AS618,INDEX(Spielauswertung!$AB607:$AE607,MATCH(Tabelle11[[#Headers],[Tobias_S]],Spielauswertung!$B607:$E607,0))+AS618)</f>
        <v>98.6003422659997</v>
      </c>
      <c r="AT619" s="1">
        <f>IF(IFERROR(MATCH(Tabelle11[[#Headers],[Tom_R]],Spielauswertung!$B607:$E607,0),0)=0,AT618,INDEX(Spielauswertung!$AB607:$AE607,MATCH(Tabelle11[[#Headers],[Tom_R]],Spielauswertung!$B607:$E607,0))+AT618)</f>
        <v>112.62344492949197</v>
      </c>
      <c r="AU619" s="1">
        <f>IF(IFERROR(MATCH(Tabelle11[[#Headers],[Ton_L]],Spielauswertung!$B607:$E607,0),0)=0,AU618,INDEX(Spielauswertung!$AB607:$AE607,MATCH(Tabelle11[[#Headers],[Ton_L]],Spielauswertung!$B607:$E607,0))+AU618)</f>
        <v>92.683083360025861</v>
      </c>
      <c r="AV619" s="1">
        <f>IF(IFERROR(MATCH(Tabelle11[[#Headers],[Yixin_G]],Spielauswertung!$B607:$E607,0),0)=0,AV618,INDEX(Spielauswertung!$AB607:$AE607,MATCH(Tabelle11[[#Headers],[Yixin_G]],Spielauswertung!$B607:$E607,0))+AV618)</f>
        <v>99.900323214082661</v>
      </c>
      <c r="AW619" s="1">
        <f>IF(IFERROR(MATCH(Tabelle11[[#Headers],[Spalte36]],Spielauswertung!$B607:$E607,0),0)=0,AW618,INDEX(Spielauswertung!$AB607:$AE607,MATCH(Tabelle11[[#Headers],[Spalte36]],Spielauswertung!$B607:$E607,0))+AW618)</f>
        <v>100</v>
      </c>
      <c r="AX619" s="1">
        <f>IF(IFERROR(MATCH(Tabelle11[[#Headers],[Spalte37]],Spielauswertung!$B607:$E607,0),0)=0,AX618,INDEX(Spielauswertung!$AB607:$AE607,MATCH(Tabelle11[[#Headers],[Spalte37]],Spielauswertung!$B607:$E607,0))+AX618)</f>
        <v>100</v>
      </c>
      <c r="AY619" s="1">
        <f>IF(IFERROR(MATCH(Tabelle11[[#Headers],[Spalte38]],Spielauswertung!$B607:$E607,0),0)=0,AY618,INDEX(Spielauswertung!$AB607:$AE607,MATCH(Tabelle11[[#Headers],[Spalte38]],Spielauswertung!$B607:$E607,0))+AY618)</f>
        <v>100</v>
      </c>
      <c r="AZ619" s="1">
        <f>IF(IFERROR(MATCH(Tabelle11[[#Headers],[Spalte39]],Spielauswertung!$B607:$E607,0),0)=0,AZ618,INDEX(Spielauswertung!$AB607:$AE607,MATCH(Tabelle11[[#Headers],[Spalte39]],Spielauswertung!$B607:$E607,0))+AZ618)</f>
        <v>100</v>
      </c>
      <c r="BA619" s="1">
        <f>IF(IFERROR(MATCH(Tabelle11[[#Headers],[Spalte40]],Spielauswertung!$B607:$E607,0),0)=0,BA618,INDEX(Spielauswertung!$AB607:$AE607,MATCH(Tabelle11[[#Headers],[Spalte40]],Spielauswertung!$B607:$E607,0))+BA618)</f>
        <v>100</v>
      </c>
      <c r="BB619" s="1">
        <f>IF(IFERROR(MATCH(Tabelle11[[#Headers],[Spalte41]],Spielauswertung!$B607:$E607,0),0)=0,BB618,INDEX(Spielauswertung!$AB607:$AE607,MATCH(Tabelle11[[#Headers],[Spalte41]],Spielauswertung!$B607:$E607,0))+BB618)</f>
        <v>100</v>
      </c>
      <c r="BC619" s="1">
        <f>IF(IFERROR(MATCH(Tabelle11[[#Headers],[Spalte42]],Spielauswertung!$B607:$E607,0),0)=0,BC618,INDEX(Spielauswertung!$AB607:$AE607,MATCH(Tabelle11[[#Headers],[Spalte42]],Spielauswertung!$B607:$E607,0))+BC618)</f>
        <v>100</v>
      </c>
      <c r="BD619" s="1">
        <f>IF(IFERROR(MATCH(Tabelle11[[#Headers],[Spalte43]],Spielauswertung!$B607:$E607,0),0)=0,BD618,INDEX(Spielauswertung!$AB607:$AE607,MATCH(Tabelle11[[#Headers],[Spalte43]],Spielauswertung!$B607:$E607,0))+BD618)</f>
        <v>100</v>
      </c>
      <c r="BE619" s="1">
        <f>IF(IFERROR(MATCH(Tabelle11[[#Headers],[Spalte44]],Spielauswertung!$B607:$E607,0),0)=0,BE618,INDEX(Spielauswertung!$AB607:$AE607,MATCH(Tabelle11[[#Headers],[Spalte44]],Spielauswertung!$B607:$E607,0))+BE618)</f>
        <v>100</v>
      </c>
      <c r="BF619" s="1">
        <f>IF(IFERROR(MATCH(Tabelle11[[#Headers],[Spalte45]],Spielauswertung!$B607:$E607,0),0)=0,BF618,INDEX(Spielauswertung!$AB607:$AE607,MATCH(Tabelle11[[#Headers],[Spalte45]],Spielauswertung!$B607:$E607,0))+BF618)</f>
        <v>100</v>
      </c>
      <c r="BG619" s="1">
        <f>IF(IFERROR(MATCH(Tabelle11[[#Headers],[Spalte46]],Spielauswertung!$B607:$E607,0),0)=0,BG618,INDEX(Spielauswertung!$AB607:$AE607,MATCH(Tabelle11[[#Headers],[Spalte46]],Spielauswertung!$B607:$E607,0))+BG618)</f>
        <v>100</v>
      </c>
      <c r="BH619" s="1">
        <f>IF(IFERROR(MATCH(Tabelle11[[#Headers],[Spalte47]],Spielauswertung!$B607:$E607,0),0)=0,BH618,INDEX(Spielauswertung!$AB607:$AE607,MATCH(Tabelle11[[#Headers],[Spalte47]],Spielauswertung!$B607:$E607,0))+BH618)</f>
        <v>100</v>
      </c>
    </row>
    <row r="620" spans="1:60" x14ac:dyDescent="0.25">
      <c r="A620">
        <f t="shared" si="10"/>
        <v>607</v>
      </c>
      <c r="B620" s="1">
        <f>IF(IFERROR(MATCH(Tabelle11[[#Headers],[Aleix_V]],Spielauswertung!$B608:$E608,0),0)=0,B619,INDEX(Spielauswertung!$AB608:$AE608,MATCH(Tabelle11[[#Headers],[Aleix_V]],Spielauswertung!$B608:$E608,0))+B619)</f>
        <v>102.47318019444646</v>
      </c>
      <c r="C620" s="1">
        <f>IF(IFERROR(MATCH(Tabelle11[[#Headers],[Andres_H]],Spielauswertung!$B608:$E608,0),0)=0,C619,INDEX(Spielauswertung!$AB608:$AE608,MATCH(Tabelle11[[#Headers],[Andres_H]],Spielauswertung!$B608:$E608,0))+C619)</f>
        <v>95.535732339111306</v>
      </c>
      <c r="D620" s="1">
        <f>IF(IFERROR(MATCH(Tabelle11[[#Headers],[Anton_K]],Spielauswertung!$B608:$E608,0),0)=0,D619,INDEX(Spielauswertung!$AB608:$AE608,MATCH(Tabelle11[[#Headers],[Anton_K]],Spielauswertung!$B608:$E608,0))+D619)</f>
        <v>99.287728777054667</v>
      </c>
      <c r="E620" s="1">
        <f>IF(IFERROR(MATCH(Tabelle11[[#Headers],[Bastian_G]],Spielauswertung!$B608:$E608,0),0)=0,E619,INDEX(Spielauswertung!$AB608:$AE608,MATCH(Tabelle11[[#Headers],[Bastian_G]],Spielauswertung!$B608:$E608,0))+E619)</f>
        <v>117.49978695184252</v>
      </c>
      <c r="F620" s="1">
        <f>IF(IFERROR(MATCH(Tabelle11[[#Headers],[Ben_S]],Spielauswertung!$B608:$E608,0),0)=0,F619,INDEX(Spielauswertung!$AB608:$AE608,MATCH(Tabelle11[[#Headers],[Ben_S]],Spielauswertung!$B608:$E608,0))+F619)</f>
        <v>95.932799101521084</v>
      </c>
      <c r="G620" s="1">
        <f>IF(IFERROR(MATCH(Tabelle11[[#Headers],[Benedikt_K]],Spielauswertung!$B608:$E608,0),0)=0,G619,INDEX(Spielauswertung!$AB608:$AE608,MATCH(Tabelle11[[#Headers],[Benedikt_K]],Spielauswertung!$B608:$E608,0))+G619)</f>
        <v>101.20264176422626</v>
      </c>
      <c r="H620" s="1">
        <f>IF(IFERROR(MATCH(Tabelle11[[#Headers],[Benedikt_R]],Spielauswertung!$B608:$E608,0),0)=0,H619,INDEX(Spielauswertung!$AB608:$AE608,MATCH(Tabelle11[[#Headers],[Benedikt_R]],Spielauswertung!$B608:$E608,0))+H619)</f>
        <v>102.6264770510757</v>
      </c>
      <c r="I620" s="1">
        <f>IF(IFERROR(MATCH(Tabelle11[[#Headers],[Carsten_H]],Spielauswertung!$B608:$E608,0),0)=0,I619,INDEX(Spielauswertung!$AB608:$AE608,MATCH(Tabelle11[[#Headers],[Carsten_H]],Spielauswertung!$B608:$E608,0))+I619)</f>
        <v>90.817185094326874</v>
      </c>
      <c r="J620" s="1">
        <f>IF(IFERROR(MATCH(Tabelle11[[#Headers],[Christoph_R]],Spielauswertung!$B608:$E608,0),0)=0,J619,INDEX(Spielauswertung!$AB608:$AE608,MATCH(Tabelle11[[#Headers],[Christoph_R]],Spielauswertung!$B608:$E608,0))+J619)</f>
        <v>109.73261611443155</v>
      </c>
      <c r="K620" s="1">
        <f>IF(IFERROR(MATCH(Tabelle11[[#Headers],[Claudius_J]],Spielauswertung!$B608:$E608,0),0)=0,K619,INDEX(Spielauswertung!$AB608:$AE608,MATCH(Tabelle11[[#Headers],[Claudius_J]],Spielauswertung!$B608:$E608,0))+K619)</f>
        <v>106.16590636000029</v>
      </c>
      <c r="L620" s="1">
        <f>IF(IFERROR(MATCH(Tabelle11[[#Headers],[Daniel_D]],Spielauswertung!$B608:$E608,0),0)=0,L619,INDEX(Spielauswertung!$AB608:$AE608,MATCH(Tabelle11[[#Headers],[Daniel_D]],Spielauswertung!$B608:$E608,0))+L619)</f>
        <v>99.990299180470089</v>
      </c>
      <c r="M620" s="1">
        <f>IF(IFERROR(MATCH(Tabelle11[[#Headers],[David_R]],Spielauswertung!$B608:$E608,0),0)=0,M619,INDEX(Spielauswertung!$AB608:$AE608,MATCH(Tabelle11[[#Headers],[David_R]],Spielauswertung!$B608:$E608,0))+M619)</f>
        <v>96.715943522481638</v>
      </c>
      <c r="N620" s="1">
        <f>IF(IFERROR(MATCH(Tabelle11[[#Headers],[Dennis_P]],Spielauswertung!$B608:$E608,0),0)=0,N619,INDEX(Spielauswertung!$AB608:$AE608,MATCH(Tabelle11[[#Headers],[Dennis_P]],Spielauswertung!$B608:$E608,0))+N619)</f>
        <v>100.04773223105254</v>
      </c>
      <c r="O620" s="1">
        <f>IF(IFERROR(MATCH(Tabelle11[[#Headers],[Dennis_R]],Spielauswertung!$B608:$E608,0),0)=0,O619,INDEX(Spielauswertung!$AB608:$AE608,MATCH(Tabelle11[[#Headers],[Dennis_R]],Spielauswertung!$B608:$E608,0))+O619)</f>
        <v>75.131680864937195</v>
      </c>
      <c r="P620" s="1">
        <f>IF(IFERROR(MATCH(Tabelle11[[#Headers],[Detlef_R]],Spielauswertung!$B608:$E608,0),0)=0,P619,INDEX(Spielauswertung!$AB608:$AE608,MATCH(Tabelle11[[#Headers],[Detlef_R]],Spielauswertung!$B608:$E608,0))+P619)</f>
        <v>87.984671797367014</v>
      </c>
      <c r="Q620" s="1">
        <f>IF(IFERROR(MATCH(Tabelle11[[#Headers],[Dmitrij_M]],Spielauswertung!$B608:$E608,0),0)=0,Q619,INDEX(Spielauswertung!$AB608:$AE608,MATCH(Tabelle11[[#Headers],[Dmitrij_M]],Spielauswertung!$B608:$E608,0))+Q619)</f>
        <v>100.69975721846207</v>
      </c>
      <c r="R620" s="1">
        <f>IF(IFERROR(MATCH(Tabelle11[[#Headers],[Fabian_M]],Spielauswertung!$B608:$E608,0),0)=0,R619,INDEX(Spielauswertung!$AB608:$AE608,MATCH(Tabelle11[[#Headers],[Fabian_M]],Spielauswertung!$B608:$E608,0))+R619)</f>
        <v>95.805387841610738</v>
      </c>
      <c r="S620" s="1">
        <f>IF(IFERROR(MATCH(Tabelle11[[#Headers],[Hannes_S]],Spielauswertung!$B608:$E608,0),0)=0,S619,INDEX(Spielauswertung!$AB608:$AE608,MATCH(Tabelle11[[#Headers],[Hannes_S]],Spielauswertung!$B608:$E608,0))+S619)</f>
        <v>104.83899184012799</v>
      </c>
      <c r="T620" s="1">
        <f>IF(IFERROR(MATCH(Tabelle11[[#Headers],[Jan_B]],Spielauswertung!$B608:$E608,0),0)=0,T619,INDEX(Spielauswertung!$AB608:$AE608,MATCH(Tabelle11[[#Headers],[Jan_B]],Spielauswertung!$B608:$E608,0))+T619)</f>
        <v>100.2794420429173</v>
      </c>
      <c r="U620" s="1">
        <f>IF(IFERROR(MATCH(Tabelle11[[#Headers],[Jan_Hendrik_B]],Spielauswertung!$B608:$E608,0),0)=0,U619,INDEX(Spielauswertung!$AB608:$AE608,MATCH(Tabelle11[[#Headers],[Jan_Hendrik_B]],Spielauswertung!$B608:$E608,0))+U619)</f>
        <v>100.75492416935522</v>
      </c>
      <c r="V620" s="1">
        <f>IF(IFERROR(MATCH(Tabelle11[[#Headers],[Jens_N]],Spielauswertung!$B608:$E608,0),0)=0,V619,INDEX(Spielauswertung!$AB608:$AE608,MATCH(Tabelle11[[#Headers],[Jens_N]],Spielauswertung!$B608:$E608,0))+V619)</f>
        <v>99.643534710196832</v>
      </c>
      <c r="W620" s="1">
        <f>IF(IFERROR(MATCH(Tabelle11[[#Headers],[Johannes_S]],Spielauswertung!$B608:$E608,0),0)=0,W619,INDEX(Spielauswertung!$AB608:$AE608,MATCH(Tabelle11[[#Headers],[Johannes_S]],Spielauswertung!$B608:$E608,0))+W619)</f>
        <v>102.20284750979505</v>
      </c>
      <c r="X620" s="1">
        <f>IF(IFERROR(MATCH(Tabelle11[[#Headers],[Jonathan_F]],Spielauswertung!$B608:$E608,0),0)=0,X619,INDEX(Spielauswertung!$AB608:$AE608,MATCH(Tabelle11[[#Headers],[Jonathan_F]],Spielauswertung!$B608:$E608,0))+X619)</f>
        <v>98.938308797866256</v>
      </c>
      <c r="Y620" s="1">
        <f>IF(IFERROR(MATCH(Tabelle11[[#Headers],[Julius_P]],Spielauswertung!$B608:$E608,0),0)=0,Y619,INDEX(Spielauswertung!$AB608:$AE608,MATCH(Tabelle11[[#Headers],[Julius_P]],Spielauswertung!$B608:$E608,0))+Y619)</f>
        <v>96.540305101873642</v>
      </c>
      <c r="Z620" s="1">
        <f>IF(IFERROR(MATCH(Tabelle11[[#Headers],[Louis_W]],Spielauswertung!$B608:$E608,0),0)=0,Z619,INDEX(Spielauswertung!$AB608:$AE608,MATCH(Tabelle11[[#Headers],[Louis_W]],Spielauswertung!$B608:$E608,0))+Z619)</f>
        <v>87.497452285475362</v>
      </c>
      <c r="AA620" s="1">
        <f>IF(IFERROR(MATCH(Tabelle11[[#Headers],[Lukas_L]],Spielauswertung!$B608:$E608,0),0)=0,AA619,INDEX(Spielauswertung!$AB608:$AE608,MATCH(Tabelle11[[#Headers],[Lukas_L]],Spielauswertung!$B608:$E608,0))+AA619)</f>
        <v>98.447931341404143</v>
      </c>
      <c r="AB620" s="1">
        <f>IF(IFERROR(MATCH(Tabelle11[[#Headers],[Marcin_S]],Spielauswertung!$B608:$E608,0),0)=0,AB619,INDEX(Spielauswertung!$AB608:$AE608,MATCH(Tabelle11[[#Headers],[Marcin_S]],Spielauswertung!$B608:$E608,0))+AB619)</f>
        <v>85.463329105556824</v>
      </c>
      <c r="AC620" s="1">
        <f>IF(IFERROR(MATCH(Tabelle11[[#Headers],[Marco_K]],Spielauswertung!$B608:$E608,0),0)=0,AC619,INDEX(Spielauswertung!$AB608:$AE608,MATCH(Tabelle11[[#Headers],[Marco_K]],Spielauswertung!$B608:$E608,0))+AC619)</f>
        <v>102.12169819441469</v>
      </c>
      <c r="AD620" s="1">
        <f>IF(IFERROR(MATCH(Tabelle11[[#Headers],[Marius_M]],Spielauswertung!$B608:$E608,0),0)=0,AD619,INDEX(Spielauswertung!$AB608:$AE608,MATCH(Tabelle11[[#Headers],[Marius_M]],Spielauswertung!$B608:$E608,0))+AD619)</f>
        <v>124.54012374585781</v>
      </c>
      <c r="AE620" s="1">
        <f>IF(IFERROR(MATCH(Tabelle11[[#Headers],[Marvin_W]],Spielauswertung!$B608:$E608,0),0)=0,AE619,INDEX(Spielauswertung!$AB608:$AE608,MATCH(Tabelle11[[#Headers],[Marvin_W]],Spielauswertung!$B608:$E608,0))+AE619)</f>
        <v>96.700266280577438</v>
      </c>
      <c r="AF620" s="1">
        <f>IF(IFERROR(MATCH(Tabelle11[[#Headers],[Matthias_H]],Spielauswertung!$B608:$E608,0),0)=0,AF619,INDEX(Spielauswertung!$AB608:$AE608,MATCH(Tabelle11[[#Headers],[Matthias_H]],Spielauswertung!$B608:$E608,0))+AF619)</f>
        <v>105.42130178599372</v>
      </c>
      <c r="AG620" s="1">
        <f>IF(IFERROR(MATCH(Tabelle11[[#Headers],[Michael_D]],Spielauswertung!$B608:$E608,0),0)=0,AG619,INDEX(Spielauswertung!$AB608:$AE608,MATCH(Tabelle11[[#Headers],[Michael_D]],Spielauswertung!$B608:$E608,0))+AG619)</f>
        <v>96.436276170375336</v>
      </c>
      <c r="AH620" s="1">
        <f>IF(IFERROR(MATCH(Tabelle11[[#Headers],[Patrick_S]],Spielauswertung!$B608:$E608,0),0)=0,AH619,INDEX(Spielauswertung!$AB608:$AE608,MATCH(Tabelle11[[#Headers],[Patrick_S]],Spielauswertung!$B608:$E608,0))+AH619)</f>
        <v>98.975330692053802</v>
      </c>
      <c r="AI620" s="1">
        <f>IF(IFERROR(MATCH(Tabelle11[[#Headers],[Rano_M]],Spielauswertung!$B608:$E608,0),0)=0,AI619,INDEX(Spielauswertung!$AB608:$AE608,MATCH(Tabelle11[[#Headers],[Rano_M]],Spielauswertung!$B608:$E608,0))+AI619)</f>
        <v>109.38890657420265</v>
      </c>
      <c r="AJ620" s="1">
        <f>IF(IFERROR(MATCH(Tabelle11[[#Headers],[Rene_N]],Spielauswertung!$B608:$E608,0),0)=0,AJ619,INDEX(Spielauswertung!$AB608:$AE608,MATCH(Tabelle11[[#Headers],[Rene_N]],Spielauswertung!$B608:$E608,0))+AJ619)</f>
        <v>101.06482124619033</v>
      </c>
      <c r="AK620" s="1">
        <f>IF(IFERROR(MATCH(Tabelle11[[#Headers],[Rene_P]],Spielauswertung!$B608:$E608,0),0)=0,AK619,INDEX(Spielauswertung!$AB608:$AE608,MATCH(Tabelle11[[#Headers],[Rene_P]],Spielauswertung!$B608:$E608,0))+AK619)</f>
        <v>88.762543186332877</v>
      </c>
      <c r="AL620" s="1">
        <f>IF(IFERROR(MATCH(Tabelle11[[#Headers],[Richard_D]],Spielauswertung!$B608:$E608,0),0)=0,AL619,INDEX(Spielauswertung!$AB608:$AE608,MATCH(Tabelle11[[#Headers],[Richard_D]],Spielauswertung!$B608:$E608,0))+AL619)</f>
        <v>107.23233592026223</v>
      </c>
      <c r="AM620" s="1">
        <f>IF(IFERROR(MATCH(Tabelle11[[#Headers],[Rodrigo_R]],Spielauswertung!$B608:$E608,0),0)=0,AM619,INDEX(Spielauswertung!$AB608:$AE608,MATCH(Tabelle11[[#Headers],[Rodrigo_R]],Spielauswertung!$B608:$E608,0))+AM619)</f>
        <v>116.7028707921346</v>
      </c>
      <c r="AN620" s="1">
        <f>IF(IFERROR(MATCH(Tabelle11[[#Headers],[Sebastian_A]],Spielauswertung!$B608:$E608,0),0)=0,AN619,INDEX(Spielauswertung!$AB608:$AE608,MATCH(Tabelle11[[#Headers],[Sebastian_A]],Spielauswertung!$B608:$E608,0))+AN619)</f>
        <v>102.89457418671324</v>
      </c>
      <c r="AO620" s="1">
        <f>IF(IFERROR(MATCH(Tabelle11[[#Headers],[Sebastian_St]],Spielauswertung!$B608:$E608,0),0)=0,AO619,INDEX(Spielauswertung!$AB608:$AE608,MATCH(Tabelle11[[#Headers],[Sebastian_St]],Spielauswertung!$B608:$E608,0))+AO619)</f>
        <v>97.749574367408982</v>
      </c>
      <c r="AP620" s="1">
        <f>IF(IFERROR(MATCH(Tabelle11[[#Headers],[Simon_U]],Spielauswertung!$B608:$E608,0),0)=0,AP619,INDEX(Spielauswertung!$AB608:$AE608,MATCH(Tabelle11[[#Headers],[Simon_U]],Spielauswertung!$B608:$E608,0))+AP619)</f>
        <v>99.623054841470903</v>
      </c>
      <c r="AQ620" s="1">
        <f>IF(IFERROR(MATCH(Tabelle11[[#Headers],[Steffen_R]],Spielauswertung!$B608:$E608,0),0)=0,AQ619,INDEX(Spielauswertung!$AB608:$AE608,MATCH(Tabelle11[[#Headers],[Steffen_R]],Spielauswertung!$B608:$E608,0))+AQ619)</f>
        <v>93.247497067190949</v>
      </c>
      <c r="AR620" s="1">
        <f>IF(IFERROR(MATCH(Tabelle11[[#Headers],[Tim_R]],Spielauswertung!$B608:$E608,0),0)=0,AR619,INDEX(Spielauswertung!$AB608:$AE608,MATCH(Tabelle11[[#Headers],[Tim_R]],Spielauswertung!$B608:$E608,0))+AR619)</f>
        <v>103.07503787023374</v>
      </c>
      <c r="AS620" s="1">
        <f>IF(IFERROR(MATCH(Tabelle11[[#Headers],[Tobias_S]],Spielauswertung!$B608:$E608,0),0)=0,AS619,INDEX(Spielauswertung!$AB608:$AE608,MATCH(Tabelle11[[#Headers],[Tobias_S]],Spielauswertung!$B608:$E608,0))+AS619)</f>
        <v>98.6003422659997</v>
      </c>
      <c r="AT620" s="1">
        <f>IF(IFERROR(MATCH(Tabelle11[[#Headers],[Tom_R]],Spielauswertung!$B608:$E608,0),0)=0,AT619,INDEX(Spielauswertung!$AB608:$AE608,MATCH(Tabelle11[[#Headers],[Tom_R]],Spielauswertung!$B608:$E608,0))+AT619)</f>
        <v>112.62344492949197</v>
      </c>
      <c r="AU620" s="1">
        <f>IF(IFERROR(MATCH(Tabelle11[[#Headers],[Ton_L]],Spielauswertung!$B608:$E608,0),0)=0,AU619,INDEX(Spielauswertung!$AB608:$AE608,MATCH(Tabelle11[[#Headers],[Ton_L]],Spielauswertung!$B608:$E608,0))+AU619)</f>
        <v>92.683083360025861</v>
      </c>
      <c r="AV620" s="1">
        <f>IF(IFERROR(MATCH(Tabelle11[[#Headers],[Yixin_G]],Spielauswertung!$B608:$E608,0),0)=0,AV619,INDEX(Spielauswertung!$AB608:$AE608,MATCH(Tabelle11[[#Headers],[Yixin_G]],Spielauswertung!$B608:$E608,0))+AV619)</f>
        <v>99.900323214082661</v>
      </c>
      <c r="AW620" s="1">
        <f>IF(IFERROR(MATCH(Tabelle11[[#Headers],[Spalte36]],Spielauswertung!$B608:$E608,0),0)=0,AW619,INDEX(Spielauswertung!$AB608:$AE608,MATCH(Tabelle11[[#Headers],[Spalte36]],Spielauswertung!$B608:$E608,0))+AW619)</f>
        <v>100</v>
      </c>
      <c r="AX620" s="1">
        <f>IF(IFERROR(MATCH(Tabelle11[[#Headers],[Spalte37]],Spielauswertung!$B608:$E608,0),0)=0,AX619,INDEX(Spielauswertung!$AB608:$AE608,MATCH(Tabelle11[[#Headers],[Spalte37]],Spielauswertung!$B608:$E608,0))+AX619)</f>
        <v>100</v>
      </c>
      <c r="AY620" s="1">
        <f>IF(IFERROR(MATCH(Tabelle11[[#Headers],[Spalte38]],Spielauswertung!$B608:$E608,0),0)=0,AY619,INDEX(Spielauswertung!$AB608:$AE608,MATCH(Tabelle11[[#Headers],[Spalte38]],Spielauswertung!$B608:$E608,0))+AY619)</f>
        <v>100</v>
      </c>
      <c r="AZ620" s="1">
        <f>IF(IFERROR(MATCH(Tabelle11[[#Headers],[Spalte39]],Spielauswertung!$B608:$E608,0),0)=0,AZ619,INDEX(Spielauswertung!$AB608:$AE608,MATCH(Tabelle11[[#Headers],[Spalte39]],Spielauswertung!$B608:$E608,0))+AZ619)</f>
        <v>100</v>
      </c>
      <c r="BA620" s="1">
        <f>IF(IFERROR(MATCH(Tabelle11[[#Headers],[Spalte40]],Spielauswertung!$B608:$E608,0),0)=0,BA619,INDEX(Spielauswertung!$AB608:$AE608,MATCH(Tabelle11[[#Headers],[Spalte40]],Spielauswertung!$B608:$E608,0))+BA619)</f>
        <v>100</v>
      </c>
      <c r="BB620" s="1">
        <f>IF(IFERROR(MATCH(Tabelle11[[#Headers],[Spalte41]],Spielauswertung!$B608:$E608,0),0)=0,BB619,INDEX(Spielauswertung!$AB608:$AE608,MATCH(Tabelle11[[#Headers],[Spalte41]],Spielauswertung!$B608:$E608,0))+BB619)</f>
        <v>100</v>
      </c>
      <c r="BC620" s="1">
        <f>IF(IFERROR(MATCH(Tabelle11[[#Headers],[Spalte42]],Spielauswertung!$B608:$E608,0),0)=0,BC619,INDEX(Spielauswertung!$AB608:$AE608,MATCH(Tabelle11[[#Headers],[Spalte42]],Spielauswertung!$B608:$E608,0))+BC619)</f>
        <v>100</v>
      </c>
      <c r="BD620" s="1">
        <f>IF(IFERROR(MATCH(Tabelle11[[#Headers],[Spalte43]],Spielauswertung!$B608:$E608,0),0)=0,BD619,INDEX(Spielauswertung!$AB608:$AE608,MATCH(Tabelle11[[#Headers],[Spalte43]],Spielauswertung!$B608:$E608,0))+BD619)</f>
        <v>100</v>
      </c>
      <c r="BE620" s="1">
        <f>IF(IFERROR(MATCH(Tabelle11[[#Headers],[Spalte44]],Spielauswertung!$B608:$E608,0),0)=0,BE619,INDEX(Spielauswertung!$AB608:$AE608,MATCH(Tabelle11[[#Headers],[Spalte44]],Spielauswertung!$B608:$E608,0))+BE619)</f>
        <v>100</v>
      </c>
      <c r="BF620" s="1">
        <f>IF(IFERROR(MATCH(Tabelle11[[#Headers],[Spalte45]],Spielauswertung!$B608:$E608,0),0)=0,BF619,INDEX(Spielauswertung!$AB608:$AE608,MATCH(Tabelle11[[#Headers],[Spalte45]],Spielauswertung!$B608:$E608,0))+BF619)</f>
        <v>100</v>
      </c>
      <c r="BG620" s="1">
        <f>IF(IFERROR(MATCH(Tabelle11[[#Headers],[Spalte46]],Spielauswertung!$B608:$E608,0),0)=0,BG619,INDEX(Spielauswertung!$AB608:$AE608,MATCH(Tabelle11[[#Headers],[Spalte46]],Spielauswertung!$B608:$E608,0))+BG619)</f>
        <v>100</v>
      </c>
      <c r="BH620" s="1">
        <f>IF(IFERROR(MATCH(Tabelle11[[#Headers],[Spalte47]],Spielauswertung!$B608:$E608,0),0)=0,BH619,INDEX(Spielauswertung!$AB608:$AE608,MATCH(Tabelle11[[#Headers],[Spalte47]],Spielauswertung!$B608:$E608,0))+BH619)</f>
        <v>100</v>
      </c>
    </row>
    <row r="621" spans="1:60" x14ac:dyDescent="0.25">
      <c r="A621">
        <f t="shared" si="10"/>
        <v>608</v>
      </c>
      <c r="B621" s="1">
        <f>IF(IFERROR(MATCH(Tabelle11[[#Headers],[Aleix_V]],Spielauswertung!$B609:$E609,0),0)=0,B620,INDEX(Spielauswertung!$AB609:$AE609,MATCH(Tabelle11[[#Headers],[Aleix_V]],Spielauswertung!$B609:$E609,0))+B620)</f>
        <v>102.47318019444646</v>
      </c>
      <c r="C621" s="1">
        <f>IF(IFERROR(MATCH(Tabelle11[[#Headers],[Andres_H]],Spielauswertung!$B609:$E609,0),0)=0,C620,INDEX(Spielauswertung!$AB609:$AE609,MATCH(Tabelle11[[#Headers],[Andres_H]],Spielauswertung!$B609:$E609,0))+C620)</f>
        <v>95.535732339111306</v>
      </c>
      <c r="D621" s="1">
        <f>IF(IFERROR(MATCH(Tabelle11[[#Headers],[Anton_K]],Spielauswertung!$B609:$E609,0),0)=0,D620,INDEX(Spielauswertung!$AB609:$AE609,MATCH(Tabelle11[[#Headers],[Anton_K]],Spielauswertung!$B609:$E609,0))+D620)</f>
        <v>99.287728777054667</v>
      </c>
      <c r="E621" s="1">
        <f>IF(IFERROR(MATCH(Tabelle11[[#Headers],[Bastian_G]],Spielauswertung!$B609:$E609,0),0)=0,E620,INDEX(Spielauswertung!$AB609:$AE609,MATCH(Tabelle11[[#Headers],[Bastian_G]],Spielauswertung!$B609:$E609,0))+E620)</f>
        <v>117.49978695184252</v>
      </c>
      <c r="F621" s="1">
        <f>IF(IFERROR(MATCH(Tabelle11[[#Headers],[Ben_S]],Spielauswertung!$B609:$E609,0),0)=0,F620,INDEX(Spielauswertung!$AB609:$AE609,MATCH(Tabelle11[[#Headers],[Ben_S]],Spielauswertung!$B609:$E609,0))+F620)</f>
        <v>95.932799101521084</v>
      </c>
      <c r="G621" s="1">
        <f>IF(IFERROR(MATCH(Tabelle11[[#Headers],[Benedikt_K]],Spielauswertung!$B609:$E609,0),0)=0,G620,INDEX(Spielauswertung!$AB609:$AE609,MATCH(Tabelle11[[#Headers],[Benedikt_K]],Spielauswertung!$B609:$E609,0))+G620)</f>
        <v>101.20264176422626</v>
      </c>
      <c r="H621" s="1">
        <f>IF(IFERROR(MATCH(Tabelle11[[#Headers],[Benedikt_R]],Spielauswertung!$B609:$E609,0),0)=0,H620,INDEX(Spielauswertung!$AB609:$AE609,MATCH(Tabelle11[[#Headers],[Benedikt_R]],Spielauswertung!$B609:$E609,0))+H620)</f>
        <v>102.6264770510757</v>
      </c>
      <c r="I621" s="1">
        <f>IF(IFERROR(MATCH(Tabelle11[[#Headers],[Carsten_H]],Spielauswertung!$B609:$E609,0),0)=0,I620,INDEX(Spielauswertung!$AB609:$AE609,MATCH(Tabelle11[[#Headers],[Carsten_H]],Spielauswertung!$B609:$E609,0))+I620)</f>
        <v>90.817185094326874</v>
      </c>
      <c r="J621" s="1">
        <f>IF(IFERROR(MATCH(Tabelle11[[#Headers],[Christoph_R]],Spielauswertung!$B609:$E609,0),0)=0,J620,INDEX(Spielauswertung!$AB609:$AE609,MATCH(Tabelle11[[#Headers],[Christoph_R]],Spielauswertung!$B609:$E609,0))+J620)</f>
        <v>109.73261611443155</v>
      </c>
      <c r="K621" s="1">
        <f>IF(IFERROR(MATCH(Tabelle11[[#Headers],[Claudius_J]],Spielauswertung!$B609:$E609,0),0)=0,K620,INDEX(Spielauswertung!$AB609:$AE609,MATCH(Tabelle11[[#Headers],[Claudius_J]],Spielauswertung!$B609:$E609,0))+K620)</f>
        <v>106.16590636000029</v>
      </c>
      <c r="L621" s="1">
        <f>IF(IFERROR(MATCH(Tabelle11[[#Headers],[Daniel_D]],Spielauswertung!$B609:$E609,0),0)=0,L620,INDEX(Spielauswertung!$AB609:$AE609,MATCH(Tabelle11[[#Headers],[Daniel_D]],Spielauswertung!$B609:$E609,0))+L620)</f>
        <v>99.990299180470089</v>
      </c>
      <c r="M621" s="1">
        <f>IF(IFERROR(MATCH(Tabelle11[[#Headers],[David_R]],Spielauswertung!$B609:$E609,0),0)=0,M620,INDEX(Spielauswertung!$AB609:$AE609,MATCH(Tabelle11[[#Headers],[David_R]],Spielauswertung!$B609:$E609,0))+M620)</f>
        <v>96.715943522481638</v>
      </c>
      <c r="N621" s="1">
        <f>IF(IFERROR(MATCH(Tabelle11[[#Headers],[Dennis_P]],Spielauswertung!$B609:$E609,0),0)=0,N620,INDEX(Spielauswertung!$AB609:$AE609,MATCH(Tabelle11[[#Headers],[Dennis_P]],Spielauswertung!$B609:$E609,0))+N620)</f>
        <v>100.04773223105254</v>
      </c>
      <c r="O621" s="1">
        <f>IF(IFERROR(MATCH(Tabelle11[[#Headers],[Dennis_R]],Spielauswertung!$B609:$E609,0),0)=0,O620,INDEX(Spielauswertung!$AB609:$AE609,MATCH(Tabelle11[[#Headers],[Dennis_R]],Spielauswertung!$B609:$E609,0))+O620)</f>
        <v>75.131680864937195</v>
      </c>
      <c r="P621" s="1">
        <f>IF(IFERROR(MATCH(Tabelle11[[#Headers],[Detlef_R]],Spielauswertung!$B609:$E609,0),0)=0,P620,INDEX(Spielauswertung!$AB609:$AE609,MATCH(Tabelle11[[#Headers],[Detlef_R]],Spielauswertung!$B609:$E609,0))+P620)</f>
        <v>87.984671797367014</v>
      </c>
      <c r="Q621" s="1">
        <f>IF(IFERROR(MATCH(Tabelle11[[#Headers],[Dmitrij_M]],Spielauswertung!$B609:$E609,0),0)=0,Q620,INDEX(Spielauswertung!$AB609:$AE609,MATCH(Tabelle11[[#Headers],[Dmitrij_M]],Spielauswertung!$B609:$E609,0))+Q620)</f>
        <v>100.69975721846207</v>
      </c>
      <c r="R621" s="1">
        <f>IF(IFERROR(MATCH(Tabelle11[[#Headers],[Fabian_M]],Spielauswertung!$B609:$E609,0),0)=0,R620,INDEX(Spielauswertung!$AB609:$AE609,MATCH(Tabelle11[[#Headers],[Fabian_M]],Spielauswertung!$B609:$E609,0))+R620)</f>
        <v>95.805387841610738</v>
      </c>
      <c r="S621" s="1">
        <f>IF(IFERROR(MATCH(Tabelle11[[#Headers],[Hannes_S]],Spielauswertung!$B609:$E609,0),0)=0,S620,INDEX(Spielauswertung!$AB609:$AE609,MATCH(Tabelle11[[#Headers],[Hannes_S]],Spielauswertung!$B609:$E609,0))+S620)</f>
        <v>104.83899184012799</v>
      </c>
      <c r="T621" s="1">
        <f>IF(IFERROR(MATCH(Tabelle11[[#Headers],[Jan_B]],Spielauswertung!$B609:$E609,0),0)=0,T620,INDEX(Spielauswertung!$AB609:$AE609,MATCH(Tabelle11[[#Headers],[Jan_B]],Spielauswertung!$B609:$E609,0))+T620)</f>
        <v>100.2794420429173</v>
      </c>
      <c r="U621" s="1">
        <f>IF(IFERROR(MATCH(Tabelle11[[#Headers],[Jan_Hendrik_B]],Spielauswertung!$B609:$E609,0),0)=0,U620,INDEX(Spielauswertung!$AB609:$AE609,MATCH(Tabelle11[[#Headers],[Jan_Hendrik_B]],Spielauswertung!$B609:$E609,0))+U620)</f>
        <v>100.75492416935522</v>
      </c>
      <c r="V621" s="1">
        <f>IF(IFERROR(MATCH(Tabelle11[[#Headers],[Jens_N]],Spielauswertung!$B609:$E609,0),0)=0,V620,INDEX(Spielauswertung!$AB609:$AE609,MATCH(Tabelle11[[#Headers],[Jens_N]],Spielauswertung!$B609:$E609,0))+V620)</f>
        <v>99.643534710196832</v>
      </c>
      <c r="W621" s="1">
        <f>IF(IFERROR(MATCH(Tabelle11[[#Headers],[Johannes_S]],Spielauswertung!$B609:$E609,0),0)=0,W620,INDEX(Spielauswertung!$AB609:$AE609,MATCH(Tabelle11[[#Headers],[Johannes_S]],Spielauswertung!$B609:$E609,0))+W620)</f>
        <v>102.20284750979505</v>
      </c>
      <c r="X621" s="1">
        <f>IF(IFERROR(MATCH(Tabelle11[[#Headers],[Jonathan_F]],Spielauswertung!$B609:$E609,0),0)=0,X620,INDEX(Spielauswertung!$AB609:$AE609,MATCH(Tabelle11[[#Headers],[Jonathan_F]],Spielauswertung!$B609:$E609,0))+X620)</f>
        <v>98.938308797866256</v>
      </c>
      <c r="Y621" s="1">
        <f>IF(IFERROR(MATCH(Tabelle11[[#Headers],[Julius_P]],Spielauswertung!$B609:$E609,0),0)=0,Y620,INDEX(Spielauswertung!$AB609:$AE609,MATCH(Tabelle11[[#Headers],[Julius_P]],Spielauswertung!$B609:$E609,0))+Y620)</f>
        <v>96.540305101873642</v>
      </c>
      <c r="Z621" s="1">
        <f>IF(IFERROR(MATCH(Tabelle11[[#Headers],[Louis_W]],Spielauswertung!$B609:$E609,0),0)=0,Z620,INDEX(Spielauswertung!$AB609:$AE609,MATCH(Tabelle11[[#Headers],[Louis_W]],Spielauswertung!$B609:$E609,0))+Z620)</f>
        <v>87.497452285475362</v>
      </c>
      <c r="AA621" s="1">
        <f>IF(IFERROR(MATCH(Tabelle11[[#Headers],[Lukas_L]],Spielauswertung!$B609:$E609,0),0)=0,AA620,INDEX(Spielauswertung!$AB609:$AE609,MATCH(Tabelle11[[#Headers],[Lukas_L]],Spielauswertung!$B609:$E609,0))+AA620)</f>
        <v>98.447931341404143</v>
      </c>
      <c r="AB621" s="1">
        <f>IF(IFERROR(MATCH(Tabelle11[[#Headers],[Marcin_S]],Spielauswertung!$B609:$E609,0),0)=0,AB620,INDEX(Spielauswertung!$AB609:$AE609,MATCH(Tabelle11[[#Headers],[Marcin_S]],Spielauswertung!$B609:$E609,0))+AB620)</f>
        <v>85.463329105556824</v>
      </c>
      <c r="AC621" s="1">
        <f>IF(IFERROR(MATCH(Tabelle11[[#Headers],[Marco_K]],Spielauswertung!$B609:$E609,0),0)=0,AC620,INDEX(Spielauswertung!$AB609:$AE609,MATCH(Tabelle11[[#Headers],[Marco_K]],Spielauswertung!$B609:$E609,0))+AC620)</f>
        <v>102.12169819441469</v>
      </c>
      <c r="AD621" s="1">
        <f>IF(IFERROR(MATCH(Tabelle11[[#Headers],[Marius_M]],Spielauswertung!$B609:$E609,0),0)=0,AD620,INDEX(Spielauswertung!$AB609:$AE609,MATCH(Tabelle11[[#Headers],[Marius_M]],Spielauswertung!$B609:$E609,0))+AD620)</f>
        <v>124.54012374585781</v>
      </c>
      <c r="AE621" s="1">
        <f>IF(IFERROR(MATCH(Tabelle11[[#Headers],[Marvin_W]],Spielauswertung!$B609:$E609,0),0)=0,AE620,INDEX(Spielauswertung!$AB609:$AE609,MATCH(Tabelle11[[#Headers],[Marvin_W]],Spielauswertung!$B609:$E609,0))+AE620)</f>
        <v>96.700266280577438</v>
      </c>
      <c r="AF621" s="1">
        <f>IF(IFERROR(MATCH(Tabelle11[[#Headers],[Matthias_H]],Spielauswertung!$B609:$E609,0),0)=0,AF620,INDEX(Spielauswertung!$AB609:$AE609,MATCH(Tabelle11[[#Headers],[Matthias_H]],Spielauswertung!$B609:$E609,0))+AF620)</f>
        <v>105.42130178599372</v>
      </c>
      <c r="AG621" s="1">
        <f>IF(IFERROR(MATCH(Tabelle11[[#Headers],[Michael_D]],Spielauswertung!$B609:$E609,0),0)=0,AG620,INDEX(Spielauswertung!$AB609:$AE609,MATCH(Tabelle11[[#Headers],[Michael_D]],Spielauswertung!$B609:$E609,0))+AG620)</f>
        <v>96.436276170375336</v>
      </c>
      <c r="AH621" s="1">
        <f>IF(IFERROR(MATCH(Tabelle11[[#Headers],[Patrick_S]],Spielauswertung!$B609:$E609,0),0)=0,AH620,INDEX(Spielauswertung!$AB609:$AE609,MATCH(Tabelle11[[#Headers],[Patrick_S]],Spielauswertung!$B609:$E609,0))+AH620)</f>
        <v>98.975330692053802</v>
      </c>
      <c r="AI621" s="1">
        <f>IF(IFERROR(MATCH(Tabelle11[[#Headers],[Rano_M]],Spielauswertung!$B609:$E609,0),0)=0,AI620,INDEX(Spielauswertung!$AB609:$AE609,MATCH(Tabelle11[[#Headers],[Rano_M]],Spielauswertung!$B609:$E609,0))+AI620)</f>
        <v>109.38890657420265</v>
      </c>
      <c r="AJ621" s="1">
        <f>IF(IFERROR(MATCH(Tabelle11[[#Headers],[Rene_N]],Spielauswertung!$B609:$E609,0),0)=0,AJ620,INDEX(Spielauswertung!$AB609:$AE609,MATCH(Tabelle11[[#Headers],[Rene_N]],Spielauswertung!$B609:$E609,0))+AJ620)</f>
        <v>101.06482124619033</v>
      </c>
      <c r="AK621" s="1">
        <f>IF(IFERROR(MATCH(Tabelle11[[#Headers],[Rene_P]],Spielauswertung!$B609:$E609,0),0)=0,AK620,INDEX(Spielauswertung!$AB609:$AE609,MATCH(Tabelle11[[#Headers],[Rene_P]],Spielauswertung!$B609:$E609,0))+AK620)</f>
        <v>88.762543186332877</v>
      </c>
      <c r="AL621" s="1">
        <f>IF(IFERROR(MATCH(Tabelle11[[#Headers],[Richard_D]],Spielauswertung!$B609:$E609,0),0)=0,AL620,INDEX(Spielauswertung!$AB609:$AE609,MATCH(Tabelle11[[#Headers],[Richard_D]],Spielauswertung!$B609:$E609,0))+AL620)</f>
        <v>107.23233592026223</v>
      </c>
      <c r="AM621" s="1">
        <f>IF(IFERROR(MATCH(Tabelle11[[#Headers],[Rodrigo_R]],Spielauswertung!$B609:$E609,0),0)=0,AM620,INDEX(Spielauswertung!$AB609:$AE609,MATCH(Tabelle11[[#Headers],[Rodrigo_R]],Spielauswertung!$B609:$E609,0))+AM620)</f>
        <v>116.7028707921346</v>
      </c>
      <c r="AN621" s="1">
        <f>IF(IFERROR(MATCH(Tabelle11[[#Headers],[Sebastian_A]],Spielauswertung!$B609:$E609,0),0)=0,AN620,INDEX(Spielauswertung!$AB609:$AE609,MATCH(Tabelle11[[#Headers],[Sebastian_A]],Spielauswertung!$B609:$E609,0))+AN620)</f>
        <v>102.89457418671324</v>
      </c>
      <c r="AO621" s="1">
        <f>IF(IFERROR(MATCH(Tabelle11[[#Headers],[Sebastian_St]],Spielauswertung!$B609:$E609,0),0)=0,AO620,INDEX(Spielauswertung!$AB609:$AE609,MATCH(Tabelle11[[#Headers],[Sebastian_St]],Spielauswertung!$B609:$E609,0))+AO620)</f>
        <v>97.749574367408982</v>
      </c>
      <c r="AP621" s="1">
        <f>IF(IFERROR(MATCH(Tabelle11[[#Headers],[Simon_U]],Spielauswertung!$B609:$E609,0),0)=0,AP620,INDEX(Spielauswertung!$AB609:$AE609,MATCH(Tabelle11[[#Headers],[Simon_U]],Spielauswertung!$B609:$E609,0))+AP620)</f>
        <v>99.623054841470903</v>
      </c>
      <c r="AQ621" s="1">
        <f>IF(IFERROR(MATCH(Tabelle11[[#Headers],[Steffen_R]],Spielauswertung!$B609:$E609,0),0)=0,AQ620,INDEX(Spielauswertung!$AB609:$AE609,MATCH(Tabelle11[[#Headers],[Steffen_R]],Spielauswertung!$B609:$E609,0))+AQ620)</f>
        <v>93.247497067190949</v>
      </c>
      <c r="AR621" s="1">
        <f>IF(IFERROR(MATCH(Tabelle11[[#Headers],[Tim_R]],Spielauswertung!$B609:$E609,0),0)=0,AR620,INDEX(Spielauswertung!$AB609:$AE609,MATCH(Tabelle11[[#Headers],[Tim_R]],Spielauswertung!$B609:$E609,0))+AR620)</f>
        <v>103.07503787023374</v>
      </c>
      <c r="AS621" s="1">
        <f>IF(IFERROR(MATCH(Tabelle11[[#Headers],[Tobias_S]],Spielauswertung!$B609:$E609,0),0)=0,AS620,INDEX(Spielauswertung!$AB609:$AE609,MATCH(Tabelle11[[#Headers],[Tobias_S]],Spielauswertung!$B609:$E609,0))+AS620)</f>
        <v>98.6003422659997</v>
      </c>
      <c r="AT621" s="1">
        <f>IF(IFERROR(MATCH(Tabelle11[[#Headers],[Tom_R]],Spielauswertung!$B609:$E609,0),0)=0,AT620,INDEX(Spielauswertung!$AB609:$AE609,MATCH(Tabelle11[[#Headers],[Tom_R]],Spielauswertung!$B609:$E609,0))+AT620)</f>
        <v>112.62344492949197</v>
      </c>
      <c r="AU621" s="1">
        <f>IF(IFERROR(MATCH(Tabelle11[[#Headers],[Ton_L]],Spielauswertung!$B609:$E609,0),0)=0,AU620,INDEX(Spielauswertung!$AB609:$AE609,MATCH(Tabelle11[[#Headers],[Ton_L]],Spielauswertung!$B609:$E609,0))+AU620)</f>
        <v>92.683083360025861</v>
      </c>
      <c r="AV621" s="1">
        <f>IF(IFERROR(MATCH(Tabelle11[[#Headers],[Yixin_G]],Spielauswertung!$B609:$E609,0),0)=0,AV620,INDEX(Spielauswertung!$AB609:$AE609,MATCH(Tabelle11[[#Headers],[Yixin_G]],Spielauswertung!$B609:$E609,0))+AV620)</f>
        <v>99.900323214082661</v>
      </c>
      <c r="AW621" s="1">
        <f>IF(IFERROR(MATCH(Tabelle11[[#Headers],[Spalte36]],Spielauswertung!$B609:$E609,0),0)=0,AW620,INDEX(Spielauswertung!$AB609:$AE609,MATCH(Tabelle11[[#Headers],[Spalte36]],Spielauswertung!$B609:$E609,0))+AW620)</f>
        <v>100</v>
      </c>
      <c r="AX621" s="1">
        <f>IF(IFERROR(MATCH(Tabelle11[[#Headers],[Spalte37]],Spielauswertung!$B609:$E609,0),0)=0,AX620,INDEX(Spielauswertung!$AB609:$AE609,MATCH(Tabelle11[[#Headers],[Spalte37]],Spielauswertung!$B609:$E609,0))+AX620)</f>
        <v>100</v>
      </c>
      <c r="AY621" s="1">
        <f>IF(IFERROR(MATCH(Tabelle11[[#Headers],[Spalte38]],Spielauswertung!$B609:$E609,0),0)=0,AY620,INDEX(Spielauswertung!$AB609:$AE609,MATCH(Tabelle11[[#Headers],[Spalte38]],Spielauswertung!$B609:$E609,0))+AY620)</f>
        <v>100</v>
      </c>
      <c r="AZ621" s="1">
        <f>IF(IFERROR(MATCH(Tabelle11[[#Headers],[Spalte39]],Spielauswertung!$B609:$E609,0),0)=0,AZ620,INDEX(Spielauswertung!$AB609:$AE609,MATCH(Tabelle11[[#Headers],[Spalte39]],Spielauswertung!$B609:$E609,0))+AZ620)</f>
        <v>100</v>
      </c>
      <c r="BA621" s="1">
        <f>IF(IFERROR(MATCH(Tabelle11[[#Headers],[Spalte40]],Spielauswertung!$B609:$E609,0),0)=0,BA620,INDEX(Spielauswertung!$AB609:$AE609,MATCH(Tabelle11[[#Headers],[Spalte40]],Spielauswertung!$B609:$E609,0))+BA620)</f>
        <v>100</v>
      </c>
      <c r="BB621" s="1">
        <f>IF(IFERROR(MATCH(Tabelle11[[#Headers],[Spalte41]],Spielauswertung!$B609:$E609,0),0)=0,BB620,INDEX(Spielauswertung!$AB609:$AE609,MATCH(Tabelle11[[#Headers],[Spalte41]],Spielauswertung!$B609:$E609,0))+BB620)</f>
        <v>100</v>
      </c>
      <c r="BC621" s="1">
        <f>IF(IFERROR(MATCH(Tabelle11[[#Headers],[Spalte42]],Spielauswertung!$B609:$E609,0),0)=0,BC620,INDEX(Spielauswertung!$AB609:$AE609,MATCH(Tabelle11[[#Headers],[Spalte42]],Spielauswertung!$B609:$E609,0))+BC620)</f>
        <v>100</v>
      </c>
      <c r="BD621" s="1">
        <f>IF(IFERROR(MATCH(Tabelle11[[#Headers],[Spalte43]],Spielauswertung!$B609:$E609,0),0)=0,BD620,INDEX(Spielauswertung!$AB609:$AE609,MATCH(Tabelle11[[#Headers],[Spalte43]],Spielauswertung!$B609:$E609,0))+BD620)</f>
        <v>100</v>
      </c>
      <c r="BE621" s="1">
        <f>IF(IFERROR(MATCH(Tabelle11[[#Headers],[Spalte44]],Spielauswertung!$B609:$E609,0),0)=0,BE620,INDEX(Spielauswertung!$AB609:$AE609,MATCH(Tabelle11[[#Headers],[Spalte44]],Spielauswertung!$B609:$E609,0))+BE620)</f>
        <v>100</v>
      </c>
      <c r="BF621" s="1">
        <f>IF(IFERROR(MATCH(Tabelle11[[#Headers],[Spalte45]],Spielauswertung!$B609:$E609,0),0)=0,BF620,INDEX(Spielauswertung!$AB609:$AE609,MATCH(Tabelle11[[#Headers],[Spalte45]],Spielauswertung!$B609:$E609,0))+BF620)</f>
        <v>100</v>
      </c>
      <c r="BG621" s="1">
        <f>IF(IFERROR(MATCH(Tabelle11[[#Headers],[Spalte46]],Spielauswertung!$B609:$E609,0),0)=0,BG620,INDEX(Spielauswertung!$AB609:$AE609,MATCH(Tabelle11[[#Headers],[Spalte46]],Spielauswertung!$B609:$E609,0))+BG620)</f>
        <v>100</v>
      </c>
      <c r="BH621" s="1">
        <f>IF(IFERROR(MATCH(Tabelle11[[#Headers],[Spalte47]],Spielauswertung!$B609:$E609,0),0)=0,BH620,INDEX(Spielauswertung!$AB609:$AE609,MATCH(Tabelle11[[#Headers],[Spalte47]],Spielauswertung!$B609:$E609,0))+BH620)</f>
        <v>100</v>
      </c>
    </row>
    <row r="622" spans="1:60" x14ac:dyDescent="0.25">
      <c r="A622">
        <f t="shared" si="10"/>
        <v>609</v>
      </c>
      <c r="B622" s="1">
        <f>IF(IFERROR(MATCH(Tabelle11[[#Headers],[Aleix_V]],Spielauswertung!$B610:$E610,0),0)=0,B621,INDEX(Spielauswertung!$AB610:$AE610,MATCH(Tabelle11[[#Headers],[Aleix_V]],Spielauswertung!$B610:$E610,0))+B621)</f>
        <v>102.47318019444646</v>
      </c>
      <c r="C622" s="1">
        <f>IF(IFERROR(MATCH(Tabelle11[[#Headers],[Andres_H]],Spielauswertung!$B610:$E610,0),0)=0,C621,INDEX(Spielauswertung!$AB610:$AE610,MATCH(Tabelle11[[#Headers],[Andres_H]],Spielauswertung!$B610:$E610,0))+C621)</f>
        <v>95.535732339111306</v>
      </c>
      <c r="D622" s="1">
        <f>IF(IFERROR(MATCH(Tabelle11[[#Headers],[Anton_K]],Spielauswertung!$B610:$E610,0),0)=0,D621,INDEX(Spielauswertung!$AB610:$AE610,MATCH(Tabelle11[[#Headers],[Anton_K]],Spielauswertung!$B610:$E610,0))+D621)</f>
        <v>99.287728777054667</v>
      </c>
      <c r="E622" s="1">
        <f>IF(IFERROR(MATCH(Tabelle11[[#Headers],[Bastian_G]],Spielauswertung!$B610:$E610,0),0)=0,E621,INDEX(Spielauswertung!$AB610:$AE610,MATCH(Tabelle11[[#Headers],[Bastian_G]],Spielauswertung!$B610:$E610,0))+E621)</f>
        <v>117.49978695184252</v>
      </c>
      <c r="F622" s="1">
        <f>IF(IFERROR(MATCH(Tabelle11[[#Headers],[Ben_S]],Spielauswertung!$B610:$E610,0),0)=0,F621,INDEX(Spielauswertung!$AB610:$AE610,MATCH(Tabelle11[[#Headers],[Ben_S]],Spielauswertung!$B610:$E610,0))+F621)</f>
        <v>95.932799101521084</v>
      </c>
      <c r="G622" s="1">
        <f>IF(IFERROR(MATCH(Tabelle11[[#Headers],[Benedikt_K]],Spielauswertung!$B610:$E610,0),0)=0,G621,INDEX(Spielauswertung!$AB610:$AE610,MATCH(Tabelle11[[#Headers],[Benedikt_K]],Spielauswertung!$B610:$E610,0))+G621)</f>
        <v>101.20264176422626</v>
      </c>
      <c r="H622" s="1">
        <f>IF(IFERROR(MATCH(Tabelle11[[#Headers],[Benedikt_R]],Spielauswertung!$B610:$E610,0),0)=0,H621,INDEX(Spielauswertung!$AB610:$AE610,MATCH(Tabelle11[[#Headers],[Benedikt_R]],Spielauswertung!$B610:$E610,0))+H621)</f>
        <v>102.6264770510757</v>
      </c>
      <c r="I622" s="1">
        <f>IF(IFERROR(MATCH(Tabelle11[[#Headers],[Carsten_H]],Spielauswertung!$B610:$E610,0),0)=0,I621,INDEX(Spielauswertung!$AB610:$AE610,MATCH(Tabelle11[[#Headers],[Carsten_H]],Spielauswertung!$B610:$E610,0))+I621)</f>
        <v>90.817185094326874</v>
      </c>
      <c r="J622" s="1">
        <f>IF(IFERROR(MATCH(Tabelle11[[#Headers],[Christoph_R]],Spielauswertung!$B610:$E610,0),0)=0,J621,INDEX(Spielauswertung!$AB610:$AE610,MATCH(Tabelle11[[#Headers],[Christoph_R]],Spielauswertung!$B610:$E610,0))+J621)</f>
        <v>109.73261611443155</v>
      </c>
      <c r="K622" s="1">
        <f>IF(IFERROR(MATCH(Tabelle11[[#Headers],[Claudius_J]],Spielauswertung!$B610:$E610,0),0)=0,K621,INDEX(Spielauswertung!$AB610:$AE610,MATCH(Tabelle11[[#Headers],[Claudius_J]],Spielauswertung!$B610:$E610,0))+K621)</f>
        <v>106.16590636000029</v>
      </c>
      <c r="L622" s="1">
        <f>IF(IFERROR(MATCH(Tabelle11[[#Headers],[Daniel_D]],Spielauswertung!$B610:$E610,0),0)=0,L621,INDEX(Spielauswertung!$AB610:$AE610,MATCH(Tabelle11[[#Headers],[Daniel_D]],Spielauswertung!$B610:$E610,0))+L621)</f>
        <v>99.990299180470089</v>
      </c>
      <c r="M622" s="1">
        <f>IF(IFERROR(MATCH(Tabelle11[[#Headers],[David_R]],Spielauswertung!$B610:$E610,0),0)=0,M621,INDEX(Spielauswertung!$AB610:$AE610,MATCH(Tabelle11[[#Headers],[David_R]],Spielauswertung!$B610:$E610,0))+M621)</f>
        <v>96.715943522481638</v>
      </c>
      <c r="N622" s="1">
        <f>IF(IFERROR(MATCH(Tabelle11[[#Headers],[Dennis_P]],Spielauswertung!$B610:$E610,0),0)=0,N621,INDEX(Spielauswertung!$AB610:$AE610,MATCH(Tabelle11[[#Headers],[Dennis_P]],Spielauswertung!$B610:$E610,0))+N621)</f>
        <v>100.04773223105254</v>
      </c>
      <c r="O622" s="1">
        <f>IF(IFERROR(MATCH(Tabelle11[[#Headers],[Dennis_R]],Spielauswertung!$B610:$E610,0),0)=0,O621,INDEX(Spielauswertung!$AB610:$AE610,MATCH(Tabelle11[[#Headers],[Dennis_R]],Spielauswertung!$B610:$E610,0))+O621)</f>
        <v>75.131680864937195</v>
      </c>
      <c r="P622" s="1">
        <f>IF(IFERROR(MATCH(Tabelle11[[#Headers],[Detlef_R]],Spielauswertung!$B610:$E610,0),0)=0,P621,INDEX(Spielauswertung!$AB610:$AE610,MATCH(Tabelle11[[#Headers],[Detlef_R]],Spielauswertung!$B610:$E610,0))+P621)</f>
        <v>87.984671797367014</v>
      </c>
      <c r="Q622" s="1">
        <f>IF(IFERROR(MATCH(Tabelle11[[#Headers],[Dmitrij_M]],Spielauswertung!$B610:$E610,0),0)=0,Q621,INDEX(Spielauswertung!$AB610:$AE610,MATCH(Tabelle11[[#Headers],[Dmitrij_M]],Spielauswertung!$B610:$E610,0))+Q621)</f>
        <v>100.69975721846207</v>
      </c>
      <c r="R622" s="1">
        <f>IF(IFERROR(MATCH(Tabelle11[[#Headers],[Fabian_M]],Spielauswertung!$B610:$E610,0),0)=0,R621,INDEX(Spielauswertung!$AB610:$AE610,MATCH(Tabelle11[[#Headers],[Fabian_M]],Spielauswertung!$B610:$E610,0))+R621)</f>
        <v>95.805387841610738</v>
      </c>
      <c r="S622" s="1">
        <f>IF(IFERROR(MATCH(Tabelle11[[#Headers],[Hannes_S]],Spielauswertung!$B610:$E610,0),0)=0,S621,INDEX(Spielauswertung!$AB610:$AE610,MATCH(Tabelle11[[#Headers],[Hannes_S]],Spielauswertung!$B610:$E610,0))+S621)</f>
        <v>104.83899184012799</v>
      </c>
      <c r="T622" s="1">
        <f>IF(IFERROR(MATCH(Tabelle11[[#Headers],[Jan_B]],Spielauswertung!$B610:$E610,0),0)=0,T621,INDEX(Spielauswertung!$AB610:$AE610,MATCH(Tabelle11[[#Headers],[Jan_B]],Spielauswertung!$B610:$E610,0))+T621)</f>
        <v>100.2794420429173</v>
      </c>
      <c r="U622" s="1">
        <f>IF(IFERROR(MATCH(Tabelle11[[#Headers],[Jan_Hendrik_B]],Spielauswertung!$B610:$E610,0),0)=0,U621,INDEX(Spielauswertung!$AB610:$AE610,MATCH(Tabelle11[[#Headers],[Jan_Hendrik_B]],Spielauswertung!$B610:$E610,0))+U621)</f>
        <v>100.75492416935522</v>
      </c>
      <c r="V622" s="1">
        <f>IF(IFERROR(MATCH(Tabelle11[[#Headers],[Jens_N]],Spielauswertung!$B610:$E610,0),0)=0,V621,INDEX(Spielauswertung!$AB610:$AE610,MATCH(Tabelle11[[#Headers],[Jens_N]],Spielauswertung!$B610:$E610,0))+V621)</f>
        <v>99.643534710196832</v>
      </c>
      <c r="W622" s="1">
        <f>IF(IFERROR(MATCH(Tabelle11[[#Headers],[Johannes_S]],Spielauswertung!$B610:$E610,0),0)=0,W621,INDEX(Spielauswertung!$AB610:$AE610,MATCH(Tabelle11[[#Headers],[Johannes_S]],Spielauswertung!$B610:$E610,0))+W621)</f>
        <v>102.20284750979505</v>
      </c>
      <c r="X622" s="1">
        <f>IF(IFERROR(MATCH(Tabelle11[[#Headers],[Jonathan_F]],Spielauswertung!$B610:$E610,0),0)=0,X621,INDEX(Spielauswertung!$AB610:$AE610,MATCH(Tabelle11[[#Headers],[Jonathan_F]],Spielauswertung!$B610:$E610,0))+X621)</f>
        <v>98.938308797866256</v>
      </c>
      <c r="Y622" s="1">
        <f>IF(IFERROR(MATCH(Tabelle11[[#Headers],[Julius_P]],Spielauswertung!$B610:$E610,0),0)=0,Y621,INDEX(Spielauswertung!$AB610:$AE610,MATCH(Tabelle11[[#Headers],[Julius_P]],Spielauswertung!$B610:$E610,0))+Y621)</f>
        <v>96.540305101873642</v>
      </c>
      <c r="Z622" s="1">
        <f>IF(IFERROR(MATCH(Tabelle11[[#Headers],[Louis_W]],Spielauswertung!$B610:$E610,0),0)=0,Z621,INDEX(Spielauswertung!$AB610:$AE610,MATCH(Tabelle11[[#Headers],[Louis_W]],Spielauswertung!$B610:$E610,0))+Z621)</f>
        <v>87.497452285475362</v>
      </c>
      <c r="AA622" s="1">
        <f>IF(IFERROR(MATCH(Tabelle11[[#Headers],[Lukas_L]],Spielauswertung!$B610:$E610,0),0)=0,AA621,INDEX(Spielauswertung!$AB610:$AE610,MATCH(Tabelle11[[#Headers],[Lukas_L]],Spielauswertung!$B610:$E610,0))+AA621)</f>
        <v>98.447931341404143</v>
      </c>
      <c r="AB622" s="1">
        <f>IF(IFERROR(MATCH(Tabelle11[[#Headers],[Marcin_S]],Spielauswertung!$B610:$E610,0),0)=0,AB621,INDEX(Spielauswertung!$AB610:$AE610,MATCH(Tabelle11[[#Headers],[Marcin_S]],Spielauswertung!$B610:$E610,0))+AB621)</f>
        <v>85.463329105556824</v>
      </c>
      <c r="AC622" s="1">
        <f>IF(IFERROR(MATCH(Tabelle11[[#Headers],[Marco_K]],Spielauswertung!$B610:$E610,0),0)=0,AC621,INDEX(Spielauswertung!$AB610:$AE610,MATCH(Tabelle11[[#Headers],[Marco_K]],Spielauswertung!$B610:$E610,0))+AC621)</f>
        <v>102.12169819441469</v>
      </c>
      <c r="AD622" s="1">
        <f>IF(IFERROR(MATCH(Tabelle11[[#Headers],[Marius_M]],Spielauswertung!$B610:$E610,0),0)=0,AD621,INDEX(Spielauswertung!$AB610:$AE610,MATCH(Tabelle11[[#Headers],[Marius_M]],Spielauswertung!$B610:$E610,0))+AD621)</f>
        <v>124.54012374585781</v>
      </c>
      <c r="AE622" s="1">
        <f>IF(IFERROR(MATCH(Tabelle11[[#Headers],[Marvin_W]],Spielauswertung!$B610:$E610,0),0)=0,AE621,INDEX(Spielauswertung!$AB610:$AE610,MATCH(Tabelle11[[#Headers],[Marvin_W]],Spielauswertung!$B610:$E610,0))+AE621)</f>
        <v>96.700266280577438</v>
      </c>
      <c r="AF622" s="1">
        <f>IF(IFERROR(MATCH(Tabelle11[[#Headers],[Matthias_H]],Spielauswertung!$B610:$E610,0),0)=0,AF621,INDEX(Spielauswertung!$AB610:$AE610,MATCH(Tabelle11[[#Headers],[Matthias_H]],Spielauswertung!$B610:$E610,0))+AF621)</f>
        <v>105.42130178599372</v>
      </c>
      <c r="AG622" s="1">
        <f>IF(IFERROR(MATCH(Tabelle11[[#Headers],[Michael_D]],Spielauswertung!$B610:$E610,0),0)=0,AG621,INDEX(Spielauswertung!$AB610:$AE610,MATCH(Tabelle11[[#Headers],[Michael_D]],Spielauswertung!$B610:$E610,0))+AG621)</f>
        <v>96.436276170375336</v>
      </c>
      <c r="AH622" s="1">
        <f>IF(IFERROR(MATCH(Tabelle11[[#Headers],[Patrick_S]],Spielauswertung!$B610:$E610,0),0)=0,AH621,INDEX(Spielauswertung!$AB610:$AE610,MATCH(Tabelle11[[#Headers],[Patrick_S]],Spielauswertung!$B610:$E610,0))+AH621)</f>
        <v>98.975330692053802</v>
      </c>
      <c r="AI622" s="1">
        <f>IF(IFERROR(MATCH(Tabelle11[[#Headers],[Rano_M]],Spielauswertung!$B610:$E610,0),0)=0,AI621,INDEX(Spielauswertung!$AB610:$AE610,MATCH(Tabelle11[[#Headers],[Rano_M]],Spielauswertung!$B610:$E610,0))+AI621)</f>
        <v>109.38890657420265</v>
      </c>
      <c r="AJ622" s="1">
        <f>IF(IFERROR(MATCH(Tabelle11[[#Headers],[Rene_N]],Spielauswertung!$B610:$E610,0),0)=0,AJ621,INDEX(Spielauswertung!$AB610:$AE610,MATCH(Tabelle11[[#Headers],[Rene_N]],Spielauswertung!$B610:$E610,0))+AJ621)</f>
        <v>101.06482124619033</v>
      </c>
      <c r="AK622" s="1">
        <f>IF(IFERROR(MATCH(Tabelle11[[#Headers],[Rene_P]],Spielauswertung!$B610:$E610,0),0)=0,AK621,INDEX(Spielauswertung!$AB610:$AE610,MATCH(Tabelle11[[#Headers],[Rene_P]],Spielauswertung!$B610:$E610,0))+AK621)</f>
        <v>88.762543186332877</v>
      </c>
      <c r="AL622" s="1">
        <f>IF(IFERROR(MATCH(Tabelle11[[#Headers],[Richard_D]],Spielauswertung!$B610:$E610,0),0)=0,AL621,INDEX(Spielauswertung!$AB610:$AE610,MATCH(Tabelle11[[#Headers],[Richard_D]],Spielauswertung!$B610:$E610,0))+AL621)</f>
        <v>107.23233592026223</v>
      </c>
      <c r="AM622" s="1">
        <f>IF(IFERROR(MATCH(Tabelle11[[#Headers],[Rodrigo_R]],Spielauswertung!$B610:$E610,0),0)=0,AM621,INDEX(Spielauswertung!$AB610:$AE610,MATCH(Tabelle11[[#Headers],[Rodrigo_R]],Spielauswertung!$B610:$E610,0))+AM621)</f>
        <v>116.7028707921346</v>
      </c>
      <c r="AN622" s="1">
        <f>IF(IFERROR(MATCH(Tabelle11[[#Headers],[Sebastian_A]],Spielauswertung!$B610:$E610,0),0)=0,AN621,INDEX(Spielauswertung!$AB610:$AE610,MATCH(Tabelle11[[#Headers],[Sebastian_A]],Spielauswertung!$B610:$E610,0))+AN621)</f>
        <v>102.89457418671324</v>
      </c>
      <c r="AO622" s="1">
        <f>IF(IFERROR(MATCH(Tabelle11[[#Headers],[Sebastian_St]],Spielauswertung!$B610:$E610,0),0)=0,AO621,INDEX(Spielauswertung!$AB610:$AE610,MATCH(Tabelle11[[#Headers],[Sebastian_St]],Spielauswertung!$B610:$E610,0))+AO621)</f>
        <v>97.749574367408982</v>
      </c>
      <c r="AP622" s="1">
        <f>IF(IFERROR(MATCH(Tabelle11[[#Headers],[Simon_U]],Spielauswertung!$B610:$E610,0),0)=0,AP621,INDEX(Spielauswertung!$AB610:$AE610,MATCH(Tabelle11[[#Headers],[Simon_U]],Spielauswertung!$B610:$E610,0))+AP621)</f>
        <v>99.623054841470903</v>
      </c>
      <c r="AQ622" s="1">
        <f>IF(IFERROR(MATCH(Tabelle11[[#Headers],[Steffen_R]],Spielauswertung!$B610:$E610,0),0)=0,AQ621,INDEX(Spielauswertung!$AB610:$AE610,MATCH(Tabelle11[[#Headers],[Steffen_R]],Spielauswertung!$B610:$E610,0))+AQ621)</f>
        <v>93.247497067190949</v>
      </c>
      <c r="AR622" s="1">
        <f>IF(IFERROR(MATCH(Tabelle11[[#Headers],[Tim_R]],Spielauswertung!$B610:$E610,0),0)=0,AR621,INDEX(Spielauswertung!$AB610:$AE610,MATCH(Tabelle11[[#Headers],[Tim_R]],Spielauswertung!$B610:$E610,0))+AR621)</f>
        <v>103.07503787023374</v>
      </c>
      <c r="AS622" s="1">
        <f>IF(IFERROR(MATCH(Tabelle11[[#Headers],[Tobias_S]],Spielauswertung!$B610:$E610,0),0)=0,AS621,INDEX(Spielauswertung!$AB610:$AE610,MATCH(Tabelle11[[#Headers],[Tobias_S]],Spielauswertung!$B610:$E610,0))+AS621)</f>
        <v>98.6003422659997</v>
      </c>
      <c r="AT622" s="1">
        <f>IF(IFERROR(MATCH(Tabelle11[[#Headers],[Tom_R]],Spielauswertung!$B610:$E610,0),0)=0,AT621,INDEX(Spielauswertung!$AB610:$AE610,MATCH(Tabelle11[[#Headers],[Tom_R]],Spielauswertung!$B610:$E610,0))+AT621)</f>
        <v>112.62344492949197</v>
      </c>
      <c r="AU622" s="1">
        <f>IF(IFERROR(MATCH(Tabelle11[[#Headers],[Ton_L]],Spielauswertung!$B610:$E610,0),0)=0,AU621,INDEX(Spielauswertung!$AB610:$AE610,MATCH(Tabelle11[[#Headers],[Ton_L]],Spielauswertung!$B610:$E610,0))+AU621)</f>
        <v>92.683083360025861</v>
      </c>
      <c r="AV622" s="1">
        <f>IF(IFERROR(MATCH(Tabelle11[[#Headers],[Yixin_G]],Spielauswertung!$B610:$E610,0),0)=0,AV621,INDEX(Spielauswertung!$AB610:$AE610,MATCH(Tabelle11[[#Headers],[Yixin_G]],Spielauswertung!$B610:$E610,0))+AV621)</f>
        <v>99.900323214082661</v>
      </c>
      <c r="AW622" s="1">
        <f>IF(IFERROR(MATCH(Tabelle11[[#Headers],[Spalte36]],Spielauswertung!$B610:$E610,0),0)=0,AW621,INDEX(Spielauswertung!$AB610:$AE610,MATCH(Tabelle11[[#Headers],[Spalte36]],Spielauswertung!$B610:$E610,0))+AW621)</f>
        <v>100</v>
      </c>
      <c r="AX622" s="1">
        <f>IF(IFERROR(MATCH(Tabelle11[[#Headers],[Spalte37]],Spielauswertung!$B610:$E610,0),0)=0,AX621,INDEX(Spielauswertung!$AB610:$AE610,MATCH(Tabelle11[[#Headers],[Spalte37]],Spielauswertung!$B610:$E610,0))+AX621)</f>
        <v>100</v>
      </c>
      <c r="AY622" s="1">
        <f>IF(IFERROR(MATCH(Tabelle11[[#Headers],[Spalte38]],Spielauswertung!$B610:$E610,0),0)=0,AY621,INDEX(Spielauswertung!$AB610:$AE610,MATCH(Tabelle11[[#Headers],[Spalte38]],Spielauswertung!$B610:$E610,0))+AY621)</f>
        <v>100</v>
      </c>
      <c r="AZ622" s="1">
        <f>IF(IFERROR(MATCH(Tabelle11[[#Headers],[Spalte39]],Spielauswertung!$B610:$E610,0),0)=0,AZ621,INDEX(Spielauswertung!$AB610:$AE610,MATCH(Tabelle11[[#Headers],[Spalte39]],Spielauswertung!$B610:$E610,0))+AZ621)</f>
        <v>100</v>
      </c>
      <c r="BA622" s="1">
        <f>IF(IFERROR(MATCH(Tabelle11[[#Headers],[Spalte40]],Spielauswertung!$B610:$E610,0),0)=0,BA621,INDEX(Spielauswertung!$AB610:$AE610,MATCH(Tabelle11[[#Headers],[Spalte40]],Spielauswertung!$B610:$E610,0))+BA621)</f>
        <v>100</v>
      </c>
      <c r="BB622" s="1">
        <f>IF(IFERROR(MATCH(Tabelle11[[#Headers],[Spalte41]],Spielauswertung!$B610:$E610,0),0)=0,BB621,INDEX(Spielauswertung!$AB610:$AE610,MATCH(Tabelle11[[#Headers],[Spalte41]],Spielauswertung!$B610:$E610,0))+BB621)</f>
        <v>100</v>
      </c>
      <c r="BC622" s="1">
        <f>IF(IFERROR(MATCH(Tabelle11[[#Headers],[Spalte42]],Spielauswertung!$B610:$E610,0),0)=0,BC621,INDEX(Spielauswertung!$AB610:$AE610,MATCH(Tabelle11[[#Headers],[Spalte42]],Spielauswertung!$B610:$E610,0))+BC621)</f>
        <v>100</v>
      </c>
      <c r="BD622" s="1">
        <f>IF(IFERROR(MATCH(Tabelle11[[#Headers],[Spalte43]],Spielauswertung!$B610:$E610,0),0)=0,BD621,INDEX(Spielauswertung!$AB610:$AE610,MATCH(Tabelle11[[#Headers],[Spalte43]],Spielauswertung!$B610:$E610,0))+BD621)</f>
        <v>100</v>
      </c>
      <c r="BE622" s="1">
        <f>IF(IFERROR(MATCH(Tabelle11[[#Headers],[Spalte44]],Spielauswertung!$B610:$E610,0),0)=0,BE621,INDEX(Spielauswertung!$AB610:$AE610,MATCH(Tabelle11[[#Headers],[Spalte44]],Spielauswertung!$B610:$E610,0))+BE621)</f>
        <v>100</v>
      </c>
      <c r="BF622" s="1">
        <f>IF(IFERROR(MATCH(Tabelle11[[#Headers],[Spalte45]],Spielauswertung!$B610:$E610,0),0)=0,BF621,INDEX(Spielauswertung!$AB610:$AE610,MATCH(Tabelle11[[#Headers],[Spalte45]],Spielauswertung!$B610:$E610,0))+BF621)</f>
        <v>100</v>
      </c>
      <c r="BG622" s="1">
        <f>IF(IFERROR(MATCH(Tabelle11[[#Headers],[Spalte46]],Spielauswertung!$B610:$E610,0),0)=0,BG621,INDEX(Spielauswertung!$AB610:$AE610,MATCH(Tabelle11[[#Headers],[Spalte46]],Spielauswertung!$B610:$E610,0))+BG621)</f>
        <v>100</v>
      </c>
      <c r="BH622" s="1">
        <f>IF(IFERROR(MATCH(Tabelle11[[#Headers],[Spalte47]],Spielauswertung!$B610:$E610,0),0)=0,BH621,INDEX(Spielauswertung!$AB610:$AE610,MATCH(Tabelle11[[#Headers],[Spalte47]],Spielauswertung!$B610:$E610,0))+BH621)</f>
        <v>100</v>
      </c>
    </row>
    <row r="623" spans="1:60" x14ac:dyDescent="0.25">
      <c r="A623">
        <f t="shared" si="10"/>
        <v>610</v>
      </c>
      <c r="B623" s="1">
        <f>IF(IFERROR(MATCH(Tabelle11[[#Headers],[Aleix_V]],Spielauswertung!$B611:$E611,0),0)=0,B622,INDEX(Spielauswertung!$AB611:$AE611,MATCH(Tabelle11[[#Headers],[Aleix_V]],Spielauswertung!$B611:$E611,0))+B622)</f>
        <v>102.47318019444646</v>
      </c>
      <c r="C623" s="1">
        <f>IF(IFERROR(MATCH(Tabelle11[[#Headers],[Andres_H]],Spielauswertung!$B611:$E611,0),0)=0,C622,INDEX(Spielauswertung!$AB611:$AE611,MATCH(Tabelle11[[#Headers],[Andres_H]],Spielauswertung!$B611:$E611,0))+C622)</f>
        <v>95.535732339111306</v>
      </c>
      <c r="D623" s="1">
        <f>IF(IFERROR(MATCH(Tabelle11[[#Headers],[Anton_K]],Spielauswertung!$B611:$E611,0),0)=0,D622,INDEX(Spielauswertung!$AB611:$AE611,MATCH(Tabelle11[[#Headers],[Anton_K]],Spielauswertung!$B611:$E611,0))+D622)</f>
        <v>99.287728777054667</v>
      </c>
      <c r="E623" s="1">
        <f>IF(IFERROR(MATCH(Tabelle11[[#Headers],[Bastian_G]],Spielauswertung!$B611:$E611,0),0)=0,E622,INDEX(Spielauswertung!$AB611:$AE611,MATCH(Tabelle11[[#Headers],[Bastian_G]],Spielauswertung!$B611:$E611,0))+E622)</f>
        <v>117.49978695184252</v>
      </c>
      <c r="F623" s="1">
        <f>IF(IFERROR(MATCH(Tabelle11[[#Headers],[Ben_S]],Spielauswertung!$B611:$E611,0),0)=0,F622,INDEX(Spielauswertung!$AB611:$AE611,MATCH(Tabelle11[[#Headers],[Ben_S]],Spielauswertung!$B611:$E611,0))+F622)</f>
        <v>95.932799101521084</v>
      </c>
      <c r="G623" s="1">
        <f>IF(IFERROR(MATCH(Tabelle11[[#Headers],[Benedikt_K]],Spielauswertung!$B611:$E611,0),0)=0,G622,INDEX(Spielauswertung!$AB611:$AE611,MATCH(Tabelle11[[#Headers],[Benedikt_K]],Spielauswertung!$B611:$E611,0))+G622)</f>
        <v>101.20264176422626</v>
      </c>
      <c r="H623" s="1">
        <f>IF(IFERROR(MATCH(Tabelle11[[#Headers],[Benedikt_R]],Spielauswertung!$B611:$E611,0),0)=0,H622,INDEX(Spielauswertung!$AB611:$AE611,MATCH(Tabelle11[[#Headers],[Benedikt_R]],Spielauswertung!$B611:$E611,0))+H622)</f>
        <v>102.6264770510757</v>
      </c>
      <c r="I623" s="1">
        <f>IF(IFERROR(MATCH(Tabelle11[[#Headers],[Carsten_H]],Spielauswertung!$B611:$E611,0),0)=0,I622,INDEX(Spielauswertung!$AB611:$AE611,MATCH(Tabelle11[[#Headers],[Carsten_H]],Spielauswertung!$B611:$E611,0))+I622)</f>
        <v>90.817185094326874</v>
      </c>
      <c r="J623" s="1">
        <f>IF(IFERROR(MATCH(Tabelle11[[#Headers],[Christoph_R]],Spielauswertung!$B611:$E611,0),0)=0,J622,INDEX(Spielauswertung!$AB611:$AE611,MATCH(Tabelle11[[#Headers],[Christoph_R]],Spielauswertung!$B611:$E611,0))+J622)</f>
        <v>109.73261611443155</v>
      </c>
      <c r="K623" s="1">
        <f>IF(IFERROR(MATCH(Tabelle11[[#Headers],[Claudius_J]],Spielauswertung!$B611:$E611,0),0)=0,K622,INDEX(Spielauswertung!$AB611:$AE611,MATCH(Tabelle11[[#Headers],[Claudius_J]],Spielauswertung!$B611:$E611,0))+K622)</f>
        <v>106.16590636000029</v>
      </c>
      <c r="L623" s="1">
        <f>IF(IFERROR(MATCH(Tabelle11[[#Headers],[Daniel_D]],Spielauswertung!$B611:$E611,0),0)=0,L622,INDEX(Spielauswertung!$AB611:$AE611,MATCH(Tabelle11[[#Headers],[Daniel_D]],Spielauswertung!$B611:$E611,0))+L622)</f>
        <v>99.990299180470089</v>
      </c>
      <c r="M623" s="1">
        <f>IF(IFERROR(MATCH(Tabelle11[[#Headers],[David_R]],Spielauswertung!$B611:$E611,0),0)=0,M622,INDEX(Spielauswertung!$AB611:$AE611,MATCH(Tabelle11[[#Headers],[David_R]],Spielauswertung!$B611:$E611,0))+M622)</f>
        <v>96.715943522481638</v>
      </c>
      <c r="N623" s="1">
        <f>IF(IFERROR(MATCH(Tabelle11[[#Headers],[Dennis_P]],Spielauswertung!$B611:$E611,0),0)=0,N622,INDEX(Spielauswertung!$AB611:$AE611,MATCH(Tabelle11[[#Headers],[Dennis_P]],Spielauswertung!$B611:$E611,0))+N622)</f>
        <v>100.04773223105254</v>
      </c>
      <c r="O623" s="1">
        <f>IF(IFERROR(MATCH(Tabelle11[[#Headers],[Dennis_R]],Spielauswertung!$B611:$E611,0),0)=0,O622,INDEX(Spielauswertung!$AB611:$AE611,MATCH(Tabelle11[[#Headers],[Dennis_R]],Spielauswertung!$B611:$E611,0))+O622)</f>
        <v>75.131680864937195</v>
      </c>
      <c r="P623" s="1">
        <f>IF(IFERROR(MATCH(Tabelle11[[#Headers],[Detlef_R]],Spielauswertung!$B611:$E611,0),0)=0,P622,INDEX(Spielauswertung!$AB611:$AE611,MATCH(Tabelle11[[#Headers],[Detlef_R]],Spielauswertung!$B611:$E611,0))+P622)</f>
        <v>87.984671797367014</v>
      </c>
      <c r="Q623" s="1">
        <f>IF(IFERROR(MATCH(Tabelle11[[#Headers],[Dmitrij_M]],Spielauswertung!$B611:$E611,0),0)=0,Q622,INDEX(Spielauswertung!$AB611:$AE611,MATCH(Tabelle11[[#Headers],[Dmitrij_M]],Spielauswertung!$B611:$E611,0))+Q622)</f>
        <v>100.69975721846207</v>
      </c>
      <c r="R623" s="1">
        <f>IF(IFERROR(MATCH(Tabelle11[[#Headers],[Fabian_M]],Spielauswertung!$B611:$E611,0),0)=0,R622,INDEX(Spielauswertung!$AB611:$AE611,MATCH(Tabelle11[[#Headers],[Fabian_M]],Spielauswertung!$B611:$E611,0))+R622)</f>
        <v>95.805387841610738</v>
      </c>
      <c r="S623" s="1">
        <f>IF(IFERROR(MATCH(Tabelle11[[#Headers],[Hannes_S]],Spielauswertung!$B611:$E611,0),0)=0,S622,INDEX(Spielauswertung!$AB611:$AE611,MATCH(Tabelle11[[#Headers],[Hannes_S]],Spielauswertung!$B611:$E611,0))+S622)</f>
        <v>104.83899184012799</v>
      </c>
      <c r="T623" s="1">
        <f>IF(IFERROR(MATCH(Tabelle11[[#Headers],[Jan_B]],Spielauswertung!$B611:$E611,0),0)=0,T622,INDEX(Spielauswertung!$AB611:$AE611,MATCH(Tabelle11[[#Headers],[Jan_B]],Spielauswertung!$B611:$E611,0))+T622)</f>
        <v>100.2794420429173</v>
      </c>
      <c r="U623" s="1">
        <f>IF(IFERROR(MATCH(Tabelle11[[#Headers],[Jan_Hendrik_B]],Spielauswertung!$B611:$E611,0),0)=0,U622,INDEX(Spielauswertung!$AB611:$AE611,MATCH(Tabelle11[[#Headers],[Jan_Hendrik_B]],Spielauswertung!$B611:$E611,0))+U622)</f>
        <v>100.75492416935522</v>
      </c>
      <c r="V623" s="1">
        <f>IF(IFERROR(MATCH(Tabelle11[[#Headers],[Jens_N]],Spielauswertung!$B611:$E611,0),0)=0,V622,INDEX(Spielauswertung!$AB611:$AE611,MATCH(Tabelle11[[#Headers],[Jens_N]],Spielauswertung!$B611:$E611,0))+V622)</f>
        <v>99.643534710196832</v>
      </c>
      <c r="W623" s="1">
        <f>IF(IFERROR(MATCH(Tabelle11[[#Headers],[Johannes_S]],Spielauswertung!$B611:$E611,0),0)=0,W622,INDEX(Spielauswertung!$AB611:$AE611,MATCH(Tabelle11[[#Headers],[Johannes_S]],Spielauswertung!$B611:$E611,0))+W622)</f>
        <v>102.20284750979505</v>
      </c>
      <c r="X623" s="1">
        <f>IF(IFERROR(MATCH(Tabelle11[[#Headers],[Jonathan_F]],Spielauswertung!$B611:$E611,0),0)=0,X622,INDEX(Spielauswertung!$AB611:$AE611,MATCH(Tabelle11[[#Headers],[Jonathan_F]],Spielauswertung!$B611:$E611,0))+X622)</f>
        <v>98.938308797866256</v>
      </c>
      <c r="Y623" s="1">
        <f>IF(IFERROR(MATCH(Tabelle11[[#Headers],[Julius_P]],Spielauswertung!$B611:$E611,0),0)=0,Y622,INDEX(Spielauswertung!$AB611:$AE611,MATCH(Tabelle11[[#Headers],[Julius_P]],Spielauswertung!$B611:$E611,0))+Y622)</f>
        <v>96.540305101873642</v>
      </c>
      <c r="Z623" s="1">
        <f>IF(IFERROR(MATCH(Tabelle11[[#Headers],[Louis_W]],Spielauswertung!$B611:$E611,0),0)=0,Z622,INDEX(Spielauswertung!$AB611:$AE611,MATCH(Tabelle11[[#Headers],[Louis_W]],Spielauswertung!$B611:$E611,0))+Z622)</f>
        <v>87.497452285475362</v>
      </c>
      <c r="AA623" s="1">
        <f>IF(IFERROR(MATCH(Tabelle11[[#Headers],[Lukas_L]],Spielauswertung!$B611:$E611,0),0)=0,AA622,INDEX(Spielauswertung!$AB611:$AE611,MATCH(Tabelle11[[#Headers],[Lukas_L]],Spielauswertung!$B611:$E611,0))+AA622)</f>
        <v>98.447931341404143</v>
      </c>
      <c r="AB623" s="1">
        <f>IF(IFERROR(MATCH(Tabelle11[[#Headers],[Marcin_S]],Spielauswertung!$B611:$E611,0),0)=0,AB622,INDEX(Spielauswertung!$AB611:$AE611,MATCH(Tabelle11[[#Headers],[Marcin_S]],Spielauswertung!$B611:$E611,0))+AB622)</f>
        <v>85.463329105556824</v>
      </c>
      <c r="AC623" s="1">
        <f>IF(IFERROR(MATCH(Tabelle11[[#Headers],[Marco_K]],Spielauswertung!$B611:$E611,0),0)=0,AC622,INDEX(Spielauswertung!$AB611:$AE611,MATCH(Tabelle11[[#Headers],[Marco_K]],Spielauswertung!$B611:$E611,0))+AC622)</f>
        <v>102.12169819441469</v>
      </c>
      <c r="AD623" s="1">
        <f>IF(IFERROR(MATCH(Tabelle11[[#Headers],[Marius_M]],Spielauswertung!$B611:$E611,0),0)=0,AD622,INDEX(Spielauswertung!$AB611:$AE611,MATCH(Tabelle11[[#Headers],[Marius_M]],Spielauswertung!$B611:$E611,0))+AD622)</f>
        <v>124.54012374585781</v>
      </c>
      <c r="AE623" s="1">
        <f>IF(IFERROR(MATCH(Tabelle11[[#Headers],[Marvin_W]],Spielauswertung!$B611:$E611,0),0)=0,AE622,INDEX(Spielauswertung!$AB611:$AE611,MATCH(Tabelle11[[#Headers],[Marvin_W]],Spielauswertung!$B611:$E611,0))+AE622)</f>
        <v>96.700266280577438</v>
      </c>
      <c r="AF623" s="1">
        <f>IF(IFERROR(MATCH(Tabelle11[[#Headers],[Matthias_H]],Spielauswertung!$B611:$E611,0),0)=0,AF622,INDEX(Spielauswertung!$AB611:$AE611,MATCH(Tabelle11[[#Headers],[Matthias_H]],Spielauswertung!$B611:$E611,0))+AF622)</f>
        <v>105.42130178599372</v>
      </c>
      <c r="AG623" s="1">
        <f>IF(IFERROR(MATCH(Tabelle11[[#Headers],[Michael_D]],Spielauswertung!$B611:$E611,0),0)=0,AG622,INDEX(Spielauswertung!$AB611:$AE611,MATCH(Tabelle11[[#Headers],[Michael_D]],Spielauswertung!$B611:$E611,0))+AG622)</f>
        <v>96.436276170375336</v>
      </c>
      <c r="AH623" s="1">
        <f>IF(IFERROR(MATCH(Tabelle11[[#Headers],[Patrick_S]],Spielauswertung!$B611:$E611,0),0)=0,AH622,INDEX(Spielauswertung!$AB611:$AE611,MATCH(Tabelle11[[#Headers],[Patrick_S]],Spielauswertung!$B611:$E611,0))+AH622)</f>
        <v>98.975330692053802</v>
      </c>
      <c r="AI623" s="1">
        <f>IF(IFERROR(MATCH(Tabelle11[[#Headers],[Rano_M]],Spielauswertung!$B611:$E611,0),0)=0,AI622,INDEX(Spielauswertung!$AB611:$AE611,MATCH(Tabelle11[[#Headers],[Rano_M]],Spielauswertung!$B611:$E611,0))+AI622)</f>
        <v>109.38890657420265</v>
      </c>
      <c r="AJ623" s="1">
        <f>IF(IFERROR(MATCH(Tabelle11[[#Headers],[Rene_N]],Spielauswertung!$B611:$E611,0),0)=0,AJ622,INDEX(Spielauswertung!$AB611:$AE611,MATCH(Tabelle11[[#Headers],[Rene_N]],Spielauswertung!$B611:$E611,0))+AJ622)</f>
        <v>101.06482124619033</v>
      </c>
      <c r="AK623" s="1">
        <f>IF(IFERROR(MATCH(Tabelle11[[#Headers],[Rene_P]],Spielauswertung!$B611:$E611,0),0)=0,AK622,INDEX(Spielauswertung!$AB611:$AE611,MATCH(Tabelle11[[#Headers],[Rene_P]],Spielauswertung!$B611:$E611,0))+AK622)</f>
        <v>88.762543186332877</v>
      </c>
      <c r="AL623" s="1">
        <f>IF(IFERROR(MATCH(Tabelle11[[#Headers],[Richard_D]],Spielauswertung!$B611:$E611,0),0)=0,AL622,INDEX(Spielauswertung!$AB611:$AE611,MATCH(Tabelle11[[#Headers],[Richard_D]],Spielauswertung!$B611:$E611,0))+AL622)</f>
        <v>107.23233592026223</v>
      </c>
      <c r="AM623" s="1">
        <f>IF(IFERROR(MATCH(Tabelle11[[#Headers],[Rodrigo_R]],Spielauswertung!$B611:$E611,0),0)=0,AM622,INDEX(Spielauswertung!$AB611:$AE611,MATCH(Tabelle11[[#Headers],[Rodrigo_R]],Spielauswertung!$B611:$E611,0))+AM622)</f>
        <v>116.7028707921346</v>
      </c>
      <c r="AN623" s="1">
        <f>IF(IFERROR(MATCH(Tabelle11[[#Headers],[Sebastian_A]],Spielauswertung!$B611:$E611,0),0)=0,AN622,INDEX(Spielauswertung!$AB611:$AE611,MATCH(Tabelle11[[#Headers],[Sebastian_A]],Spielauswertung!$B611:$E611,0))+AN622)</f>
        <v>102.89457418671324</v>
      </c>
      <c r="AO623" s="1">
        <f>IF(IFERROR(MATCH(Tabelle11[[#Headers],[Sebastian_St]],Spielauswertung!$B611:$E611,0),0)=0,AO622,INDEX(Spielauswertung!$AB611:$AE611,MATCH(Tabelle11[[#Headers],[Sebastian_St]],Spielauswertung!$B611:$E611,0))+AO622)</f>
        <v>97.749574367408982</v>
      </c>
      <c r="AP623" s="1">
        <f>IF(IFERROR(MATCH(Tabelle11[[#Headers],[Simon_U]],Spielauswertung!$B611:$E611,0),0)=0,AP622,INDEX(Spielauswertung!$AB611:$AE611,MATCH(Tabelle11[[#Headers],[Simon_U]],Spielauswertung!$B611:$E611,0))+AP622)</f>
        <v>99.623054841470903</v>
      </c>
      <c r="AQ623" s="1">
        <f>IF(IFERROR(MATCH(Tabelle11[[#Headers],[Steffen_R]],Spielauswertung!$B611:$E611,0),0)=0,AQ622,INDEX(Spielauswertung!$AB611:$AE611,MATCH(Tabelle11[[#Headers],[Steffen_R]],Spielauswertung!$B611:$E611,0))+AQ622)</f>
        <v>93.247497067190949</v>
      </c>
      <c r="AR623" s="1">
        <f>IF(IFERROR(MATCH(Tabelle11[[#Headers],[Tim_R]],Spielauswertung!$B611:$E611,0),0)=0,AR622,INDEX(Spielauswertung!$AB611:$AE611,MATCH(Tabelle11[[#Headers],[Tim_R]],Spielauswertung!$B611:$E611,0))+AR622)</f>
        <v>103.07503787023374</v>
      </c>
      <c r="AS623" s="1">
        <f>IF(IFERROR(MATCH(Tabelle11[[#Headers],[Tobias_S]],Spielauswertung!$B611:$E611,0),0)=0,AS622,INDEX(Spielauswertung!$AB611:$AE611,MATCH(Tabelle11[[#Headers],[Tobias_S]],Spielauswertung!$B611:$E611,0))+AS622)</f>
        <v>98.6003422659997</v>
      </c>
      <c r="AT623" s="1">
        <f>IF(IFERROR(MATCH(Tabelle11[[#Headers],[Tom_R]],Spielauswertung!$B611:$E611,0),0)=0,AT622,INDEX(Spielauswertung!$AB611:$AE611,MATCH(Tabelle11[[#Headers],[Tom_R]],Spielauswertung!$B611:$E611,0))+AT622)</f>
        <v>112.62344492949197</v>
      </c>
      <c r="AU623" s="1">
        <f>IF(IFERROR(MATCH(Tabelle11[[#Headers],[Ton_L]],Spielauswertung!$B611:$E611,0),0)=0,AU622,INDEX(Spielauswertung!$AB611:$AE611,MATCH(Tabelle11[[#Headers],[Ton_L]],Spielauswertung!$B611:$E611,0))+AU622)</f>
        <v>92.683083360025861</v>
      </c>
      <c r="AV623" s="1">
        <f>IF(IFERROR(MATCH(Tabelle11[[#Headers],[Yixin_G]],Spielauswertung!$B611:$E611,0),0)=0,AV622,INDEX(Spielauswertung!$AB611:$AE611,MATCH(Tabelle11[[#Headers],[Yixin_G]],Spielauswertung!$B611:$E611,0))+AV622)</f>
        <v>99.900323214082661</v>
      </c>
      <c r="AW623" s="1">
        <f>IF(IFERROR(MATCH(Tabelle11[[#Headers],[Spalte36]],Spielauswertung!$B611:$E611,0),0)=0,AW622,INDEX(Spielauswertung!$AB611:$AE611,MATCH(Tabelle11[[#Headers],[Spalte36]],Spielauswertung!$B611:$E611,0))+AW622)</f>
        <v>100</v>
      </c>
      <c r="AX623" s="1">
        <f>IF(IFERROR(MATCH(Tabelle11[[#Headers],[Spalte37]],Spielauswertung!$B611:$E611,0),0)=0,AX622,INDEX(Spielauswertung!$AB611:$AE611,MATCH(Tabelle11[[#Headers],[Spalte37]],Spielauswertung!$B611:$E611,0))+AX622)</f>
        <v>100</v>
      </c>
      <c r="AY623" s="1">
        <f>IF(IFERROR(MATCH(Tabelle11[[#Headers],[Spalte38]],Spielauswertung!$B611:$E611,0),0)=0,AY622,INDEX(Spielauswertung!$AB611:$AE611,MATCH(Tabelle11[[#Headers],[Spalte38]],Spielauswertung!$B611:$E611,0))+AY622)</f>
        <v>100</v>
      </c>
      <c r="AZ623" s="1">
        <f>IF(IFERROR(MATCH(Tabelle11[[#Headers],[Spalte39]],Spielauswertung!$B611:$E611,0),0)=0,AZ622,INDEX(Spielauswertung!$AB611:$AE611,MATCH(Tabelle11[[#Headers],[Spalte39]],Spielauswertung!$B611:$E611,0))+AZ622)</f>
        <v>100</v>
      </c>
      <c r="BA623" s="1">
        <f>IF(IFERROR(MATCH(Tabelle11[[#Headers],[Spalte40]],Spielauswertung!$B611:$E611,0),0)=0,BA622,INDEX(Spielauswertung!$AB611:$AE611,MATCH(Tabelle11[[#Headers],[Spalte40]],Spielauswertung!$B611:$E611,0))+BA622)</f>
        <v>100</v>
      </c>
      <c r="BB623" s="1">
        <f>IF(IFERROR(MATCH(Tabelle11[[#Headers],[Spalte41]],Spielauswertung!$B611:$E611,0),0)=0,BB622,INDEX(Spielauswertung!$AB611:$AE611,MATCH(Tabelle11[[#Headers],[Spalte41]],Spielauswertung!$B611:$E611,0))+BB622)</f>
        <v>100</v>
      </c>
      <c r="BC623" s="1">
        <f>IF(IFERROR(MATCH(Tabelle11[[#Headers],[Spalte42]],Spielauswertung!$B611:$E611,0),0)=0,BC622,INDEX(Spielauswertung!$AB611:$AE611,MATCH(Tabelle11[[#Headers],[Spalte42]],Spielauswertung!$B611:$E611,0))+BC622)</f>
        <v>100</v>
      </c>
      <c r="BD623" s="1">
        <f>IF(IFERROR(MATCH(Tabelle11[[#Headers],[Spalte43]],Spielauswertung!$B611:$E611,0),0)=0,BD622,INDEX(Spielauswertung!$AB611:$AE611,MATCH(Tabelle11[[#Headers],[Spalte43]],Spielauswertung!$B611:$E611,0))+BD622)</f>
        <v>100</v>
      </c>
      <c r="BE623" s="1">
        <f>IF(IFERROR(MATCH(Tabelle11[[#Headers],[Spalte44]],Spielauswertung!$B611:$E611,0),0)=0,BE622,INDEX(Spielauswertung!$AB611:$AE611,MATCH(Tabelle11[[#Headers],[Spalte44]],Spielauswertung!$B611:$E611,0))+BE622)</f>
        <v>100</v>
      </c>
      <c r="BF623" s="1">
        <f>IF(IFERROR(MATCH(Tabelle11[[#Headers],[Spalte45]],Spielauswertung!$B611:$E611,0),0)=0,BF622,INDEX(Spielauswertung!$AB611:$AE611,MATCH(Tabelle11[[#Headers],[Spalte45]],Spielauswertung!$B611:$E611,0))+BF622)</f>
        <v>100</v>
      </c>
      <c r="BG623" s="1">
        <f>IF(IFERROR(MATCH(Tabelle11[[#Headers],[Spalte46]],Spielauswertung!$B611:$E611,0),0)=0,BG622,INDEX(Spielauswertung!$AB611:$AE611,MATCH(Tabelle11[[#Headers],[Spalte46]],Spielauswertung!$B611:$E611,0))+BG622)</f>
        <v>100</v>
      </c>
      <c r="BH623" s="1">
        <f>IF(IFERROR(MATCH(Tabelle11[[#Headers],[Spalte47]],Spielauswertung!$B611:$E611,0),0)=0,BH622,INDEX(Spielauswertung!$AB611:$AE611,MATCH(Tabelle11[[#Headers],[Spalte47]],Spielauswertung!$B611:$E611,0))+BH622)</f>
        <v>100</v>
      </c>
    </row>
    <row r="624" spans="1:60" x14ac:dyDescent="0.25">
      <c r="A624">
        <f t="shared" si="10"/>
        <v>611</v>
      </c>
      <c r="B624" s="1">
        <f>IF(IFERROR(MATCH(Tabelle11[[#Headers],[Aleix_V]],Spielauswertung!$B612:$E612,0),0)=0,B623,INDEX(Spielauswertung!$AB612:$AE612,MATCH(Tabelle11[[#Headers],[Aleix_V]],Spielauswertung!$B612:$E612,0))+B623)</f>
        <v>102.47318019444646</v>
      </c>
      <c r="C624" s="1">
        <f>IF(IFERROR(MATCH(Tabelle11[[#Headers],[Andres_H]],Spielauswertung!$B612:$E612,0),0)=0,C623,INDEX(Spielauswertung!$AB612:$AE612,MATCH(Tabelle11[[#Headers],[Andres_H]],Spielauswertung!$B612:$E612,0))+C623)</f>
        <v>95.535732339111306</v>
      </c>
      <c r="D624" s="1">
        <f>IF(IFERROR(MATCH(Tabelle11[[#Headers],[Anton_K]],Spielauswertung!$B612:$E612,0),0)=0,D623,INDEX(Spielauswertung!$AB612:$AE612,MATCH(Tabelle11[[#Headers],[Anton_K]],Spielauswertung!$B612:$E612,0))+D623)</f>
        <v>99.287728777054667</v>
      </c>
      <c r="E624" s="1">
        <f>IF(IFERROR(MATCH(Tabelle11[[#Headers],[Bastian_G]],Spielauswertung!$B612:$E612,0),0)=0,E623,INDEX(Spielauswertung!$AB612:$AE612,MATCH(Tabelle11[[#Headers],[Bastian_G]],Spielauswertung!$B612:$E612,0))+E623)</f>
        <v>117.49978695184252</v>
      </c>
      <c r="F624" s="1">
        <f>IF(IFERROR(MATCH(Tabelle11[[#Headers],[Ben_S]],Spielauswertung!$B612:$E612,0),0)=0,F623,INDEX(Spielauswertung!$AB612:$AE612,MATCH(Tabelle11[[#Headers],[Ben_S]],Spielauswertung!$B612:$E612,0))+F623)</f>
        <v>95.932799101521084</v>
      </c>
      <c r="G624" s="1">
        <f>IF(IFERROR(MATCH(Tabelle11[[#Headers],[Benedikt_K]],Spielauswertung!$B612:$E612,0),0)=0,G623,INDEX(Spielauswertung!$AB612:$AE612,MATCH(Tabelle11[[#Headers],[Benedikt_K]],Spielauswertung!$B612:$E612,0))+G623)</f>
        <v>101.20264176422626</v>
      </c>
      <c r="H624" s="1">
        <f>IF(IFERROR(MATCH(Tabelle11[[#Headers],[Benedikt_R]],Spielauswertung!$B612:$E612,0),0)=0,H623,INDEX(Spielauswertung!$AB612:$AE612,MATCH(Tabelle11[[#Headers],[Benedikt_R]],Spielauswertung!$B612:$E612,0))+H623)</f>
        <v>102.6264770510757</v>
      </c>
      <c r="I624" s="1">
        <f>IF(IFERROR(MATCH(Tabelle11[[#Headers],[Carsten_H]],Spielauswertung!$B612:$E612,0),0)=0,I623,INDEX(Spielauswertung!$AB612:$AE612,MATCH(Tabelle11[[#Headers],[Carsten_H]],Spielauswertung!$B612:$E612,0))+I623)</f>
        <v>90.817185094326874</v>
      </c>
      <c r="J624" s="1">
        <f>IF(IFERROR(MATCH(Tabelle11[[#Headers],[Christoph_R]],Spielauswertung!$B612:$E612,0),0)=0,J623,INDEX(Spielauswertung!$AB612:$AE612,MATCH(Tabelle11[[#Headers],[Christoph_R]],Spielauswertung!$B612:$E612,0))+J623)</f>
        <v>109.73261611443155</v>
      </c>
      <c r="K624" s="1">
        <f>IF(IFERROR(MATCH(Tabelle11[[#Headers],[Claudius_J]],Spielauswertung!$B612:$E612,0),0)=0,K623,INDEX(Spielauswertung!$AB612:$AE612,MATCH(Tabelle11[[#Headers],[Claudius_J]],Spielauswertung!$B612:$E612,0))+K623)</f>
        <v>106.16590636000029</v>
      </c>
      <c r="L624" s="1">
        <f>IF(IFERROR(MATCH(Tabelle11[[#Headers],[Daniel_D]],Spielauswertung!$B612:$E612,0),0)=0,L623,INDEX(Spielauswertung!$AB612:$AE612,MATCH(Tabelle11[[#Headers],[Daniel_D]],Spielauswertung!$B612:$E612,0))+L623)</f>
        <v>99.990299180470089</v>
      </c>
      <c r="M624" s="1">
        <f>IF(IFERROR(MATCH(Tabelle11[[#Headers],[David_R]],Spielauswertung!$B612:$E612,0),0)=0,M623,INDEX(Spielauswertung!$AB612:$AE612,MATCH(Tabelle11[[#Headers],[David_R]],Spielauswertung!$B612:$E612,0))+M623)</f>
        <v>96.715943522481638</v>
      </c>
      <c r="N624" s="1">
        <f>IF(IFERROR(MATCH(Tabelle11[[#Headers],[Dennis_P]],Spielauswertung!$B612:$E612,0),0)=0,N623,INDEX(Spielauswertung!$AB612:$AE612,MATCH(Tabelle11[[#Headers],[Dennis_P]],Spielauswertung!$B612:$E612,0))+N623)</f>
        <v>100.04773223105254</v>
      </c>
      <c r="O624" s="1">
        <f>IF(IFERROR(MATCH(Tabelle11[[#Headers],[Dennis_R]],Spielauswertung!$B612:$E612,0),0)=0,O623,INDEX(Spielauswertung!$AB612:$AE612,MATCH(Tabelle11[[#Headers],[Dennis_R]],Spielauswertung!$B612:$E612,0))+O623)</f>
        <v>75.131680864937195</v>
      </c>
      <c r="P624" s="1">
        <f>IF(IFERROR(MATCH(Tabelle11[[#Headers],[Detlef_R]],Spielauswertung!$B612:$E612,0),0)=0,P623,INDEX(Spielauswertung!$AB612:$AE612,MATCH(Tabelle11[[#Headers],[Detlef_R]],Spielauswertung!$B612:$E612,0))+P623)</f>
        <v>87.984671797367014</v>
      </c>
      <c r="Q624" s="1">
        <f>IF(IFERROR(MATCH(Tabelle11[[#Headers],[Dmitrij_M]],Spielauswertung!$B612:$E612,0),0)=0,Q623,INDEX(Spielauswertung!$AB612:$AE612,MATCH(Tabelle11[[#Headers],[Dmitrij_M]],Spielauswertung!$B612:$E612,0))+Q623)</f>
        <v>100.69975721846207</v>
      </c>
      <c r="R624" s="1">
        <f>IF(IFERROR(MATCH(Tabelle11[[#Headers],[Fabian_M]],Spielauswertung!$B612:$E612,0),0)=0,R623,INDEX(Spielauswertung!$AB612:$AE612,MATCH(Tabelle11[[#Headers],[Fabian_M]],Spielauswertung!$B612:$E612,0))+R623)</f>
        <v>95.805387841610738</v>
      </c>
      <c r="S624" s="1">
        <f>IF(IFERROR(MATCH(Tabelle11[[#Headers],[Hannes_S]],Spielauswertung!$B612:$E612,0),0)=0,S623,INDEX(Spielauswertung!$AB612:$AE612,MATCH(Tabelle11[[#Headers],[Hannes_S]],Spielauswertung!$B612:$E612,0))+S623)</f>
        <v>104.83899184012799</v>
      </c>
      <c r="T624" s="1">
        <f>IF(IFERROR(MATCH(Tabelle11[[#Headers],[Jan_B]],Spielauswertung!$B612:$E612,0),0)=0,T623,INDEX(Spielauswertung!$AB612:$AE612,MATCH(Tabelle11[[#Headers],[Jan_B]],Spielauswertung!$B612:$E612,0))+T623)</f>
        <v>100.2794420429173</v>
      </c>
      <c r="U624" s="1">
        <f>IF(IFERROR(MATCH(Tabelle11[[#Headers],[Jan_Hendrik_B]],Spielauswertung!$B612:$E612,0),0)=0,U623,INDEX(Spielauswertung!$AB612:$AE612,MATCH(Tabelle11[[#Headers],[Jan_Hendrik_B]],Spielauswertung!$B612:$E612,0))+U623)</f>
        <v>100.75492416935522</v>
      </c>
      <c r="V624" s="1">
        <f>IF(IFERROR(MATCH(Tabelle11[[#Headers],[Jens_N]],Spielauswertung!$B612:$E612,0),0)=0,V623,INDEX(Spielauswertung!$AB612:$AE612,MATCH(Tabelle11[[#Headers],[Jens_N]],Spielauswertung!$B612:$E612,0))+V623)</f>
        <v>99.643534710196832</v>
      </c>
      <c r="W624" s="1">
        <f>IF(IFERROR(MATCH(Tabelle11[[#Headers],[Johannes_S]],Spielauswertung!$B612:$E612,0),0)=0,W623,INDEX(Spielauswertung!$AB612:$AE612,MATCH(Tabelle11[[#Headers],[Johannes_S]],Spielauswertung!$B612:$E612,0))+W623)</f>
        <v>102.20284750979505</v>
      </c>
      <c r="X624" s="1">
        <f>IF(IFERROR(MATCH(Tabelle11[[#Headers],[Jonathan_F]],Spielauswertung!$B612:$E612,0),0)=0,X623,INDEX(Spielauswertung!$AB612:$AE612,MATCH(Tabelle11[[#Headers],[Jonathan_F]],Spielauswertung!$B612:$E612,0))+X623)</f>
        <v>98.938308797866256</v>
      </c>
      <c r="Y624" s="1">
        <f>IF(IFERROR(MATCH(Tabelle11[[#Headers],[Julius_P]],Spielauswertung!$B612:$E612,0),0)=0,Y623,INDEX(Spielauswertung!$AB612:$AE612,MATCH(Tabelle11[[#Headers],[Julius_P]],Spielauswertung!$B612:$E612,0))+Y623)</f>
        <v>96.540305101873642</v>
      </c>
      <c r="Z624" s="1">
        <f>IF(IFERROR(MATCH(Tabelle11[[#Headers],[Louis_W]],Spielauswertung!$B612:$E612,0),0)=0,Z623,INDEX(Spielauswertung!$AB612:$AE612,MATCH(Tabelle11[[#Headers],[Louis_W]],Spielauswertung!$B612:$E612,0))+Z623)</f>
        <v>87.497452285475362</v>
      </c>
      <c r="AA624" s="1">
        <f>IF(IFERROR(MATCH(Tabelle11[[#Headers],[Lukas_L]],Spielauswertung!$B612:$E612,0),0)=0,AA623,INDEX(Spielauswertung!$AB612:$AE612,MATCH(Tabelle11[[#Headers],[Lukas_L]],Spielauswertung!$B612:$E612,0))+AA623)</f>
        <v>98.447931341404143</v>
      </c>
      <c r="AB624" s="1">
        <f>IF(IFERROR(MATCH(Tabelle11[[#Headers],[Marcin_S]],Spielauswertung!$B612:$E612,0),0)=0,AB623,INDEX(Spielauswertung!$AB612:$AE612,MATCH(Tabelle11[[#Headers],[Marcin_S]],Spielauswertung!$B612:$E612,0))+AB623)</f>
        <v>85.463329105556824</v>
      </c>
      <c r="AC624" s="1">
        <f>IF(IFERROR(MATCH(Tabelle11[[#Headers],[Marco_K]],Spielauswertung!$B612:$E612,0),0)=0,AC623,INDEX(Spielauswertung!$AB612:$AE612,MATCH(Tabelle11[[#Headers],[Marco_K]],Spielauswertung!$B612:$E612,0))+AC623)</f>
        <v>102.12169819441469</v>
      </c>
      <c r="AD624" s="1">
        <f>IF(IFERROR(MATCH(Tabelle11[[#Headers],[Marius_M]],Spielauswertung!$B612:$E612,0),0)=0,AD623,INDEX(Spielauswertung!$AB612:$AE612,MATCH(Tabelle11[[#Headers],[Marius_M]],Spielauswertung!$B612:$E612,0))+AD623)</f>
        <v>124.54012374585781</v>
      </c>
      <c r="AE624" s="1">
        <f>IF(IFERROR(MATCH(Tabelle11[[#Headers],[Marvin_W]],Spielauswertung!$B612:$E612,0),0)=0,AE623,INDEX(Spielauswertung!$AB612:$AE612,MATCH(Tabelle11[[#Headers],[Marvin_W]],Spielauswertung!$B612:$E612,0))+AE623)</f>
        <v>96.700266280577438</v>
      </c>
      <c r="AF624" s="1">
        <f>IF(IFERROR(MATCH(Tabelle11[[#Headers],[Matthias_H]],Spielauswertung!$B612:$E612,0),0)=0,AF623,INDEX(Spielauswertung!$AB612:$AE612,MATCH(Tabelle11[[#Headers],[Matthias_H]],Spielauswertung!$B612:$E612,0))+AF623)</f>
        <v>105.42130178599372</v>
      </c>
      <c r="AG624" s="1">
        <f>IF(IFERROR(MATCH(Tabelle11[[#Headers],[Michael_D]],Spielauswertung!$B612:$E612,0),0)=0,AG623,INDEX(Spielauswertung!$AB612:$AE612,MATCH(Tabelle11[[#Headers],[Michael_D]],Spielauswertung!$B612:$E612,0))+AG623)</f>
        <v>96.436276170375336</v>
      </c>
      <c r="AH624" s="1">
        <f>IF(IFERROR(MATCH(Tabelle11[[#Headers],[Patrick_S]],Spielauswertung!$B612:$E612,0),0)=0,AH623,INDEX(Spielauswertung!$AB612:$AE612,MATCH(Tabelle11[[#Headers],[Patrick_S]],Spielauswertung!$B612:$E612,0))+AH623)</f>
        <v>98.975330692053802</v>
      </c>
      <c r="AI624" s="1">
        <f>IF(IFERROR(MATCH(Tabelle11[[#Headers],[Rano_M]],Spielauswertung!$B612:$E612,0),0)=0,AI623,INDEX(Spielauswertung!$AB612:$AE612,MATCH(Tabelle11[[#Headers],[Rano_M]],Spielauswertung!$B612:$E612,0))+AI623)</f>
        <v>109.38890657420265</v>
      </c>
      <c r="AJ624" s="1">
        <f>IF(IFERROR(MATCH(Tabelle11[[#Headers],[Rene_N]],Spielauswertung!$B612:$E612,0),0)=0,AJ623,INDEX(Spielauswertung!$AB612:$AE612,MATCH(Tabelle11[[#Headers],[Rene_N]],Spielauswertung!$B612:$E612,0))+AJ623)</f>
        <v>101.06482124619033</v>
      </c>
      <c r="AK624" s="1">
        <f>IF(IFERROR(MATCH(Tabelle11[[#Headers],[Rene_P]],Spielauswertung!$B612:$E612,0),0)=0,AK623,INDEX(Spielauswertung!$AB612:$AE612,MATCH(Tabelle11[[#Headers],[Rene_P]],Spielauswertung!$B612:$E612,0))+AK623)</f>
        <v>88.762543186332877</v>
      </c>
      <c r="AL624" s="1">
        <f>IF(IFERROR(MATCH(Tabelle11[[#Headers],[Richard_D]],Spielauswertung!$B612:$E612,0),0)=0,AL623,INDEX(Spielauswertung!$AB612:$AE612,MATCH(Tabelle11[[#Headers],[Richard_D]],Spielauswertung!$B612:$E612,0))+AL623)</f>
        <v>107.23233592026223</v>
      </c>
      <c r="AM624" s="1">
        <f>IF(IFERROR(MATCH(Tabelle11[[#Headers],[Rodrigo_R]],Spielauswertung!$B612:$E612,0),0)=0,AM623,INDEX(Spielauswertung!$AB612:$AE612,MATCH(Tabelle11[[#Headers],[Rodrigo_R]],Spielauswertung!$B612:$E612,0))+AM623)</f>
        <v>116.7028707921346</v>
      </c>
      <c r="AN624" s="1">
        <f>IF(IFERROR(MATCH(Tabelle11[[#Headers],[Sebastian_A]],Spielauswertung!$B612:$E612,0),0)=0,AN623,INDEX(Spielauswertung!$AB612:$AE612,MATCH(Tabelle11[[#Headers],[Sebastian_A]],Spielauswertung!$B612:$E612,0))+AN623)</f>
        <v>102.89457418671324</v>
      </c>
      <c r="AO624" s="1">
        <f>IF(IFERROR(MATCH(Tabelle11[[#Headers],[Sebastian_St]],Spielauswertung!$B612:$E612,0),0)=0,AO623,INDEX(Spielauswertung!$AB612:$AE612,MATCH(Tabelle11[[#Headers],[Sebastian_St]],Spielauswertung!$B612:$E612,0))+AO623)</f>
        <v>97.749574367408982</v>
      </c>
      <c r="AP624" s="1">
        <f>IF(IFERROR(MATCH(Tabelle11[[#Headers],[Simon_U]],Spielauswertung!$B612:$E612,0),0)=0,AP623,INDEX(Spielauswertung!$AB612:$AE612,MATCH(Tabelle11[[#Headers],[Simon_U]],Spielauswertung!$B612:$E612,0))+AP623)</f>
        <v>99.623054841470903</v>
      </c>
      <c r="AQ624" s="1">
        <f>IF(IFERROR(MATCH(Tabelle11[[#Headers],[Steffen_R]],Spielauswertung!$B612:$E612,0),0)=0,AQ623,INDEX(Spielauswertung!$AB612:$AE612,MATCH(Tabelle11[[#Headers],[Steffen_R]],Spielauswertung!$B612:$E612,0))+AQ623)</f>
        <v>93.247497067190949</v>
      </c>
      <c r="AR624" s="1">
        <f>IF(IFERROR(MATCH(Tabelle11[[#Headers],[Tim_R]],Spielauswertung!$B612:$E612,0),0)=0,AR623,INDEX(Spielauswertung!$AB612:$AE612,MATCH(Tabelle11[[#Headers],[Tim_R]],Spielauswertung!$B612:$E612,0))+AR623)</f>
        <v>103.07503787023374</v>
      </c>
      <c r="AS624" s="1">
        <f>IF(IFERROR(MATCH(Tabelle11[[#Headers],[Tobias_S]],Spielauswertung!$B612:$E612,0),0)=0,AS623,INDEX(Spielauswertung!$AB612:$AE612,MATCH(Tabelle11[[#Headers],[Tobias_S]],Spielauswertung!$B612:$E612,0))+AS623)</f>
        <v>98.6003422659997</v>
      </c>
      <c r="AT624" s="1">
        <f>IF(IFERROR(MATCH(Tabelle11[[#Headers],[Tom_R]],Spielauswertung!$B612:$E612,0),0)=0,AT623,INDEX(Spielauswertung!$AB612:$AE612,MATCH(Tabelle11[[#Headers],[Tom_R]],Spielauswertung!$B612:$E612,0))+AT623)</f>
        <v>112.62344492949197</v>
      </c>
      <c r="AU624" s="1">
        <f>IF(IFERROR(MATCH(Tabelle11[[#Headers],[Ton_L]],Spielauswertung!$B612:$E612,0),0)=0,AU623,INDEX(Spielauswertung!$AB612:$AE612,MATCH(Tabelle11[[#Headers],[Ton_L]],Spielauswertung!$B612:$E612,0))+AU623)</f>
        <v>92.683083360025861</v>
      </c>
      <c r="AV624" s="1">
        <f>IF(IFERROR(MATCH(Tabelle11[[#Headers],[Yixin_G]],Spielauswertung!$B612:$E612,0),0)=0,AV623,INDEX(Spielauswertung!$AB612:$AE612,MATCH(Tabelle11[[#Headers],[Yixin_G]],Spielauswertung!$B612:$E612,0))+AV623)</f>
        <v>99.900323214082661</v>
      </c>
      <c r="AW624" s="1">
        <f>IF(IFERROR(MATCH(Tabelle11[[#Headers],[Spalte36]],Spielauswertung!$B612:$E612,0),0)=0,AW623,INDEX(Spielauswertung!$AB612:$AE612,MATCH(Tabelle11[[#Headers],[Spalte36]],Spielauswertung!$B612:$E612,0))+AW623)</f>
        <v>100</v>
      </c>
      <c r="AX624" s="1">
        <f>IF(IFERROR(MATCH(Tabelle11[[#Headers],[Spalte37]],Spielauswertung!$B612:$E612,0),0)=0,AX623,INDEX(Spielauswertung!$AB612:$AE612,MATCH(Tabelle11[[#Headers],[Spalte37]],Spielauswertung!$B612:$E612,0))+AX623)</f>
        <v>100</v>
      </c>
      <c r="AY624" s="1">
        <f>IF(IFERROR(MATCH(Tabelle11[[#Headers],[Spalte38]],Spielauswertung!$B612:$E612,0),0)=0,AY623,INDEX(Spielauswertung!$AB612:$AE612,MATCH(Tabelle11[[#Headers],[Spalte38]],Spielauswertung!$B612:$E612,0))+AY623)</f>
        <v>100</v>
      </c>
      <c r="AZ624" s="1">
        <f>IF(IFERROR(MATCH(Tabelle11[[#Headers],[Spalte39]],Spielauswertung!$B612:$E612,0),0)=0,AZ623,INDEX(Spielauswertung!$AB612:$AE612,MATCH(Tabelle11[[#Headers],[Spalte39]],Spielauswertung!$B612:$E612,0))+AZ623)</f>
        <v>100</v>
      </c>
      <c r="BA624" s="1">
        <f>IF(IFERROR(MATCH(Tabelle11[[#Headers],[Spalte40]],Spielauswertung!$B612:$E612,0),0)=0,BA623,INDEX(Spielauswertung!$AB612:$AE612,MATCH(Tabelle11[[#Headers],[Spalte40]],Spielauswertung!$B612:$E612,0))+BA623)</f>
        <v>100</v>
      </c>
      <c r="BB624" s="1">
        <f>IF(IFERROR(MATCH(Tabelle11[[#Headers],[Spalte41]],Spielauswertung!$B612:$E612,0),0)=0,BB623,INDEX(Spielauswertung!$AB612:$AE612,MATCH(Tabelle11[[#Headers],[Spalte41]],Spielauswertung!$B612:$E612,0))+BB623)</f>
        <v>100</v>
      </c>
      <c r="BC624" s="1">
        <f>IF(IFERROR(MATCH(Tabelle11[[#Headers],[Spalte42]],Spielauswertung!$B612:$E612,0),0)=0,BC623,INDEX(Spielauswertung!$AB612:$AE612,MATCH(Tabelle11[[#Headers],[Spalte42]],Spielauswertung!$B612:$E612,0))+BC623)</f>
        <v>100</v>
      </c>
      <c r="BD624" s="1">
        <f>IF(IFERROR(MATCH(Tabelle11[[#Headers],[Spalte43]],Spielauswertung!$B612:$E612,0),0)=0,BD623,INDEX(Spielauswertung!$AB612:$AE612,MATCH(Tabelle11[[#Headers],[Spalte43]],Spielauswertung!$B612:$E612,0))+BD623)</f>
        <v>100</v>
      </c>
      <c r="BE624" s="1">
        <f>IF(IFERROR(MATCH(Tabelle11[[#Headers],[Spalte44]],Spielauswertung!$B612:$E612,0),0)=0,BE623,INDEX(Spielauswertung!$AB612:$AE612,MATCH(Tabelle11[[#Headers],[Spalte44]],Spielauswertung!$B612:$E612,0))+BE623)</f>
        <v>100</v>
      </c>
      <c r="BF624" s="1">
        <f>IF(IFERROR(MATCH(Tabelle11[[#Headers],[Spalte45]],Spielauswertung!$B612:$E612,0),0)=0,BF623,INDEX(Spielauswertung!$AB612:$AE612,MATCH(Tabelle11[[#Headers],[Spalte45]],Spielauswertung!$B612:$E612,0))+BF623)</f>
        <v>100</v>
      </c>
      <c r="BG624" s="1">
        <f>IF(IFERROR(MATCH(Tabelle11[[#Headers],[Spalte46]],Spielauswertung!$B612:$E612,0),0)=0,BG623,INDEX(Spielauswertung!$AB612:$AE612,MATCH(Tabelle11[[#Headers],[Spalte46]],Spielauswertung!$B612:$E612,0))+BG623)</f>
        <v>100</v>
      </c>
      <c r="BH624" s="1">
        <f>IF(IFERROR(MATCH(Tabelle11[[#Headers],[Spalte47]],Spielauswertung!$B612:$E612,0),0)=0,BH623,INDEX(Spielauswertung!$AB612:$AE612,MATCH(Tabelle11[[#Headers],[Spalte47]],Spielauswertung!$B612:$E612,0))+BH623)</f>
        <v>100</v>
      </c>
    </row>
    <row r="625" spans="1:60" x14ac:dyDescent="0.25">
      <c r="A625">
        <f t="shared" si="10"/>
        <v>612</v>
      </c>
      <c r="B625" s="1">
        <f>IF(IFERROR(MATCH(Tabelle11[[#Headers],[Aleix_V]],Spielauswertung!$B613:$E613,0),0)=0,B624,INDEX(Spielauswertung!$AB613:$AE613,MATCH(Tabelle11[[#Headers],[Aleix_V]],Spielauswertung!$B613:$E613,0))+B624)</f>
        <v>102.47318019444646</v>
      </c>
      <c r="C625" s="1">
        <f>IF(IFERROR(MATCH(Tabelle11[[#Headers],[Andres_H]],Spielauswertung!$B613:$E613,0),0)=0,C624,INDEX(Spielauswertung!$AB613:$AE613,MATCH(Tabelle11[[#Headers],[Andres_H]],Spielauswertung!$B613:$E613,0))+C624)</f>
        <v>95.535732339111306</v>
      </c>
      <c r="D625" s="1">
        <f>IF(IFERROR(MATCH(Tabelle11[[#Headers],[Anton_K]],Spielauswertung!$B613:$E613,0),0)=0,D624,INDEX(Spielauswertung!$AB613:$AE613,MATCH(Tabelle11[[#Headers],[Anton_K]],Spielauswertung!$B613:$E613,0))+D624)</f>
        <v>99.287728777054667</v>
      </c>
      <c r="E625" s="1">
        <f>IF(IFERROR(MATCH(Tabelle11[[#Headers],[Bastian_G]],Spielauswertung!$B613:$E613,0),0)=0,E624,INDEX(Spielauswertung!$AB613:$AE613,MATCH(Tabelle11[[#Headers],[Bastian_G]],Spielauswertung!$B613:$E613,0))+E624)</f>
        <v>117.49978695184252</v>
      </c>
      <c r="F625" s="1">
        <f>IF(IFERROR(MATCH(Tabelle11[[#Headers],[Ben_S]],Spielauswertung!$B613:$E613,0),0)=0,F624,INDEX(Spielauswertung!$AB613:$AE613,MATCH(Tabelle11[[#Headers],[Ben_S]],Spielauswertung!$B613:$E613,0))+F624)</f>
        <v>95.932799101521084</v>
      </c>
      <c r="G625" s="1">
        <f>IF(IFERROR(MATCH(Tabelle11[[#Headers],[Benedikt_K]],Spielauswertung!$B613:$E613,0),0)=0,G624,INDEX(Spielauswertung!$AB613:$AE613,MATCH(Tabelle11[[#Headers],[Benedikt_K]],Spielauswertung!$B613:$E613,0))+G624)</f>
        <v>101.20264176422626</v>
      </c>
      <c r="H625" s="1">
        <f>IF(IFERROR(MATCH(Tabelle11[[#Headers],[Benedikt_R]],Spielauswertung!$B613:$E613,0),0)=0,H624,INDEX(Spielauswertung!$AB613:$AE613,MATCH(Tabelle11[[#Headers],[Benedikt_R]],Spielauswertung!$B613:$E613,0))+H624)</f>
        <v>102.6264770510757</v>
      </c>
      <c r="I625" s="1">
        <f>IF(IFERROR(MATCH(Tabelle11[[#Headers],[Carsten_H]],Spielauswertung!$B613:$E613,0),0)=0,I624,INDEX(Spielauswertung!$AB613:$AE613,MATCH(Tabelle11[[#Headers],[Carsten_H]],Spielauswertung!$B613:$E613,0))+I624)</f>
        <v>90.817185094326874</v>
      </c>
      <c r="J625" s="1">
        <f>IF(IFERROR(MATCH(Tabelle11[[#Headers],[Christoph_R]],Spielauswertung!$B613:$E613,0),0)=0,J624,INDEX(Spielauswertung!$AB613:$AE613,MATCH(Tabelle11[[#Headers],[Christoph_R]],Spielauswertung!$B613:$E613,0))+J624)</f>
        <v>109.73261611443155</v>
      </c>
      <c r="K625" s="1">
        <f>IF(IFERROR(MATCH(Tabelle11[[#Headers],[Claudius_J]],Spielauswertung!$B613:$E613,0),0)=0,K624,INDEX(Spielauswertung!$AB613:$AE613,MATCH(Tabelle11[[#Headers],[Claudius_J]],Spielauswertung!$B613:$E613,0))+K624)</f>
        <v>106.16590636000029</v>
      </c>
      <c r="L625" s="1">
        <f>IF(IFERROR(MATCH(Tabelle11[[#Headers],[Daniel_D]],Spielauswertung!$B613:$E613,0),0)=0,L624,INDEX(Spielauswertung!$AB613:$AE613,MATCH(Tabelle11[[#Headers],[Daniel_D]],Spielauswertung!$B613:$E613,0))+L624)</f>
        <v>99.990299180470089</v>
      </c>
      <c r="M625" s="1">
        <f>IF(IFERROR(MATCH(Tabelle11[[#Headers],[David_R]],Spielauswertung!$B613:$E613,0),0)=0,M624,INDEX(Spielauswertung!$AB613:$AE613,MATCH(Tabelle11[[#Headers],[David_R]],Spielauswertung!$B613:$E613,0))+M624)</f>
        <v>96.715943522481638</v>
      </c>
      <c r="N625" s="1">
        <f>IF(IFERROR(MATCH(Tabelle11[[#Headers],[Dennis_P]],Spielauswertung!$B613:$E613,0),0)=0,N624,INDEX(Spielauswertung!$AB613:$AE613,MATCH(Tabelle11[[#Headers],[Dennis_P]],Spielauswertung!$B613:$E613,0))+N624)</f>
        <v>100.04773223105254</v>
      </c>
      <c r="O625" s="1">
        <f>IF(IFERROR(MATCH(Tabelle11[[#Headers],[Dennis_R]],Spielauswertung!$B613:$E613,0),0)=0,O624,INDEX(Spielauswertung!$AB613:$AE613,MATCH(Tabelle11[[#Headers],[Dennis_R]],Spielauswertung!$B613:$E613,0))+O624)</f>
        <v>75.131680864937195</v>
      </c>
      <c r="P625" s="1">
        <f>IF(IFERROR(MATCH(Tabelle11[[#Headers],[Detlef_R]],Spielauswertung!$B613:$E613,0),0)=0,P624,INDEX(Spielauswertung!$AB613:$AE613,MATCH(Tabelle11[[#Headers],[Detlef_R]],Spielauswertung!$B613:$E613,0))+P624)</f>
        <v>87.984671797367014</v>
      </c>
      <c r="Q625" s="1">
        <f>IF(IFERROR(MATCH(Tabelle11[[#Headers],[Dmitrij_M]],Spielauswertung!$B613:$E613,0),0)=0,Q624,INDEX(Spielauswertung!$AB613:$AE613,MATCH(Tabelle11[[#Headers],[Dmitrij_M]],Spielauswertung!$B613:$E613,0))+Q624)</f>
        <v>100.69975721846207</v>
      </c>
      <c r="R625" s="1">
        <f>IF(IFERROR(MATCH(Tabelle11[[#Headers],[Fabian_M]],Spielauswertung!$B613:$E613,0),0)=0,R624,INDEX(Spielauswertung!$AB613:$AE613,MATCH(Tabelle11[[#Headers],[Fabian_M]],Spielauswertung!$B613:$E613,0))+R624)</f>
        <v>95.805387841610738</v>
      </c>
      <c r="S625" s="1">
        <f>IF(IFERROR(MATCH(Tabelle11[[#Headers],[Hannes_S]],Spielauswertung!$B613:$E613,0),0)=0,S624,INDEX(Spielauswertung!$AB613:$AE613,MATCH(Tabelle11[[#Headers],[Hannes_S]],Spielauswertung!$B613:$E613,0))+S624)</f>
        <v>104.83899184012799</v>
      </c>
      <c r="T625" s="1">
        <f>IF(IFERROR(MATCH(Tabelle11[[#Headers],[Jan_B]],Spielauswertung!$B613:$E613,0),0)=0,T624,INDEX(Spielauswertung!$AB613:$AE613,MATCH(Tabelle11[[#Headers],[Jan_B]],Spielauswertung!$B613:$E613,0))+T624)</f>
        <v>100.2794420429173</v>
      </c>
      <c r="U625" s="1">
        <f>IF(IFERROR(MATCH(Tabelle11[[#Headers],[Jan_Hendrik_B]],Spielauswertung!$B613:$E613,0),0)=0,U624,INDEX(Spielauswertung!$AB613:$AE613,MATCH(Tabelle11[[#Headers],[Jan_Hendrik_B]],Spielauswertung!$B613:$E613,0))+U624)</f>
        <v>100.75492416935522</v>
      </c>
      <c r="V625" s="1">
        <f>IF(IFERROR(MATCH(Tabelle11[[#Headers],[Jens_N]],Spielauswertung!$B613:$E613,0),0)=0,V624,INDEX(Spielauswertung!$AB613:$AE613,MATCH(Tabelle11[[#Headers],[Jens_N]],Spielauswertung!$B613:$E613,0))+V624)</f>
        <v>99.643534710196832</v>
      </c>
      <c r="W625" s="1">
        <f>IF(IFERROR(MATCH(Tabelle11[[#Headers],[Johannes_S]],Spielauswertung!$B613:$E613,0),0)=0,W624,INDEX(Spielauswertung!$AB613:$AE613,MATCH(Tabelle11[[#Headers],[Johannes_S]],Spielauswertung!$B613:$E613,0))+W624)</f>
        <v>102.20284750979505</v>
      </c>
      <c r="X625" s="1">
        <f>IF(IFERROR(MATCH(Tabelle11[[#Headers],[Jonathan_F]],Spielauswertung!$B613:$E613,0),0)=0,X624,INDEX(Spielauswertung!$AB613:$AE613,MATCH(Tabelle11[[#Headers],[Jonathan_F]],Spielauswertung!$B613:$E613,0))+X624)</f>
        <v>98.938308797866256</v>
      </c>
      <c r="Y625" s="1">
        <f>IF(IFERROR(MATCH(Tabelle11[[#Headers],[Julius_P]],Spielauswertung!$B613:$E613,0),0)=0,Y624,INDEX(Spielauswertung!$AB613:$AE613,MATCH(Tabelle11[[#Headers],[Julius_P]],Spielauswertung!$B613:$E613,0))+Y624)</f>
        <v>96.540305101873642</v>
      </c>
      <c r="Z625" s="1">
        <f>IF(IFERROR(MATCH(Tabelle11[[#Headers],[Louis_W]],Spielauswertung!$B613:$E613,0),0)=0,Z624,INDEX(Spielauswertung!$AB613:$AE613,MATCH(Tabelle11[[#Headers],[Louis_W]],Spielauswertung!$B613:$E613,0))+Z624)</f>
        <v>87.497452285475362</v>
      </c>
      <c r="AA625" s="1">
        <f>IF(IFERROR(MATCH(Tabelle11[[#Headers],[Lukas_L]],Spielauswertung!$B613:$E613,0),0)=0,AA624,INDEX(Spielauswertung!$AB613:$AE613,MATCH(Tabelle11[[#Headers],[Lukas_L]],Spielauswertung!$B613:$E613,0))+AA624)</f>
        <v>98.447931341404143</v>
      </c>
      <c r="AB625" s="1">
        <f>IF(IFERROR(MATCH(Tabelle11[[#Headers],[Marcin_S]],Spielauswertung!$B613:$E613,0),0)=0,AB624,INDEX(Spielauswertung!$AB613:$AE613,MATCH(Tabelle11[[#Headers],[Marcin_S]],Spielauswertung!$B613:$E613,0))+AB624)</f>
        <v>85.463329105556824</v>
      </c>
      <c r="AC625" s="1">
        <f>IF(IFERROR(MATCH(Tabelle11[[#Headers],[Marco_K]],Spielauswertung!$B613:$E613,0),0)=0,AC624,INDEX(Spielauswertung!$AB613:$AE613,MATCH(Tabelle11[[#Headers],[Marco_K]],Spielauswertung!$B613:$E613,0))+AC624)</f>
        <v>102.12169819441469</v>
      </c>
      <c r="AD625" s="1">
        <f>IF(IFERROR(MATCH(Tabelle11[[#Headers],[Marius_M]],Spielauswertung!$B613:$E613,0),0)=0,AD624,INDEX(Spielauswertung!$AB613:$AE613,MATCH(Tabelle11[[#Headers],[Marius_M]],Spielauswertung!$B613:$E613,0))+AD624)</f>
        <v>124.54012374585781</v>
      </c>
      <c r="AE625" s="1">
        <f>IF(IFERROR(MATCH(Tabelle11[[#Headers],[Marvin_W]],Spielauswertung!$B613:$E613,0),0)=0,AE624,INDEX(Spielauswertung!$AB613:$AE613,MATCH(Tabelle11[[#Headers],[Marvin_W]],Spielauswertung!$B613:$E613,0))+AE624)</f>
        <v>96.700266280577438</v>
      </c>
      <c r="AF625" s="1">
        <f>IF(IFERROR(MATCH(Tabelle11[[#Headers],[Matthias_H]],Spielauswertung!$B613:$E613,0),0)=0,AF624,INDEX(Spielauswertung!$AB613:$AE613,MATCH(Tabelle11[[#Headers],[Matthias_H]],Spielauswertung!$B613:$E613,0))+AF624)</f>
        <v>105.42130178599372</v>
      </c>
      <c r="AG625" s="1">
        <f>IF(IFERROR(MATCH(Tabelle11[[#Headers],[Michael_D]],Spielauswertung!$B613:$E613,0),0)=0,AG624,INDEX(Spielauswertung!$AB613:$AE613,MATCH(Tabelle11[[#Headers],[Michael_D]],Spielauswertung!$B613:$E613,0))+AG624)</f>
        <v>96.436276170375336</v>
      </c>
      <c r="AH625" s="1">
        <f>IF(IFERROR(MATCH(Tabelle11[[#Headers],[Patrick_S]],Spielauswertung!$B613:$E613,0),0)=0,AH624,INDEX(Spielauswertung!$AB613:$AE613,MATCH(Tabelle11[[#Headers],[Patrick_S]],Spielauswertung!$B613:$E613,0))+AH624)</f>
        <v>98.975330692053802</v>
      </c>
      <c r="AI625" s="1">
        <f>IF(IFERROR(MATCH(Tabelle11[[#Headers],[Rano_M]],Spielauswertung!$B613:$E613,0),0)=0,AI624,INDEX(Spielauswertung!$AB613:$AE613,MATCH(Tabelle11[[#Headers],[Rano_M]],Spielauswertung!$B613:$E613,0))+AI624)</f>
        <v>109.38890657420265</v>
      </c>
      <c r="AJ625" s="1">
        <f>IF(IFERROR(MATCH(Tabelle11[[#Headers],[Rene_N]],Spielauswertung!$B613:$E613,0),0)=0,AJ624,INDEX(Spielauswertung!$AB613:$AE613,MATCH(Tabelle11[[#Headers],[Rene_N]],Spielauswertung!$B613:$E613,0))+AJ624)</f>
        <v>101.06482124619033</v>
      </c>
      <c r="AK625" s="1">
        <f>IF(IFERROR(MATCH(Tabelle11[[#Headers],[Rene_P]],Spielauswertung!$B613:$E613,0),0)=0,AK624,INDEX(Spielauswertung!$AB613:$AE613,MATCH(Tabelle11[[#Headers],[Rene_P]],Spielauswertung!$B613:$E613,0))+AK624)</f>
        <v>88.762543186332877</v>
      </c>
      <c r="AL625" s="1">
        <f>IF(IFERROR(MATCH(Tabelle11[[#Headers],[Richard_D]],Spielauswertung!$B613:$E613,0),0)=0,AL624,INDEX(Spielauswertung!$AB613:$AE613,MATCH(Tabelle11[[#Headers],[Richard_D]],Spielauswertung!$B613:$E613,0))+AL624)</f>
        <v>107.23233592026223</v>
      </c>
      <c r="AM625" s="1">
        <f>IF(IFERROR(MATCH(Tabelle11[[#Headers],[Rodrigo_R]],Spielauswertung!$B613:$E613,0),0)=0,AM624,INDEX(Spielauswertung!$AB613:$AE613,MATCH(Tabelle11[[#Headers],[Rodrigo_R]],Spielauswertung!$B613:$E613,0))+AM624)</f>
        <v>116.7028707921346</v>
      </c>
      <c r="AN625" s="1">
        <f>IF(IFERROR(MATCH(Tabelle11[[#Headers],[Sebastian_A]],Spielauswertung!$B613:$E613,0),0)=0,AN624,INDEX(Spielauswertung!$AB613:$AE613,MATCH(Tabelle11[[#Headers],[Sebastian_A]],Spielauswertung!$B613:$E613,0))+AN624)</f>
        <v>102.89457418671324</v>
      </c>
      <c r="AO625" s="1">
        <f>IF(IFERROR(MATCH(Tabelle11[[#Headers],[Sebastian_St]],Spielauswertung!$B613:$E613,0),0)=0,AO624,INDEX(Spielauswertung!$AB613:$AE613,MATCH(Tabelle11[[#Headers],[Sebastian_St]],Spielauswertung!$B613:$E613,0))+AO624)</f>
        <v>97.749574367408982</v>
      </c>
      <c r="AP625" s="1">
        <f>IF(IFERROR(MATCH(Tabelle11[[#Headers],[Simon_U]],Spielauswertung!$B613:$E613,0),0)=0,AP624,INDEX(Spielauswertung!$AB613:$AE613,MATCH(Tabelle11[[#Headers],[Simon_U]],Spielauswertung!$B613:$E613,0))+AP624)</f>
        <v>99.623054841470903</v>
      </c>
      <c r="AQ625" s="1">
        <f>IF(IFERROR(MATCH(Tabelle11[[#Headers],[Steffen_R]],Spielauswertung!$B613:$E613,0),0)=0,AQ624,INDEX(Spielauswertung!$AB613:$AE613,MATCH(Tabelle11[[#Headers],[Steffen_R]],Spielauswertung!$B613:$E613,0))+AQ624)</f>
        <v>93.247497067190949</v>
      </c>
      <c r="AR625" s="1">
        <f>IF(IFERROR(MATCH(Tabelle11[[#Headers],[Tim_R]],Spielauswertung!$B613:$E613,0),0)=0,AR624,INDEX(Spielauswertung!$AB613:$AE613,MATCH(Tabelle11[[#Headers],[Tim_R]],Spielauswertung!$B613:$E613,0))+AR624)</f>
        <v>103.07503787023374</v>
      </c>
      <c r="AS625" s="1">
        <f>IF(IFERROR(MATCH(Tabelle11[[#Headers],[Tobias_S]],Spielauswertung!$B613:$E613,0),0)=0,AS624,INDEX(Spielauswertung!$AB613:$AE613,MATCH(Tabelle11[[#Headers],[Tobias_S]],Spielauswertung!$B613:$E613,0))+AS624)</f>
        <v>98.6003422659997</v>
      </c>
      <c r="AT625" s="1">
        <f>IF(IFERROR(MATCH(Tabelle11[[#Headers],[Tom_R]],Spielauswertung!$B613:$E613,0),0)=0,AT624,INDEX(Spielauswertung!$AB613:$AE613,MATCH(Tabelle11[[#Headers],[Tom_R]],Spielauswertung!$B613:$E613,0))+AT624)</f>
        <v>112.62344492949197</v>
      </c>
      <c r="AU625" s="1">
        <f>IF(IFERROR(MATCH(Tabelle11[[#Headers],[Ton_L]],Spielauswertung!$B613:$E613,0),0)=0,AU624,INDEX(Spielauswertung!$AB613:$AE613,MATCH(Tabelle11[[#Headers],[Ton_L]],Spielauswertung!$B613:$E613,0))+AU624)</f>
        <v>92.683083360025861</v>
      </c>
      <c r="AV625" s="1">
        <f>IF(IFERROR(MATCH(Tabelle11[[#Headers],[Yixin_G]],Spielauswertung!$B613:$E613,0),0)=0,AV624,INDEX(Spielauswertung!$AB613:$AE613,MATCH(Tabelle11[[#Headers],[Yixin_G]],Spielauswertung!$B613:$E613,0))+AV624)</f>
        <v>99.900323214082661</v>
      </c>
      <c r="AW625" s="1">
        <f>IF(IFERROR(MATCH(Tabelle11[[#Headers],[Spalte36]],Spielauswertung!$B613:$E613,0),0)=0,AW624,INDEX(Spielauswertung!$AB613:$AE613,MATCH(Tabelle11[[#Headers],[Spalte36]],Spielauswertung!$B613:$E613,0))+AW624)</f>
        <v>100</v>
      </c>
      <c r="AX625" s="1">
        <f>IF(IFERROR(MATCH(Tabelle11[[#Headers],[Spalte37]],Spielauswertung!$B613:$E613,0),0)=0,AX624,INDEX(Spielauswertung!$AB613:$AE613,MATCH(Tabelle11[[#Headers],[Spalte37]],Spielauswertung!$B613:$E613,0))+AX624)</f>
        <v>100</v>
      </c>
      <c r="AY625" s="1">
        <f>IF(IFERROR(MATCH(Tabelle11[[#Headers],[Spalte38]],Spielauswertung!$B613:$E613,0),0)=0,AY624,INDEX(Spielauswertung!$AB613:$AE613,MATCH(Tabelle11[[#Headers],[Spalte38]],Spielauswertung!$B613:$E613,0))+AY624)</f>
        <v>100</v>
      </c>
      <c r="AZ625" s="1">
        <f>IF(IFERROR(MATCH(Tabelle11[[#Headers],[Spalte39]],Spielauswertung!$B613:$E613,0),0)=0,AZ624,INDEX(Spielauswertung!$AB613:$AE613,MATCH(Tabelle11[[#Headers],[Spalte39]],Spielauswertung!$B613:$E613,0))+AZ624)</f>
        <v>100</v>
      </c>
      <c r="BA625" s="1">
        <f>IF(IFERROR(MATCH(Tabelle11[[#Headers],[Spalte40]],Spielauswertung!$B613:$E613,0),0)=0,BA624,INDEX(Spielauswertung!$AB613:$AE613,MATCH(Tabelle11[[#Headers],[Spalte40]],Spielauswertung!$B613:$E613,0))+BA624)</f>
        <v>100</v>
      </c>
      <c r="BB625" s="1">
        <f>IF(IFERROR(MATCH(Tabelle11[[#Headers],[Spalte41]],Spielauswertung!$B613:$E613,0),0)=0,BB624,INDEX(Spielauswertung!$AB613:$AE613,MATCH(Tabelle11[[#Headers],[Spalte41]],Spielauswertung!$B613:$E613,0))+BB624)</f>
        <v>100</v>
      </c>
      <c r="BC625" s="1">
        <f>IF(IFERROR(MATCH(Tabelle11[[#Headers],[Spalte42]],Spielauswertung!$B613:$E613,0),0)=0,BC624,INDEX(Spielauswertung!$AB613:$AE613,MATCH(Tabelle11[[#Headers],[Spalte42]],Spielauswertung!$B613:$E613,0))+BC624)</f>
        <v>100</v>
      </c>
      <c r="BD625" s="1">
        <f>IF(IFERROR(MATCH(Tabelle11[[#Headers],[Spalte43]],Spielauswertung!$B613:$E613,0),0)=0,BD624,INDEX(Spielauswertung!$AB613:$AE613,MATCH(Tabelle11[[#Headers],[Spalte43]],Spielauswertung!$B613:$E613,0))+BD624)</f>
        <v>100</v>
      </c>
      <c r="BE625" s="1">
        <f>IF(IFERROR(MATCH(Tabelle11[[#Headers],[Spalte44]],Spielauswertung!$B613:$E613,0),0)=0,BE624,INDEX(Spielauswertung!$AB613:$AE613,MATCH(Tabelle11[[#Headers],[Spalte44]],Spielauswertung!$B613:$E613,0))+BE624)</f>
        <v>100</v>
      </c>
      <c r="BF625" s="1">
        <f>IF(IFERROR(MATCH(Tabelle11[[#Headers],[Spalte45]],Spielauswertung!$B613:$E613,0),0)=0,BF624,INDEX(Spielauswertung!$AB613:$AE613,MATCH(Tabelle11[[#Headers],[Spalte45]],Spielauswertung!$B613:$E613,0))+BF624)</f>
        <v>100</v>
      </c>
      <c r="BG625" s="1">
        <f>IF(IFERROR(MATCH(Tabelle11[[#Headers],[Spalte46]],Spielauswertung!$B613:$E613,0),0)=0,BG624,INDEX(Spielauswertung!$AB613:$AE613,MATCH(Tabelle11[[#Headers],[Spalte46]],Spielauswertung!$B613:$E613,0))+BG624)</f>
        <v>100</v>
      </c>
      <c r="BH625" s="1">
        <f>IF(IFERROR(MATCH(Tabelle11[[#Headers],[Spalte47]],Spielauswertung!$B613:$E613,0),0)=0,BH624,INDEX(Spielauswertung!$AB613:$AE613,MATCH(Tabelle11[[#Headers],[Spalte47]],Spielauswertung!$B613:$E613,0))+BH624)</f>
        <v>100</v>
      </c>
    </row>
    <row r="626" spans="1:60" x14ac:dyDescent="0.25">
      <c r="A626">
        <f t="shared" si="10"/>
        <v>613</v>
      </c>
      <c r="B626" s="1">
        <f>IF(IFERROR(MATCH(Tabelle11[[#Headers],[Aleix_V]],Spielauswertung!$B614:$E614,0),0)=0,B625,INDEX(Spielauswertung!$AB614:$AE614,MATCH(Tabelle11[[#Headers],[Aleix_V]],Spielauswertung!$B614:$E614,0))+B625)</f>
        <v>102.47318019444646</v>
      </c>
      <c r="C626" s="1">
        <f>IF(IFERROR(MATCH(Tabelle11[[#Headers],[Andres_H]],Spielauswertung!$B614:$E614,0),0)=0,C625,INDEX(Spielauswertung!$AB614:$AE614,MATCH(Tabelle11[[#Headers],[Andres_H]],Spielauswertung!$B614:$E614,0))+C625)</f>
        <v>95.535732339111306</v>
      </c>
      <c r="D626" s="1">
        <f>IF(IFERROR(MATCH(Tabelle11[[#Headers],[Anton_K]],Spielauswertung!$B614:$E614,0),0)=0,D625,INDEX(Spielauswertung!$AB614:$AE614,MATCH(Tabelle11[[#Headers],[Anton_K]],Spielauswertung!$B614:$E614,0))+D625)</f>
        <v>99.287728777054667</v>
      </c>
      <c r="E626" s="1">
        <f>IF(IFERROR(MATCH(Tabelle11[[#Headers],[Bastian_G]],Spielauswertung!$B614:$E614,0),0)=0,E625,INDEX(Spielauswertung!$AB614:$AE614,MATCH(Tabelle11[[#Headers],[Bastian_G]],Spielauswertung!$B614:$E614,0))+E625)</f>
        <v>117.49978695184252</v>
      </c>
      <c r="F626" s="1">
        <f>IF(IFERROR(MATCH(Tabelle11[[#Headers],[Ben_S]],Spielauswertung!$B614:$E614,0),0)=0,F625,INDEX(Spielauswertung!$AB614:$AE614,MATCH(Tabelle11[[#Headers],[Ben_S]],Spielauswertung!$B614:$E614,0))+F625)</f>
        <v>95.932799101521084</v>
      </c>
      <c r="G626" s="1">
        <f>IF(IFERROR(MATCH(Tabelle11[[#Headers],[Benedikt_K]],Spielauswertung!$B614:$E614,0),0)=0,G625,INDEX(Spielauswertung!$AB614:$AE614,MATCH(Tabelle11[[#Headers],[Benedikt_K]],Spielauswertung!$B614:$E614,0))+G625)</f>
        <v>101.20264176422626</v>
      </c>
      <c r="H626" s="1">
        <f>IF(IFERROR(MATCH(Tabelle11[[#Headers],[Benedikt_R]],Spielauswertung!$B614:$E614,0),0)=0,H625,INDEX(Spielauswertung!$AB614:$AE614,MATCH(Tabelle11[[#Headers],[Benedikt_R]],Spielauswertung!$B614:$E614,0))+H625)</f>
        <v>102.6264770510757</v>
      </c>
      <c r="I626" s="1">
        <f>IF(IFERROR(MATCH(Tabelle11[[#Headers],[Carsten_H]],Spielauswertung!$B614:$E614,0),0)=0,I625,INDEX(Spielauswertung!$AB614:$AE614,MATCH(Tabelle11[[#Headers],[Carsten_H]],Spielauswertung!$B614:$E614,0))+I625)</f>
        <v>90.817185094326874</v>
      </c>
      <c r="J626" s="1">
        <f>IF(IFERROR(MATCH(Tabelle11[[#Headers],[Christoph_R]],Spielauswertung!$B614:$E614,0),0)=0,J625,INDEX(Spielauswertung!$AB614:$AE614,MATCH(Tabelle11[[#Headers],[Christoph_R]],Spielauswertung!$B614:$E614,0))+J625)</f>
        <v>109.73261611443155</v>
      </c>
      <c r="K626" s="1">
        <f>IF(IFERROR(MATCH(Tabelle11[[#Headers],[Claudius_J]],Spielauswertung!$B614:$E614,0),0)=0,K625,INDEX(Spielauswertung!$AB614:$AE614,MATCH(Tabelle11[[#Headers],[Claudius_J]],Spielauswertung!$B614:$E614,0))+K625)</f>
        <v>106.16590636000029</v>
      </c>
      <c r="L626" s="1">
        <f>IF(IFERROR(MATCH(Tabelle11[[#Headers],[Daniel_D]],Spielauswertung!$B614:$E614,0),0)=0,L625,INDEX(Spielauswertung!$AB614:$AE614,MATCH(Tabelle11[[#Headers],[Daniel_D]],Spielauswertung!$B614:$E614,0))+L625)</f>
        <v>99.990299180470089</v>
      </c>
      <c r="M626" s="1">
        <f>IF(IFERROR(MATCH(Tabelle11[[#Headers],[David_R]],Spielauswertung!$B614:$E614,0),0)=0,M625,INDEX(Spielauswertung!$AB614:$AE614,MATCH(Tabelle11[[#Headers],[David_R]],Spielauswertung!$B614:$E614,0))+M625)</f>
        <v>96.715943522481638</v>
      </c>
      <c r="N626" s="1">
        <f>IF(IFERROR(MATCH(Tabelle11[[#Headers],[Dennis_P]],Spielauswertung!$B614:$E614,0),0)=0,N625,INDEX(Spielauswertung!$AB614:$AE614,MATCH(Tabelle11[[#Headers],[Dennis_P]],Spielauswertung!$B614:$E614,0))+N625)</f>
        <v>100.04773223105254</v>
      </c>
      <c r="O626" s="1">
        <f>IF(IFERROR(MATCH(Tabelle11[[#Headers],[Dennis_R]],Spielauswertung!$B614:$E614,0),0)=0,O625,INDEX(Spielauswertung!$AB614:$AE614,MATCH(Tabelle11[[#Headers],[Dennis_R]],Spielauswertung!$B614:$E614,0))+O625)</f>
        <v>75.131680864937195</v>
      </c>
      <c r="P626" s="1">
        <f>IF(IFERROR(MATCH(Tabelle11[[#Headers],[Detlef_R]],Spielauswertung!$B614:$E614,0),0)=0,P625,INDEX(Spielauswertung!$AB614:$AE614,MATCH(Tabelle11[[#Headers],[Detlef_R]],Spielauswertung!$B614:$E614,0))+P625)</f>
        <v>87.984671797367014</v>
      </c>
      <c r="Q626" s="1">
        <f>IF(IFERROR(MATCH(Tabelle11[[#Headers],[Dmitrij_M]],Spielauswertung!$B614:$E614,0),0)=0,Q625,INDEX(Spielauswertung!$AB614:$AE614,MATCH(Tabelle11[[#Headers],[Dmitrij_M]],Spielauswertung!$B614:$E614,0))+Q625)</f>
        <v>100.69975721846207</v>
      </c>
      <c r="R626" s="1">
        <f>IF(IFERROR(MATCH(Tabelle11[[#Headers],[Fabian_M]],Spielauswertung!$B614:$E614,0),0)=0,R625,INDEX(Spielauswertung!$AB614:$AE614,MATCH(Tabelle11[[#Headers],[Fabian_M]],Spielauswertung!$B614:$E614,0))+R625)</f>
        <v>95.805387841610738</v>
      </c>
      <c r="S626" s="1">
        <f>IF(IFERROR(MATCH(Tabelle11[[#Headers],[Hannes_S]],Spielauswertung!$B614:$E614,0),0)=0,S625,INDEX(Spielauswertung!$AB614:$AE614,MATCH(Tabelle11[[#Headers],[Hannes_S]],Spielauswertung!$B614:$E614,0))+S625)</f>
        <v>104.83899184012799</v>
      </c>
      <c r="T626" s="1">
        <f>IF(IFERROR(MATCH(Tabelle11[[#Headers],[Jan_B]],Spielauswertung!$B614:$E614,0),0)=0,T625,INDEX(Spielauswertung!$AB614:$AE614,MATCH(Tabelle11[[#Headers],[Jan_B]],Spielauswertung!$B614:$E614,0))+T625)</f>
        <v>100.2794420429173</v>
      </c>
      <c r="U626" s="1">
        <f>IF(IFERROR(MATCH(Tabelle11[[#Headers],[Jan_Hendrik_B]],Spielauswertung!$B614:$E614,0),0)=0,U625,INDEX(Spielauswertung!$AB614:$AE614,MATCH(Tabelle11[[#Headers],[Jan_Hendrik_B]],Spielauswertung!$B614:$E614,0))+U625)</f>
        <v>100.75492416935522</v>
      </c>
      <c r="V626" s="1">
        <f>IF(IFERROR(MATCH(Tabelle11[[#Headers],[Jens_N]],Spielauswertung!$B614:$E614,0),0)=0,V625,INDEX(Spielauswertung!$AB614:$AE614,MATCH(Tabelle11[[#Headers],[Jens_N]],Spielauswertung!$B614:$E614,0))+V625)</f>
        <v>99.643534710196832</v>
      </c>
      <c r="W626" s="1">
        <f>IF(IFERROR(MATCH(Tabelle11[[#Headers],[Johannes_S]],Spielauswertung!$B614:$E614,0),0)=0,W625,INDEX(Spielauswertung!$AB614:$AE614,MATCH(Tabelle11[[#Headers],[Johannes_S]],Spielauswertung!$B614:$E614,0))+W625)</f>
        <v>102.20284750979505</v>
      </c>
      <c r="X626" s="1">
        <f>IF(IFERROR(MATCH(Tabelle11[[#Headers],[Jonathan_F]],Spielauswertung!$B614:$E614,0),0)=0,X625,INDEX(Spielauswertung!$AB614:$AE614,MATCH(Tabelle11[[#Headers],[Jonathan_F]],Spielauswertung!$B614:$E614,0))+X625)</f>
        <v>98.938308797866256</v>
      </c>
      <c r="Y626" s="1">
        <f>IF(IFERROR(MATCH(Tabelle11[[#Headers],[Julius_P]],Spielauswertung!$B614:$E614,0),0)=0,Y625,INDEX(Spielauswertung!$AB614:$AE614,MATCH(Tabelle11[[#Headers],[Julius_P]],Spielauswertung!$B614:$E614,0))+Y625)</f>
        <v>96.540305101873642</v>
      </c>
      <c r="Z626" s="1">
        <f>IF(IFERROR(MATCH(Tabelle11[[#Headers],[Louis_W]],Spielauswertung!$B614:$E614,0),0)=0,Z625,INDEX(Spielauswertung!$AB614:$AE614,MATCH(Tabelle11[[#Headers],[Louis_W]],Spielauswertung!$B614:$E614,0))+Z625)</f>
        <v>87.497452285475362</v>
      </c>
      <c r="AA626" s="1">
        <f>IF(IFERROR(MATCH(Tabelle11[[#Headers],[Lukas_L]],Spielauswertung!$B614:$E614,0),0)=0,AA625,INDEX(Spielauswertung!$AB614:$AE614,MATCH(Tabelle11[[#Headers],[Lukas_L]],Spielauswertung!$B614:$E614,0))+AA625)</f>
        <v>98.447931341404143</v>
      </c>
      <c r="AB626" s="1">
        <f>IF(IFERROR(MATCH(Tabelle11[[#Headers],[Marcin_S]],Spielauswertung!$B614:$E614,0),0)=0,AB625,INDEX(Spielauswertung!$AB614:$AE614,MATCH(Tabelle11[[#Headers],[Marcin_S]],Spielauswertung!$B614:$E614,0))+AB625)</f>
        <v>85.463329105556824</v>
      </c>
      <c r="AC626" s="1">
        <f>IF(IFERROR(MATCH(Tabelle11[[#Headers],[Marco_K]],Spielauswertung!$B614:$E614,0),0)=0,AC625,INDEX(Spielauswertung!$AB614:$AE614,MATCH(Tabelle11[[#Headers],[Marco_K]],Spielauswertung!$B614:$E614,0))+AC625)</f>
        <v>102.12169819441469</v>
      </c>
      <c r="AD626" s="1">
        <f>IF(IFERROR(MATCH(Tabelle11[[#Headers],[Marius_M]],Spielauswertung!$B614:$E614,0),0)=0,AD625,INDEX(Spielauswertung!$AB614:$AE614,MATCH(Tabelle11[[#Headers],[Marius_M]],Spielauswertung!$B614:$E614,0))+AD625)</f>
        <v>124.54012374585781</v>
      </c>
      <c r="AE626" s="1">
        <f>IF(IFERROR(MATCH(Tabelle11[[#Headers],[Marvin_W]],Spielauswertung!$B614:$E614,0),0)=0,AE625,INDEX(Spielauswertung!$AB614:$AE614,MATCH(Tabelle11[[#Headers],[Marvin_W]],Spielauswertung!$B614:$E614,0))+AE625)</f>
        <v>96.700266280577438</v>
      </c>
      <c r="AF626" s="1">
        <f>IF(IFERROR(MATCH(Tabelle11[[#Headers],[Matthias_H]],Spielauswertung!$B614:$E614,0),0)=0,AF625,INDEX(Spielauswertung!$AB614:$AE614,MATCH(Tabelle11[[#Headers],[Matthias_H]],Spielauswertung!$B614:$E614,0))+AF625)</f>
        <v>105.42130178599372</v>
      </c>
      <c r="AG626" s="1">
        <f>IF(IFERROR(MATCH(Tabelle11[[#Headers],[Michael_D]],Spielauswertung!$B614:$E614,0),0)=0,AG625,INDEX(Spielauswertung!$AB614:$AE614,MATCH(Tabelle11[[#Headers],[Michael_D]],Spielauswertung!$B614:$E614,0))+AG625)</f>
        <v>96.436276170375336</v>
      </c>
      <c r="AH626" s="1">
        <f>IF(IFERROR(MATCH(Tabelle11[[#Headers],[Patrick_S]],Spielauswertung!$B614:$E614,0),0)=0,AH625,INDEX(Spielauswertung!$AB614:$AE614,MATCH(Tabelle11[[#Headers],[Patrick_S]],Spielauswertung!$B614:$E614,0))+AH625)</f>
        <v>98.975330692053802</v>
      </c>
      <c r="AI626" s="1">
        <f>IF(IFERROR(MATCH(Tabelle11[[#Headers],[Rano_M]],Spielauswertung!$B614:$E614,0),0)=0,AI625,INDEX(Spielauswertung!$AB614:$AE614,MATCH(Tabelle11[[#Headers],[Rano_M]],Spielauswertung!$B614:$E614,0))+AI625)</f>
        <v>109.38890657420265</v>
      </c>
      <c r="AJ626" s="1">
        <f>IF(IFERROR(MATCH(Tabelle11[[#Headers],[Rene_N]],Spielauswertung!$B614:$E614,0),0)=0,AJ625,INDEX(Spielauswertung!$AB614:$AE614,MATCH(Tabelle11[[#Headers],[Rene_N]],Spielauswertung!$B614:$E614,0))+AJ625)</f>
        <v>101.06482124619033</v>
      </c>
      <c r="AK626" s="1">
        <f>IF(IFERROR(MATCH(Tabelle11[[#Headers],[Rene_P]],Spielauswertung!$B614:$E614,0),0)=0,AK625,INDEX(Spielauswertung!$AB614:$AE614,MATCH(Tabelle11[[#Headers],[Rene_P]],Spielauswertung!$B614:$E614,0))+AK625)</f>
        <v>88.762543186332877</v>
      </c>
      <c r="AL626" s="1">
        <f>IF(IFERROR(MATCH(Tabelle11[[#Headers],[Richard_D]],Spielauswertung!$B614:$E614,0),0)=0,AL625,INDEX(Spielauswertung!$AB614:$AE614,MATCH(Tabelle11[[#Headers],[Richard_D]],Spielauswertung!$B614:$E614,0))+AL625)</f>
        <v>107.23233592026223</v>
      </c>
      <c r="AM626" s="1">
        <f>IF(IFERROR(MATCH(Tabelle11[[#Headers],[Rodrigo_R]],Spielauswertung!$B614:$E614,0),0)=0,AM625,INDEX(Spielauswertung!$AB614:$AE614,MATCH(Tabelle11[[#Headers],[Rodrigo_R]],Spielauswertung!$B614:$E614,0))+AM625)</f>
        <v>116.7028707921346</v>
      </c>
      <c r="AN626" s="1">
        <f>IF(IFERROR(MATCH(Tabelle11[[#Headers],[Sebastian_A]],Spielauswertung!$B614:$E614,0),0)=0,AN625,INDEX(Spielauswertung!$AB614:$AE614,MATCH(Tabelle11[[#Headers],[Sebastian_A]],Spielauswertung!$B614:$E614,0))+AN625)</f>
        <v>102.89457418671324</v>
      </c>
      <c r="AO626" s="1">
        <f>IF(IFERROR(MATCH(Tabelle11[[#Headers],[Sebastian_St]],Spielauswertung!$B614:$E614,0),0)=0,AO625,INDEX(Spielauswertung!$AB614:$AE614,MATCH(Tabelle11[[#Headers],[Sebastian_St]],Spielauswertung!$B614:$E614,0))+AO625)</f>
        <v>97.749574367408982</v>
      </c>
      <c r="AP626" s="1">
        <f>IF(IFERROR(MATCH(Tabelle11[[#Headers],[Simon_U]],Spielauswertung!$B614:$E614,0),0)=0,AP625,INDEX(Spielauswertung!$AB614:$AE614,MATCH(Tabelle11[[#Headers],[Simon_U]],Spielauswertung!$B614:$E614,0))+AP625)</f>
        <v>99.623054841470903</v>
      </c>
      <c r="AQ626" s="1">
        <f>IF(IFERROR(MATCH(Tabelle11[[#Headers],[Steffen_R]],Spielauswertung!$B614:$E614,0),0)=0,AQ625,INDEX(Spielauswertung!$AB614:$AE614,MATCH(Tabelle11[[#Headers],[Steffen_R]],Spielauswertung!$B614:$E614,0))+AQ625)</f>
        <v>93.247497067190949</v>
      </c>
      <c r="AR626" s="1">
        <f>IF(IFERROR(MATCH(Tabelle11[[#Headers],[Tim_R]],Spielauswertung!$B614:$E614,0),0)=0,AR625,INDEX(Spielauswertung!$AB614:$AE614,MATCH(Tabelle11[[#Headers],[Tim_R]],Spielauswertung!$B614:$E614,0))+AR625)</f>
        <v>103.07503787023374</v>
      </c>
      <c r="AS626" s="1">
        <f>IF(IFERROR(MATCH(Tabelle11[[#Headers],[Tobias_S]],Spielauswertung!$B614:$E614,0),0)=0,AS625,INDEX(Spielauswertung!$AB614:$AE614,MATCH(Tabelle11[[#Headers],[Tobias_S]],Spielauswertung!$B614:$E614,0))+AS625)</f>
        <v>98.6003422659997</v>
      </c>
      <c r="AT626" s="1">
        <f>IF(IFERROR(MATCH(Tabelle11[[#Headers],[Tom_R]],Spielauswertung!$B614:$E614,0),0)=0,AT625,INDEX(Spielauswertung!$AB614:$AE614,MATCH(Tabelle11[[#Headers],[Tom_R]],Spielauswertung!$B614:$E614,0))+AT625)</f>
        <v>112.62344492949197</v>
      </c>
      <c r="AU626" s="1">
        <f>IF(IFERROR(MATCH(Tabelle11[[#Headers],[Ton_L]],Spielauswertung!$B614:$E614,0),0)=0,AU625,INDEX(Spielauswertung!$AB614:$AE614,MATCH(Tabelle11[[#Headers],[Ton_L]],Spielauswertung!$B614:$E614,0))+AU625)</f>
        <v>92.683083360025861</v>
      </c>
      <c r="AV626" s="1">
        <f>IF(IFERROR(MATCH(Tabelle11[[#Headers],[Yixin_G]],Spielauswertung!$B614:$E614,0),0)=0,AV625,INDEX(Spielauswertung!$AB614:$AE614,MATCH(Tabelle11[[#Headers],[Yixin_G]],Spielauswertung!$B614:$E614,0))+AV625)</f>
        <v>99.900323214082661</v>
      </c>
      <c r="AW626" s="1">
        <f>IF(IFERROR(MATCH(Tabelle11[[#Headers],[Spalte36]],Spielauswertung!$B614:$E614,0),0)=0,AW625,INDEX(Spielauswertung!$AB614:$AE614,MATCH(Tabelle11[[#Headers],[Spalte36]],Spielauswertung!$B614:$E614,0))+AW625)</f>
        <v>100</v>
      </c>
      <c r="AX626" s="1">
        <f>IF(IFERROR(MATCH(Tabelle11[[#Headers],[Spalte37]],Spielauswertung!$B614:$E614,0),0)=0,AX625,INDEX(Spielauswertung!$AB614:$AE614,MATCH(Tabelle11[[#Headers],[Spalte37]],Spielauswertung!$B614:$E614,0))+AX625)</f>
        <v>100</v>
      </c>
      <c r="AY626" s="1">
        <f>IF(IFERROR(MATCH(Tabelle11[[#Headers],[Spalte38]],Spielauswertung!$B614:$E614,0),0)=0,AY625,INDEX(Spielauswertung!$AB614:$AE614,MATCH(Tabelle11[[#Headers],[Spalte38]],Spielauswertung!$B614:$E614,0))+AY625)</f>
        <v>100</v>
      </c>
      <c r="AZ626" s="1">
        <f>IF(IFERROR(MATCH(Tabelle11[[#Headers],[Spalte39]],Spielauswertung!$B614:$E614,0),0)=0,AZ625,INDEX(Spielauswertung!$AB614:$AE614,MATCH(Tabelle11[[#Headers],[Spalte39]],Spielauswertung!$B614:$E614,0))+AZ625)</f>
        <v>100</v>
      </c>
      <c r="BA626" s="1">
        <f>IF(IFERROR(MATCH(Tabelle11[[#Headers],[Spalte40]],Spielauswertung!$B614:$E614,0),0)=0,BA625,INDEX(Spielauswertung!$AB614:$AE614,MATCH(Tabelle11[[#Headers],[Spalte40]],Spielauswertung!$B614:$E614,0))+BA625)</f>
        <v>100</v>
      </c>
      <c r="BB626" s="1">
        <f>IF(IFERROR(MATCH(Tabelle11[[#Headers],[Spalte41]],Spielauswertung!$B614:$E614,0),0)=0,BB625,INDEX(Spielauswertung!$AB614:$AE614,MATCH(Tabelle11[[#Headers],[Spalte41]],Spielauswertung!$B614:$E614,0))+BB625)</f>
        <v>100</v>
      </c>
      <c r="BC626" s="1">
        <f>IF(IFERROR(MATCH(Tabelle11[[#Headers],[Spalte42]],Spielauswertung!$B614:$E614,0),0)=0,BC625,INDEX(Spielauswertung!$AB614:$AE614,MATCH(Tabelle11[[#Headers],[Spalte42]],Spielauswertung!$B614:$E614,0))+BC625)</f>
        <v>100</v>
      </c>
      <c r="BD626" s="1">
        <f>IF(IFERROR(MATCH(Tabelle11[[#Headers],[Spalte43]],Spielauswertung!$B614:$E614,0),0)=0,BD625,INDEX(Spielauswertung!$AB614:$AE614,MATCH(Tabelle11[[#Headers],[Spalte43]],Spielauswertung!$B614:$E614,0))+BD625)</f>
        <v>100</v>
      </c>
      <c r="BE626" s="1">
        <f>IF(IFERROR(MATCH(Tabelle11[[#Headers],[Spalte44]],Spielauswertung!$B614:$E614,0),0)=0,BE625,INDEX(Spielauswertung!$AB614:$AE614,MATCH(Tabelle11[[#Headers],[Spalte44]],Spielauswertung!$B614:$E614,0))+BE625)</f>
        <v>100</v>
      </c>
      <c r="BF626" s="1">
        <f>IF(IFERROR(MATCH(Tabelle11[[#Headers],[Spalte45]],Spielauswertung!$B614:$E614,0),0)=0,BF625,INDEX(Spielauswertung!$AB614:$AE614,MATCH(Tabelle11[[#Headers],[Spalte45]],Spielauswertung!$B614:$E614,0))+BF625)</f>
        <v>100</v>
      </c>
      <c r="BG626" s="1">
        <f>IF(IFERROR(MATCH(Tabelle11[[#Headers],[Spalte46]],Spielauswertung!$B614:$E614,0),0)=0,BG625,INDEX(Spielauswertung!$AB614:$AE614,MATCH(Tabelle11[[#Headers],[Spalte46]],Spielauswertung!$B614:$E614,0))+BG625)</f>
        <v>100</v>
      </c>
      <c r="BH626" s="1">
        <f>IF(IFERROR(MATCH(Tabelle11[[#Headers],[Spalte47]],Spielauswertung!$B614:$E614,0),0)=0,BH625,INDEX(Spielauswertung!$AB614:$AE614,MATCH(Tabelle11[[#Headers],[Spalte47]],Spielauswertung!$B614:$E614,0))+BH625)</f>
        <v>100</v>
      </c>
    </row>
    <row r="627" spans="1:60" x14ac:dyDescent="0.25">
      <c r="A627">
        <f t="shared" si="10"/>
        <v>614</v>
      </c>
      <c r="B627" s="1">
        <f>IF(IFERROR(MATCH(Tabelle11[[#Headers],[Aleix_V]],Spielauswertung!$B615:$E615,0),0)=0,B626,INDEX(Spielauswertung!$AB615:$AE615,MATCH(Tabelle11[[#Headers],[Aleix_V]],Spielauswertung!$B615:$E615,0))+B626)</f>
        <v>102.47318019444646</v>
      </c>
      <c r="C627" s="1">
        <f>IF(IFERROR(MATCH(Tabelle11[[#Headers],[Andres_H]],Spielauswertung!$B615:$E615,0),0)=0,C626,INDEX(Spielauswertung!$AB615:$AE615,MATCH(Tabelle11[[#Headers],[Andres_H]],Spielauswertung!$B615:$E615,0))+C626)</f>
        <v>95.535732339111306</v>
      </c>
      <c r="D627" s="1">
        <f>IF(IFERROR(MATCH(Tabelle11[[#Headers],[Anton_K]],Spielauswertung!$B615:$E615,0),0)=0,D626,INDEX(Spielauswertung!$AB615:$AE615,MATCH(Tabelle11[[#Headers],[Anton_K]],Spielauswertung!$B615:$E615,0))+D626)</f>
        <v>99.287728777054667</v>
      </c>
      <c r="E627" s="1">
        <f>IF(IFERROR(MATCH(Tabelle11[[#Headers],[Bastian_G]],Spielauswertung!$B615:$E615,0),0)=0,E626,INDEX(Spielauswertung!$AB615:$AE615,MATCH(Tabelle11[[#Headers],[Bastian_G]],Spielauswertung!$B615:$E615,0))+E626)</f>
        <v>117.49978695184252</v>
      </c>
      <c r="F627" s="1">
        <f>IF(IFERROR(MATCH(Tabelle11[[#Headers],[Ben_S]],Spielauswertung!$B615:$E615,0),0)=0,F626,INDEX(Spielauswertung!$AB615:$AE615,MATCH(Tabelle11[[#Headers],[Ben_S]],Spielauswertung!$B615:$E615,0))+F626)</f>
        <v>95.932799101521084</v>
      </c>
      <c r="G627" s="1">
        <f>IF(IFERROR(MATCH(Tabelle11[[#Headers],[Benedikt_K]],Spielauswertung!$B615:$E615,0),0)=0,G626,INDEX(Spielauswertung!$AB615:$AE615,MATCH(Tabelle11[[#Headers],[Benedikt_K]],Spielauswertung!$B615:$E615,0))+G626)</f>
        <v>101.20264176422626</v>
      </c>
      <c r="H627" s="1">
        <f>IF(IFERROR(MATCH(Tabelle11[[#Headers],[Benedikt_R]],Spielauswertung!$B615:$E615,0),0)=0,H626,INDEX(Spielauswertung!$AB615:$AE615,MATCH(Tabelle11[[#Headers],[Benedikt_R]],Spielauswertung!$B615:$E615,0))+H626)</f>
        <v>102.6264770510757</v>
      </c>
      <c r="I627" s="1">
        <f>IF(IFERROR(MATCH(Tabelle11[[#Headers],[Carsten_H]],Spielauswertung!$B615:$E615,0),0)=0,I626,INDEX(Spielauswertung!$AB615:$AE615,MATCH(Tabelle11[[#Headers],[Carsten_H]],Spielauswertung!$B615:$E615,0))+I626)</f>
        <v>90.817185094326874</v>
      </c>
      <c r="J627" s="1">
        <f>IF(IFERROR(MATCH(Tabelle11[[#Headers],[Christoph_R]],Spielauswertung!$B615:$E615,0),0)=0,J626,INDEX(Spielauswertung!$AB615:$AE615,MATCH(Tabelle11[[#Headers],[Christoph_R]],Spielauswertung!$B615:$E615,0))+J626)</f>
        <v>109.73261611443155</v>
      </c>
      <c r="K627" s="1">
        <f>IF(IFERROR(MATCH(Tabelle11[[#Headers],[Claudius_J]],Spielauswertung!$B615:$E615,0),0)=0,K626,INDEX(Spielauswertung!$AB615:$AE615,MATCH(Tabelle11[[#Headers],[Claudius_J]],Spielauswertung!$B615:$E615,0))+K626)</f>
        <v>106.16590636000029</v>
      </c>
      <c r="L627" s="1">
        <f>IF(IFERROR(MATCH(Tabelle11[[#Headers],[Daniel_D]],Spielauswertung!$B615:$E615,0),0)=0,L626,INDEX(Spielauswertung!$AB615:$AE615,MATCH(Tabelle11[[#Headers],[Daniel_D]],Spielauswertung!$B615:$E615,0))+L626)</f>
        <v>99.990299180470089</v>
      </c>
      <c r="M627" s="1">
        <f>IF(IFERROR(MATCH(Tabelle11[[#Headers],[David_R]],Spielauswertung!$B615:$E615,0),0)=0,M626,INDEX(Spielauswertung!$AB615:$AE615,MATCH(Tabelle11[[#Headers],[David_R]],Spielauswertung!$B615:$E615,0))+M626)</f>
        <v>96.715943522481638</v>
      </c>
      <c r="N627" s="1">
        <f>IF(IFERROR(MATCH(Tabelle11[[#Headers],[Dennis_P]],Spielauswertung!$B615:$E615,0),0)=0,N626,INDEX(Spielauswertung!$AB615:$AE615,MATCH(Tabelle11[[#Headers],[Dennis_P]],Spielauswertung!$B615:$E615,0))+N626)</f>
        <v>100.04773223105254</v>
      </c>
      <c r="O627" s="1">
        <f>IF(IFERROR(MATCH(Tabelle11[[#Headers],[Dennis_R]],Spielauswertung!$B615:$E615,0),0)=0,O626,INDEX(Spielauswertung!$AB615:$AE615,MATCH(Tabelle11[[#Headers],[Dennis_R]],Spielauswertung!$B615:$E615,0))+O626)</f>
        <v>75.131680864937195</v>
      </c>
      <c r="P627" s="1">
        <f>IF(IFERROR(MATCH(Tabelle11[[#Headers],[Detlef_R]],Spielauswertung!$B615:$E615,0),0)=0,P626,INDEX(Spielauswertung!$AB615:$AE615,MATCH(Tabelle11[[#Headers],[Detlef_R]],Spielauswertung!$B615:$E615,0))+P626)</f>
        <v>87.984671797367014</v>
      </c>
      <c r="Q627" s="1">
        <f>IF(IFERROR(MATCH(Tabelle11[[#Headers],[Dmitrij_M]],Spielauswertung!$B615:$E615,0),0)=0,Q626,INDEX(Spielauswertung!$AB615:$AE615,MATCH(Tabelle11[[#Headers],[Dmitrij_M]],Spielauswertung!$B615:$E615,0))+Q626)</f>
        <v>100.69975721846207</v>
      </c>
      <c r="R627" s="1">
        <f>IF(IFERROR(MATCH(Tabelle11[[#Headers],[Fabian_M]],Spielauswertung!$B615:$E615,0),0)=0,R626,INDEX(Spielauswertung!$AB615:$AE615,MATCH(Tabelle11[[#Headers],[Fabian_M]],Spielauswertung!$B615:$E615,0))+R626)</f>
        <v>95.805387841610738</v>
      </c>
      <c r="S627" s="1">
        <f>IF(IFERROR(MATCH(Tabelle11[[#Headers],[Hannes_S]],Spielauswertung!$B615:$E615,0),0)=0,S626,INDEX(Spielauswertung!$AB615:$AE615,MATCH(Tabelle11[[#Headers],[Hannes_S]],Spielauswertung!$B615:$E615,0))+S626)</f>
        <v>104.83899184012799</v>
      </c>
      <c r="T627" s="1">
        <f>IF(IFERROR(MATCH(Tabelle11[[#Headers],[Jan_B]],Spielauswertung!$B615:$E615,0),0)=0,T626,INDEX(Spielauswertung!$AB615:$AE615,MATCH(Tabelle11[[#Headers],[Jan_B]],Spielauswertung!$B615:$E615,0))+T626)</f>
        <v>100.2794420429173</v>
      </c>
      <c r="U627" s="1">
        <f>IF(IFERROR(MATCH(Tabelle11[[#Headers],[Jan_Hendrik_B]],Spielauswertung!$B615:$E615,0),0)=0,U626,INDEX(Spielauswertung!$AB615:$AE615,MATCH(Tabelle11[[#Headers],[Jan_Hendrik_B]],Spielauswertung!$B615:$E615,0))+U626)</f>
        <v>100.75492416935522</v>
      </c>
      <c r="V627" s="1">
        <f>IF(IFERROR(MATCH(Tabelle11[[#Headers],[Jens_N]],Spielauswertung!$B615:$E615,0),0)=0,V626,INDEX(Spielauswertung!$AB615:$AE615,MATCH(Tabelle11[[#Headers],[Jens_N]],Spielauswertung!$B615:$E615,0))+V626)</f>
        <v>99.643534710196832</v>
      </c>
      <c r="W627" s="1">
        <f>IF(IFERROR(MATCH(Tabelle11[[#Headers],[Johannes_S]],Spielauswertung!$B615:$E615,0),0)=0,W626,INDEX(Spielauswertung!$AB615:$AE615,MATCH(Tabelle11[[#Headers],[Johannes_S]],Spielauswertung!$B615:$E615,0))+W626)</f>
        <v>102.20284750979505</v>
      </c>
      <c r="X627" s="1">
        <f>IF(IFERROR(MATCH(Tabelle11[[#Headers],[Jonathan_F]],Spielauswertung!$B615:$E615,0),0)=0,X626,INDEX(Spielauswertung!$AB615:$AE615,MATCH(Tabelle11[[#Headers],[Jonathan_F]],Spielauswertung!$B615:$E615,0))+X626)</f>
        <v>98.938308797866256</v>
      </c>
      <c r="Y627" s="1">
        <f>IF(IFERROR(MATCH(Tabelle11[[#Headers],[Julius_P]],Spielauswertung!$B615:$E615,0),0)=0,Y626,INDEX(Spielauswertung!$AB615:$AE615,MATCH(Tabelle11[[#Headers],[Julius_P]],Spielauswertung!$B615:$E615,0))+Y626)</f>
        <v>96.540305101873642</v>
      </c>
      <c r="Z627" s="1">
        <f>IF(IFERROR(MATCH(Tabelle11[[#Headers],[Louis_W]],Spielauswertung!$B615:$E615,0),0)=0,Z626,INDEX(Spielauswertung!$AB615:$AE615,MATCH(Tabelle11[[#Headers],[Louis_W]],Spielauswertung!$B615:$E615,0))+Z626)</f>
        <v>87.497452285475362</v>
      </c>
      <c r="AA627" s="1">
        <f>IF(IFERROR(MATCH(Tabelle11[[#Headers],[Lukas_L]],Spielauswertung!$B615:$E615,0),0)=0,AA626,INDEX(Spielauswertung!$AB615:$AE615,MATCH(Tabelle11[[#Headers],[Lukas_L]],Spielauswertung!$B615:$E615,0))+AA626)</f>
        <v>98.447931341404143</v>
      </c>
      <c r="AB627" s="1">
        <f>IF(IFERROR(MATCH(Tabelle11[[#Headers],[Marcin_S]],Spielauswertung!$B615:$E615,0),0)=0,AB626,INDEX(Spielauswertung!$AB615:$AE615,MATCH(Tabelle11[[#Headers],[Marcin_S]],Spielauswertung!$B615:$E615,0))+AB626)</f>
        <v>85.463329105556824</v>
      </c>
      <c r="AC627" s="1">
        <f>IF(IFERROR(MATCH(Tabelle11[[#Headers],[Marco_K]],Spielauswertung!$B615:$E615,0),0)=0,AC626,INDEX(Spielauswertung!$AB615:$AE615,MATCH(Tabelle11[[#Headers],[Marco_K]],Spielauswertung!$B615:$E615,0))+AC626)</f>
        <v>102.12169819441469</v>
      </c>
      <c r="AD627" s="1">
        <f>IF(IFERROR(MATCH(Tabelle11[[#Headers],[Marius_M]],Spielauswertung!$B615:$E615,0),0)=0,AD626,INDEX(Spielauswertung!$AB615:$AE615,MATCH(Tabelle11[[#Headers],[Marius_M]],Spielauswertung!$B615:$E615,0))+AD626)</f>
        <v>124.54012374585781</v>
      </c>
      <c r="AE627" s="1">
        <f>IF(IFERROR(MATCH(Tabelle11[[#Headers],[Marvin_W]],Spielauswertung!$B615:$E615,0),0)=0,AE626,INDEX(Spielauswertung!$AB615:$AE615,MATCH(Tabelle11[[#Headers],[Marvin_W]],Spielauswertung!$B615:$E615,0))+AE626)</f>
        <v>96.700266280577438</v>
      </c>
      <c r="AF627" s="1">
        <f>IF(IFERROR(MATCH(Tabelle11[[#Headers],[Matthias_H]],Spielauswertung!$B615:$E615,0),0)=0,AF626,INDEX(Spielauswertung!$AB615:$AE615,MATCH(Tabelle11[[#Headers],[Matthias_H]],Spielauswertung!$B615:$E615,0))+AF626)</f>
        <v>105.42130178599372</v>
      </c>
      <c r="AG627" s="1">
        <f>IF(IFERROR(MATCH(Tabelle11[[#Headers],[Michael_D]],Spielauswertung!$B615:$E615,0),0)=0,AG626,INDEX(Spielauswertung!$AB615:$AE615,MATCH(Tabelle11[[#Headers],[Michael_D]],Spielauswertung!$B615:$E615,0))+AG626)</f>
        <v>96.436276170375336</v>
      </c>
      <c r="AH627" s="1">
        <f>IF(IFERROR(MATCH(Tabelle11[[#Headers],[Patrick_S]],Spielauswertung!$B615:$E615,0),0)=0,AH626,INDEX(Spielauswertung!$AB615:$AE615,MATCH(Tabelle11[[#Headers],[Patrick_S]],Spielauswertung!$B615:$E615,0))+AH626)</f>
        <v>98.975330692053802</v>
      </c>
      <c r="AI627" s="1">
        <f>IF(IFERROR(MATCH(Tabelle11[[#Headers],[Rano_M]],Spielauswertung!$B615:$E615,0),0)=0,AI626,INDEX(Spielauswertung!$AB615:$AE615,MATCH(Tabelle11[[#Headers],[Rano_M]],Spielauswertung!$B615:$E615,0))+AI626)</f>
        <v>109.38890657420265</v>
      </c>
      <c r="AJ627" s="1">
        <f>IF(IFERROR(MATCH(Tabelle11[[#Headers],[Rene_N]],Spielauswertung!$B615:$E615,0),0)=0,AJ626,INDEX(Spielauswertung!$AB615:$AE615,MATCH(Tabelle11[[#Headers],[Rene_N]],Spielauswertung!$B615:$E615,0))+AJ626)</f>
        <v>101.06482124619033</v>
      </c>
      <c r="AK627" s="1">
        <f>IF(IFERROR(MATCH(Tabelle11[[#Headers],[Rene_P]],Spielauswertung!$B615:$E615,0),0)=0,AK626,INDEX(Spielauswertung!$AB615:$AE615,MATCH(Tabelle11[[#Headers],[Rene_P]],Spielauswertung!$B615:$E615,0))+AK626)</f>
        <v>88.762543186332877</v>
      </c>
      <c r="AL627" s="1">
        <f>IF(IFERROR(MATCH(Tabelle11[[#Headers],[Richard_D]],Spielauswertung!$B615:$E615,0),0)=0,AL626,INDEX(Spielauswertung!$AB615:$AE615,MATCH(Tabelle11[[#Headers],[Richard_D]],Spielauswertung!$B615:$E615,0))+AL626)</f>
        <v>107.23233592026223</v>
      </c>
      <c r="AM627" s="1">
        <f>IF(IFERROR(MATCH(Tabelle11[[#Headers],[Rodrigo_R]],Spielauswertung!$B615:$E615,0),0)=0,AM626,INDEX(Spielauswertung!$AB615:$AE615,MATCH(Tabelle11[[#Headers],[Rodrigo_R]],Spielauswertung!$B615:$E615,0))+AM626)</f>
        <v>116.7028707921346</v>
      </c>
      <c r="AN627" s="1">
        <f>IF(IFERROR(MATCH(Tabelle11[[#Headers],[Sebastian_A]],Spielauswertung!$B615:$E615,0),0)=0,AN626,INDEX(Spielauswertung!$AB615:$AE615,MATCH(Tabelle11[[#Headers],[Sebastian_A]],Spielauswertung!$B615:$E615,0))+AN626)</f>
        <v>102.89457418671324</v>
      </c>
      <c r="AO627" s="1">
        <f>IF(IFERROR(MATCH(Tabelle11[[#Headers],[Sebastian_St]],Spielauswertung!$B615:$E615,0),0)=0,AO626,INDEX(Spielauswertung!$AB615:$AE615,MATCH(Tabelle11[[#Headers],[Sebastian_St]],Spielauswertung!$B615:$E615,0))+AO626)</f>
        <v>97.749574367408982</v>
      </c>
      <c r="AP627" s="1">
        <f>IF(IFERROR(MATCH(Tabelle11[[#Headers],[Simon_U]],Spielauswertung!$B615:$E615,0),0)=0,AP626,INDEX(Spielauswertung!$AB615:$AE615,MATCH(Tabelle11[[#Headers],[Simon_U]],Spielauswertung!$B615:$E615,0))+AP626)</f>
        <v>99.623054841470903</v>
      </c>
      <c r="AQ627" s="1">
        <f>IF(IFERROR(MATCH(Tabelle11[[#Headers],[Steffen_R]],Spielauswertung!$B615:$E615,0),0)=0,AQ626,INDEX(Spielauswertung!$AB615:$AE615,MATCH(Tabelle11[[#Headers],[Steffen_R]],Spielauswertung!$B615:$E615,0))+AQ626)</f>
        <v>93.247497067190949</v>
      </c>
      <c r="AR627" s="1">
        <f>IF(IFERROR(MATCH(Tabelle11[[#Headers],[Tim_R]],Spielauswertung!$B615:$E615,0),0)=0,AR626,INDEX(Spielauswertung!$AB615:$AE615,MATCH(Tabelle11[[#Headers],[Tim_R]],Spielauswertung!$B615:$E615,0))+AR626)</f>
        <v>103.07503787023374</v>
      </c>
      <c r="AS627" s="1">
        <f>IF(IFERROR(MATCH(Tabelle11[[#Headers],[Tobias_S]],Spielauswertung!$B615:$E615,0),0)=0,AS626,INDEX(Spielauswertung!$AB615:$AE615,MATCH(Tabelle11[[#Headers],[Tobias_S]],Spielauswertung!$B615:$E615,0))+AS626)</f>
        <v>98.6003422659997</v>
      </c>
      <c r="AT627" s="1">
        <f>IF(IFERROR(MATCH(Tabelle11[[#Headers],[Tom_R]],Spielauswertung!$B615:$E615,0),0)=0,AT626,INDEX(Spielauswertung!$AB615:$AE615,MATCH(Tabelle11[[#Headers],[Tom_R]],Spielauswertung!$B615:$E615,0))+AT626)</f>
        <v>112.62344492949197</v>
      </c>
      <c r="AU627" s="1">
        <f>IF(IFERROR(MATCH(Tabelle11[[#Headers],[Ton_L]],Spielauswertung!$B615:$E615,0),0)=0,AU626,INDEX(Spielauswertung!$AB615:$AE615,MATCH(Tabelle11[[#Headers],[Ton_L]],Spielauswertung!$B615:$E615,0))+AU626)</f>
        <v>92.683083360025861</v>
      </c>
      <c r="AV627" s="1">
        <f>IF(IFERROR(MATCH(Tabelle11[[#Headers],[Yixin_G]],Spielauswertung!$B615:$E615,0),0)=0,AV626,INDEX(Spielauswertung!$AB615:$AE615,MATCH(Tabelle11[[#Headers],[Yixin_G]],Spielauswertung!$B615:$E615,0))+AV626)</f>
        <v>99.900323214082661</v>
      </c>
      <c r="AW627" s="1">
        <f>IF(IFERROR(MATCH(Tabelle11[[#Headers],[Spalte36]],Spielauswertung!$B615:$E615,0),0)=0,AW626,INDEX(Spielauswertung!$AB615:$AE615,MATCH(Tabelle11[[#Headers],[Spalte36]],Spielauswertung!$B615:$E615,0))+AW626)</f>
        <v>100</v>
      </c>
      <c r="AX627" s="1">
        <f>IF(IFERROR(MATCH(Tabelle11[[#Headers],[Spalte37]],Spielauswertung!$B615:$E615,0),0)=0,AX626,INDEX(Spielauswertung!$AB615:$AE615,MATCH(Tabelle11[[#Headers],[Spalte37]],Spielauswertung!$B615:$E615,0))+AX626)</f>
        <v>100</v>
      </c>
      <c r="AY627" s="1">
        <f>IF(IFERROR(MATCH(Tabelle11[[#Headers],[Spalte38]],Spielauswertung!$B615:$E615,0),0)=0,AY626,INDEX(Spielauswertung!$AB615:$AE615,MATCH(Tabelle11[[#Headers],[Spalte38]],Spielauswertung!$B615:$E615,0))+AY626)</f>
        <v>100</v>
      </c>
      <c r="AZ627" s="1">
        <f>IF(IFERROR(MATCH(Tabelle11[[#Headers],[Spalte39]],Spielauswertung!$B615:$E615,0),0)=0,AZ626,INDEX(Spielauswertung!$AB615:$AE615,MATCH(Tabelle11[[#Headers],[Spalte39]],Spielauswertung!$B615:$E615,0))+AZ626)</f>
        <v>100</v>
      </c>
      <c r="BA627" s="1">
        <f>IF(IFERROR(MATCH(Tabelle11[[#Headers],[Spalte40]],Spielauswertung!$B615:$E615,0),0)=0,BA626,INDEX(Spielauswertung!$AB615:$AE615,MATCH(Tabelle11[[#Headers],[Spalte40]],Spielauswertung!$B615:$E615,0))+BA626)</f>
        <v>100</v>
      </c>
      <c r="BB627" s="1">
        <f>IF(IFERROR(MATCH(Tabelle11[[#Headers],[Spalte41]],Spielauswertung!$B615:$E615,0),0)=0,BB626,INDEX(Spielauswertung!$AB615:$AE615,MATCH(Tabelle11[[#Headers],[Spalte41]],Spielauswertung!$B615:$E615,0))+BB626)</f>
        <v>100</v>
      </c>
      <c r="BC627" s="1">
        <f>IF(IFERROR(MATCH(Tabelle11[[#Headers],[Spalte42]],Spielauswertung!$B615:$E615,0),0)=0,BC626,INDEX(Spielauswertung!$AB615:$AE615,MATCH(Tabelle11[[#Headers],[Spalte42]],Spielauswertung!$B615:$E615,0))+BC626)</f>
        <v>100</v>
      </c>
      <c r="BD627" s="1">
        <f>IF(IFERROR(MATCH(Tabelle11[[#Headers],[Spalte43]],Spielauswertung!$B615:$E615,0),0)=0,BD626,INDEX(Spielauswertung!$AB615:$AE615,MATCH(Tabelle11[[#Headers],[Spalte43]],Spielauswertung!$B615:$E615,0))+BD626)</f>
        <v>100</v>
      </c>
      <c r="BE627" s="1">
        <f>IF(IFERROR(MATCH(Tabelle11[[#Headers],[Spalte44]],Spielauswertung!$B615:$E615,0),0)=0,BE626,INDEX(Spielauswertung!$AB615:$AE615,MATCH(Tabelle11[[#Headers],[Spalte44]],Spielauswertung!$B615:$E615,0))+BE626)</f>
        <v>100</v>
      </c>
      <c r="BF627" s="1">
        <f>IF(IFERROR(MATCH(Tabelle11[[#Headers],[Spalte45]],Spielauswertung!$B615:$E615,0),0)=0,BF626,INDEX(Spielauswertung!$AB615:$AE615,MATCH(Tabelle11[[#Headers],[Spalte45]],Spielauswertung!$B615:$E615,0))+BF626)</f>
        <v>100</v>
      </c>
      <c r="BG627" s="1">
        <f>IF(IFERROR(MATCH(Tabelle11[[#Headers],[Spalte46]],Spielauswertung!$B615:$E615,0),0)=0,BG626,INDEX(Spielauswertung!$AB615:$AE615,MATCH(Tabelle11[[#Headers],[Spalte46]],Spielauswertung!$B615:$E615,0))+BG626)</f>
        <v>100</v>
      </c>
      <c r="BH627" s="1">
        <f>IF(IFERROR(MATCH(Tabelle11[[#Headers],[Spalte47]],Spielauswertung!$B615:$E615,0),0)=0,BH626,INDEX(Spielauswertung!$AB615:$AE615,MATCH(Tabelle11[[#Headers],[Spalte47]],Spielauswertung!$B615:$E615,0))+BH626)</f>
        <v>100</v>
      </c>
    </row>
    <row r="628" spans="1:60" x14ac:dyDescent="0.25">
      <c r="A628">
        <f t="shared" si="10"/>
        <v>615</v>
      </c>
      <c r="B628" s="1">
        <f>IF(IFERROR(MATCH(Tabelle11[[#Headers],[Aleix_V]],Spielauswertung!$B616:$E616,0),0)=0,B627,INDEX(Spielauswertung!$AB616:$AE616,MATCH(Tabelle11[[#Headers],[Aleix_V]],Spielauswertung!$B616:$E616,0))+B627)</f>
        <v>102.47318019444646</v>
      </c>
      <c r="C628" s="1">
        <f>IF(IFERROR(MATCH(Tabelle11[[#Headers],[Andres_H]],Spielauswertung!$B616:$E616,0),0)=0,C627,INDEX(Spielauswertung!$AB616:$AE616,MATCH(Tabelle11[[#Headers],[Andres_H]],Spielauswertung!$B616:$E616,0))+C627)</f>
        <v>95.535732339111306</v>
      </c>
      <c r="D628" s="1">
        <f>IF(IFERROR(MATCH(Tabelle11[[#Headers],[Anton_K]],Spielauswertung!$B616:$E616,0),0)=0,D627,INDEX(Spielauswertung!$AB616:$AE616,MATCH(Tabelle11[[#Headers],[Anton_K]],Spielauswertung!$B616:$E616,0))+D627)</f>
        <v>99.287728777054667</v>
      </c>
      <c r="E628" s="1">
        <f>IF(IFERROR(MATCH(Tabelle11[[#Headers],[Bastian_G]],Spielauswertung!$B616:$E616,0),0)=0,E627,INDEX(Spielauswertung!$AB616:$AE616,MATCH(Tabelle11[[#Headers],[Bastian_G]],Spielauswertung!$B616:$E616,0))+E627)</f>
        <v>117.49978695184252</v>
      </c>
      <c r="F628" s="1">
        <f>IF(IFERROR(MATCH(Tabelle11[[#Headers],[Ben_S]],Spielauswertung!$B616:$E616,0),0)=0,F627,INDEX(Spielauswertung!$AB616:$AE616,MATCH(Tabelle11[[#Headers],[Ben_S]],Spielauswertung!$B616:$E616,0))+F627)</f>
        <v>95.932799101521084</v>
      </c>
      <c r="G628" s="1">
        <f>IF(IFERROR(MATCH(Tabelle11[[#Headers],[Benedikt_K]],Spielauswertung!$B616:$E616,0),0)=0,G627,INDEX(Spielauswertung!$AB616:$AE616,MATCH(Tabelle11[[#Headers],[Benedikt_K]],Spielauswertung!$B616:$E616,0))+G627)</f>
        <v>101.20264176422626</v>
      </c>
      <c r="H628" s="1">
        <f>IF(IFERROR(MATCH(Tabelle11[[#Headers],[Benedikt_R]],Spielauswertung!$B616:$E616,0),0)=0,H627,INDEX(Spielauswertung!$AB616:$AE616,MATCH(Tabelle11[[#Headers],[Benedikt_R]],Spielauswertung!$B616:$E616,0))+H627)</f>
        <v>102.6264770510757</v>
      </c>
      <c r="I628" s="1">
        <f>IF(IFERROR(MATCH(Tabelle11[[#Headers],[Carsten_H]],Spielauswertung!$B616:$E616,0),0)=0,I627,INDEX(Spielauswertung!$AB616:$AE616,MATCH(Tabelle11[[#Headers],[Carsten_H]],Spielauswertung!$B616:$E616,0))+I627)</f>
        <v>90.817185094326874</v>
      </c>
      <c r="J628" s="1">
        <f>IF(IFERROR(MATCH(Tabelle11[[#Headers],[Christoph_R]],Spielauswertung!$B616:$E616,0),0)=0,J627,INDEX(Spielauswertung!$AB616:$AE616,MATCH(Tabelle11[[#Headers],[Christoph_R]],Spielauswertung!$B616:$E616,0))+J627)</f>
        <v>109.73261611443155</v>
      </c>
      <c r="K628" s="1">
        <f>IF(IFERROR(MATCH(Tabelle11[[#Headers],[Claudius_J]],Spielauswertung!$B616:$E616,0),0)=0,K627,INDEX(Spielauswertung!$AB616:$AE616,MATCH(Tabelle11[[#Headers],[Claudius_J]],Spielauswertung!$B616:$E616,0))+K627)</f>
        <v>106.16590636000029</v>
      </c>
      <c r="L628" s="1">
        <f>IF(IFERROR(MATCH(Tabelle11[[#Headers],[Daniel_D]],Spielauswertung!$B616:$E616,0),0)=0,L627,INDEX(Spielauswertung!$AB616:$AE616,MATCH(Tabelle11[[#Headers],[Daniel_D]],Spielauswertung!$B616:$E616,0))+L627)</f>
        <v>99.990299180470089</v>
      </c>
      <c r="M628" s="1">
        <f>IF(IFERROR(MATCH(Tabelle11[[#Headers],[David_R]],Spielauswertung!$B616:$E616,0),0)=0,M627,INDEX(Spielauswertung!$AB616:$AE616,MATCH(Tabelle11[[#Headers],[David_R]],Spielauswertung!$B616:$E616,0))+M627)</f>
        <v>96.715943522481638</v>
      </c>
      <c r="N628" s="1">
        <f>IF(IFERROR(MATCH(Tabelle11[[#Headers],[Dennis_P]],Spielauswertung!$B616:$E616,0),0)=0,N627,INDEX(Spielauswertung!$AB616:$AE616,MATCH(Tabelle11[[#Headers],[Dennis_P]],Spielauswertung!$B616:$E616,0))+N627)</f>
        <v>100.04773223105254</v>
      </c>
      <c r="O628" s="1">
        <f>IF(IFERROR(MATCH(Tabelle11[[#Headers],[Dennis_R]],Spielauswertung!$B616:$E616,0),0)=0,O627,INDEX(Spielauswertung!$AB616:$AE616,MATCH(Tabelle11[[#Headers],[Dennis_R]],Spielauswertung!$B616:$E616,0))+O627)</f>
        <v>75.131680864937195</v>
      </c>
      <c r="P628" s="1">
        <f>IF(IFERROR(MATCH(Tabelle11[[#Headers],[Detlef_R]],Spielauswertung!$B616:$E616,0),0)=0,P627,INDEX(Spielauswertung!$AB616:$AE616,MATCH(Tabelle11[[#Headers],[Detlef_R]],Spielauswertung!$B616:$E616,0))+P627)</f>
        <v>87.984671797367014</v>
      </c>
      <c r="Q628" s="1">
        <f>IF(IFERROR(MATCH(Tabelle11[[#Headers],[Dmitrij_M]],Spielauswertung!$B616:$E616,0),0)=0,Q627,INDEX(Spielauswertung!$AB616:$AE616,MATCH(Tabelle11[[#Headers],[Dmitrij_M]],Spielauswertung!$B616:$E616,0))+Q627)</f>
        <v>100.69975721846207</v>
      </c>
      <c r="R628" s="1">
        <f>IF(IFERROR(MATCH(Tabelle11[[#Headers],[Fabian_M]],Spielauswertung!$B616:$E616,0),0)=0,R627,INDEX(Spielauswertung!$AB616:$AE616,MATCH(Tabelle11[[#Headers],[Fabian_M]],Spielauswertung!$B616:$E616,0))+R627)</f>
        <v>95.805387841610738</v>
      </c>
      <c r="S628" s="1">
        <f>IF(IFERROR(MATCH(Tabelle11[[#Headers],[Hannes_S]],Spielauswertung!$B616:$E616,0),0)=0,S627,INDEX(Spielauswertung!$AB616:$AE616,MATCH(Tabelle11[[#Headers],[Hannes_S]],Spielauswertung!$B616:$E616,0))+S627)</f>
        <v>104.83899184012799</v>
      </c>
      <c r="T628" s="1">
        <f>IF(IFERROR(MATCH(Tabelle11[[#Headers],[Jan_B]],Spielauswertung!$B616:$E616,0),0)=0,T627,INDEX(Spielauswertung!$AB616:$AE616,MATCH(Tabelle11[[#Headers],[Jan_B]],Spielauswertung!$B616:$E616,0))+T627)</f>
        <v>100.2794420429173</v>
      </c>
      <c r="U628" s="1">
        <f>IF(IFERROR(MATCH(Tabelle11[[#Headers],[Jan_Hendrik_B]],Spielauswertung!$B616:$E616,0),0)=0,U627,INDEX(Spielauswertung!$AB616:$AE616,MATCH(Tabelle11[[#Headers],[Jan_Hendrik_B]],Spielauswertung!$B616:$E616,0))+U627)</f>
        <v>100.75492416935522</v>
      </c>
      <c r="V628" s="1">
        <f>IF(IFERROR(MATCH(Tabelle11[[#Headers],[Jens_N]],Spielauswertung!$B616:$E616,0),0)=0,V627,INDEX(Spielauswertung!$AB616:$AE616,MATCH(Tabelle11[[#Headers],[Jens_N]],Spielauswertung!$B616:$E616,0))+V627)</f>
        <v>99.643534710196832</v>
      </c>
      <c r="W628" s="1">
        <f>IF(IFERROR(MATCH(Tabelle11[[#Headers],[Johannes_S]],Spielauswertung!$B616:$E616,0),0)=0,W627,INDEX(Spielauswertung!$AB616:$AE616,MATCH(Tabelle11[[#Headers],[Johannes_S]],Spielauswertung!$B616:$E616,0))+W627)</f>
        <v>102.20284750979505</v>
      </c>
      <c r="X628" s="1">
        <f>IF(IFERROR(MATCH(Tabelle11[[#Headers],[Jonathan_F]],Spielauswertung!$B616:$E616,0),0)=0,X627,INDEX(Spielauswertung!$AB616:$AE616,MATCH(Tabelle11[[#Headers],[Jonathan_F]],Spielauswertung!$B616:$E616,0))+X627)</f>
        <v>98.938308797866256</v>
      </c>
      <c r="Y628" s="1">
        <f>IF(IFERROR(MATCH(Tabelle11[[#Headers],[Julius_P]],Spielauswertung!$B616:$E616,0),0)=0,Y627,INDEX(Spielauswertung!$AB616:$AE616,MATCH(Tabelle11[[#Headers],[Julius_P]],Spielauswertung!$B616:$E616,0))+Y627)</f>
        <v>96.540305101873642</v>
      </c>
      <c r="Z628" s="1">
        <f>IF(IFERROR(MATCH(Tabelle11[[#Headers],[Louis_W]],Spielauswertung!$B616:$E616,0),0)=0,Z627,INDEX(Spielauswertung!$AB616:$AE616,MATCH(Tabelle11[[#Headers],[Louis_W]],Spielauswertung!$B616:$E616,0))+Z627)</f>
        <v>87.497452285475362</v>
      </c>
      <c r="AA628" s="1">
        <f>IF(IFERROR(MATCH(Tabelle11[[#Headers],[Lukas_L]],Spielauswertung!$B616:$E616,0),0)=0,AA627,INDEX(Spielauswertung!$AB616:$AE616,MATCH(Tabelle11[[#Headers],[Lukas_L]],Spielauswertung!$B616:$E616,0))+AA627)</f>
        <v>98.447931341404143</v>
      </c>
      <c r="AB628" s="1">
        <f>IF(IFERROR(MATCH(Tabelle11[[#Headers],[Marcin_S]],Spielauswertung!$B616:$E616,0),0)=0,AB627,INDEX(Spielauswertung!$AB616:$AE616,MATCH(Tabelle11[[#Headers],[Marcin_S]],Spielauswertung!$B616:$E616,0))+AB627)</f>
        <v>85.463329105556824</v>
      </c>
      <c r="AC628" s="1">
        <f>IF(IFERROR(MATCH(Tabelle11[[#Headers],[Marco_K]],Spielauswertung!$B616:$E616,0),0)=0,AC627,INDEX(Spielauswertung!$AB616:$AE616,MATCH(Tabelle11[[#Headers],[Marco_K]],Spielauswertung!$B616:$E616,0))+AC627)</f>
        <v>102.12169819441469</v>
      </c>
      <c r="AD628" s="1">
        <f>IF(IFERROR(MATCH(Tabelle11[[#Headers],[Marius_M]],Spielauswertung!$B616:$E616,0),0)=0,AD627,INDEX(Spielauswertung!$AB616:$AE616,MATCH(Tabelle11[[#Headers],[Marius_M]],Spielauswertung!$B616:$E616,0))+AD627)</f>
        <v>124.54012374585781</v>
      </c>
      <c r="AE628" s="1">
        <f>IF(IFERROR(MATCH(Tabelle11[[#Headers],[Marvin_W]],Spielauswertung!$B616:$E616,0),0)=0,AE627,INDEX(Spielauswertung!$AB616:$AE616,MATCH(Tabelle11[[#Headers],[Marvin_W]],Spielauswertung!$B616:$E616,0))+AE627)</f>
        <v>96.700266280577438</v>
      </c>
      <c r="AF628" s="1">
        <f>IF(IFERROR(MATCH(Tabelle11[[#Headers],[Matthias_H]],Spielauswertung!$B616:$E616,0),0)=0,AF627,INDEX(Spielauswertung!$AB616:$AE616,MATCH(Tabelle11[[#Headers],[Matthias_H]],Spielauswertung!$B616:$E616,0))+AF627)</f>
        <v>105.42130178599372</v>
      </c>
      <c r="AG628" s="1">
        <f>IF(IFERROR(MATCH(Tabelle11[[#Headers],[Michael_D]],Spielauswertung!$B616:$E616,0),0)=0,AG627,INDEX(Spielauswertung!$AB616:$AE616,MATCH(Tabelle11[[#Headers],[Michael_D]],Spielauswertung!$B616:$E616,0))+AG627)</f>
        <v>96.436276170375336</v>
      </c>
      <c r="AH628" s="1">
        <f>IF(IFERROR(MATCH(Tabelle11[[#Headers],[Patrick_S]],Spielauswertung!$B616:$E616,0),0)=0,AH627,INDEX(Spielauswertung!$AB616:$AE616,MATCH(Tabelle11[[#Headers],[Patrick_S]],Spielauswertung!$B616:$E616,0))+AH627)</f>
        <v>98.975330692053802</v>
      </c>
      <c r="AI628" s="1">
        <f>IF(IFERROR(MATCH(Tabelle11[[#Headers],[Rano_M]],Spielauswertung!$B616:$E616,0),0)=0,AI627,INDEX(Spielauswertung!$AB616:$AE616,MATCH(Tabelle11[[#Headers],[Rano_M]],Spielauswertung!$B616:$E616,0))+AI627)</f>
        <v>109.38890657420265</v>
      </c>
      <c r="AJ628" s="1">
        <f>IF(IFERROR(MATCH(Tabelle11[[#Headers],[Rene_N]],Spielauswertung!$B616:$E616,0),0)=0,AJ627,INDEX(Spielauswertung!$AB616:$AE616,MATCH(Tabelle11[[#Headers],[Rene_N]],Spielauswertung!$B616:$E616,0))+AJ627)</f>
        <v>101.06482124619033</v>
      </c>
      <c r="AK628" s="1">
        <f>IF(IFERROR(MATCH(Tabelle11[[#Headers],[Rene_P]],Spielauswertung!$B616:$E616,0),0)=0,AK627,INDEX(Spielauswertung!$AB616:$AE616,MATCH(Tabelle11[[#Headers],[Rene_P]],Spielauswertung!$B616:$E616,0))+AK627)</f>
        <v>88.762543186332877</v>
      </c>
      <c r="AL628" s="1">
        <f>IF(IFERROR(MATCH(Tabelle11[[#Headers],[Richard_D]],Spielauswertung!$B616:$E616,0),0)=0,AL627,INDEX(Spielauswertung!$AB616:$AE616,MATCH(Tabelle11[[#Headers],[Richard_D]],Spielauswertung!$B616:$E616,0))+AL627)</f>
        <v>107.23233592026223</v>
      </c>
      <c r="AM628" s="1">
        <f>IF(IFERROR(MATCH(Tabelle11[[#Headers],[Rodrigo_R]],Spielauswertung!$B616:$E616,0),0)=0,AM627,INDEX(Spielauswertung!$AB616:$AE616,MATCH(Tabelle11[[#Headers],[Rodrigo_R]],Spielauswertung!$B616:$E616,0))+AM627)</f>
        <v>116.7028707921346</v>
      </c>
      <c r="AN628" s="1">
        <f>IF(IFERROR(MATCH(Tabelle11[[#Headers],[Sebastian_A]],Spielauswertung!$B616:$E616,0),0)=0,AN627,INDEX(Spielauswertung!$AB616:$AE616,MATCH(Tabelle11[[#Headers],[Sebastian_A]],Spielauswertung!$B616:$E616,0))+AN627)</f>
        <v>102.89457418671324</v>
      </c>
      <c r="AO628" s="1">
        <f>IF(IFERROR(MATCH(Tabelle11[[#Headers],[Sebastian_St]],Spielauswertung!$B616:$E616,0),0)=0,AO627,INDEX(Spielauswertung!$AB616:$AE616,MATCH(Tabelle11[[#Headers],[Sebastian_St]],Spielauswertung!$B616:$E616,0))+AO627)</f>
        <v>97.749574367408982</v>
      </c>
      <c r="AP628" s="1">
        <f>IF(IFERROR(MATCH(Tabelle11[[#Headers],[Simon_U]],Spielauswertung!$B616:$E616,0),0)=0,AP627,INDEX(Spielauswertung!$AB616:$AE616,MATCH(Tabelle11[[#Headers],[Simon_U]],Spielauswertung!$B616:$E616,0))+AP627)</f>
        <v>99.623054841470903</v>
      </c>
      <c r="AQ628" s="1">
        <f>IF(IFERROR(MATCH(Tabelle11[[#Headers],[Steffen_R]],Spielauswertung!$B616:$E616,0),0)=0,AQ627,INDEX(Spielauswertung!$AB616:$AE616,MATCH(Tabelle11[[#Headers],[Steffen_R]],Spielauswertung!$B616:$E616,0))+AQ627)</f>
        <v>93.247497067190949</v>
      </c>
      <c r="AR628" s="1">
        <f>IF(IFERROR(MATCH(Tabelle11[[#Headers],[Tim_R]],Spielauswertung!$B616:$E616,0),0)=0,AR627,INDEX(Spielauswertung!$AB616:$AE616,MATCH(Tabelle11[[#Headers],[Tim_R]],Spielauswertung!$B616:$E616,0))+AR627)</f>
        <v>103.07503787023374</v>
      </c>
      <c r="AS628" s="1">
        <f>IF(IFERROR(MATCH(Tabelle11[[#Headers],[Tobias_S]],Spielauswertung!$B616:$E616,0),0)=0,AS627,INDEX(Spielauswertung!$AB616:$AE616,MATCH(Tabelle11[[#Headers],[Tobias_S]],Spielauswertung!$B616:$E616,0))+AS627)</f>
        <v>98.6003422659997</v>
      </c>
      <c r="AT628" s="1">
        <f>IF(IFERROR(MATCH(Tabelle11[[#Headers],[Tom_R]],Spielauswertung!$B616:$E616,0),0)=0,AT627,INDEX(Spielauswertung!$AB616:$AE616,MATCH(Tabelle11[[#Headers],[Tom_R]],Spielauswertung!$B616:$E616,0))+AT627)</f>
        <v>112.62344492949197</v>
      </c>
      <c r="AU628" s="1">
        <f>IF(IFERROR(MATCH(Tabelle11[[#Headers],[Ton_L]],Spielauswertung!$B616:$E616,0),0)=0,AU627,INDEX(Spielauswertung!$AB616:$AE616,MATCH(Tabelle11[[#Headers],[Ton_L]],Spielauswertung!$B616:$E616,0))+AU627)</f>
        <v>92.683083360025861</v>
      </c>
      <c r="AV628" s="1">
        <f>IF(IFERROR(MATCH(Tabelle11[[#Headers],[Yixin_G]],Spielauswertung!$B616:$E616,0),0)=0,AV627,INDEX(Spielauswertung!$AB616:$AE616,MATCH(Tabelle11[[#Headers],[Yixin_G]],Spielauswertung!$B616:$E616,0))+AV627)</f>
        <v>99.900323214082661</v>
      </c>
      <c r="AW628" s="1">
        <f>IF(IFERROR(MATCH(Tabelle11[[#Headers],[Spalte36]],Spielauswertung!$B616:$E616,0),0)=0,AW627,INDEX(Spielauswertung!$AB616:$AE616,MATCH(Tabelle11[[#Headers],[Spalte36]],Spielauswertung!$B616:$E616,0))+AW627)</f>
        <v>100</v>
      </c>
      <c r="AX628" s="1">
        <f>IF(IFERROR(MATCH(Tabelle11[[#Headers],[Spalte37]],Spielauswertung!$B616:$E616,0),0)=0,AX627,INDEX(Spielauswertung!$AB616:$AE616,MATCH(Tabelle11[[#Headers],[Spalte37]],Spielauswertung!$B616:$E616,0))+AX627)</f>
        <v>100</v>
      </c>
      <c r="AY628" s="1">
        <f>IF(IFERROR(MATCH(Tabelle11[[#Headers],[Spalte38]],Spielauswertung!$B616:$E616,0),0)=0,AY627,INDEX(Spielauswertung!$AB616:$AE616,MATCH(Tabelle11[[#Headers],[Spalte38]],Spielauswertung!$B616:$E616,0))+AY627)</f>
        <v>100</v>
      </c>
      <c r="AZ628" s="1">
        <f>IF(IFERROR(MATCH(Tabelle11[[#Headers],[Spalte39]],Spielauswertung!$B616:$E616,0),0)=0,AZ627,INDEX(Spielauswertung!$AB616:$AE616,MATCH(Tabelle11[[#Headers],[Spalte39]],Spielauswertung!$B616:$E616,0))+AZ627)</f>
        <v>100</v>
      </c>
      <c r="BA628" s="1">
        <f>IF(IFERROR(MATCH(Tabelle11[[#Headers],[Spalte40]],Spielauswertung!$B616:$E616,0),0)=0,BA627,INDEX(Spielauswertung!$AB616:$AE616,MATCH(Tabelle11[[#Headers],[Spalte40]],Spielauswertung!$B616:$E616,0))+BA627)</f>
        <v>100</v>
      </c>
      <c r="BB628" s="1">
        <f>IF(IFERROR(MATCH(Tabelle11[[#Headers],[Spalte41]],Spielauswertung!$B616:$E616,0),0)=0,BB627,INDEX(Spielauswertung!$AB616:$AE616,MATCH(Tabelle11[[#Headers],[Spalte41]],Spielauswertung!$B616:$E616,0))+BB627)</f>
        <v>100</v>
      </c>
      <c r="BC628" s="1">
        <f>IF(IFERROR(MATCH(Tabelle11[[#Headers],[Spalte42]],Spielauswertung!$B616:$E616,0),0)=0,BC627,INDEX(Spielauswertung!$AB616:$AE616,MATCH(Tabelle11[[#Headers],[Spalte42]],Spielauswertung!$B616:$E616,0))+BC627)</f>
        <v>100</v>
      </c>
      <c r="BD628" s="1">
        <f>IF(IFERROR(MATCH(Tabelle11[[#Headers],[Spalte43]],Spielauswertung!$B616:$E616,0),0)=0,BD627,INDEX(Spielauswertung!$AB616:$AE616,MATCH(Tabelle11[[#Headers],[Spalte43]],Spielauswertung!$B616:$E616,0))+BD627)</f>
        <v>100</v>
      </c>
      <c r="BE628" s="1">
        <f>IF(IFERROR(MATCH(Tabelle11[[#Headers],[Spalte44]],Spielauswertung!$B616:$E616,0),0)=0,BE627,INDEX(Spielauswertung!$AB616:$AE616,MATCH(Tabelle11[[#Headers],[Spalte44]],Spielauswertung!$B616:$E616,0))+BE627)</f>
        <v>100</v>
      </c>
      <c r="BF628" s="1">
        <f>IF(IFERROR(MATCH(Tabelle11[[#Headers],[Spalte45]],Spielauswertung!$B616:$E616,0),0)=0,BF627,INDEX(Spielauswertung!$AB616:$AE616,MATCH(Tabelle11[[#Headers],[Spalte45]],Spielauswertung!$B616:$E616,0))+BF627)</f>
        <v>100</v>
      </c>
      <c r="BG628" s="1">
        <f>IF(IFERROR(MATCH(Tabelle11[[#Headers],[Spalte46]],Spielauswertung!$B616:$E616,0),0)=0,BG627,INDEX(Spielauswertung!$AB616:$AE616,MATCH(Tabelle11[[#Headers],[Spalte46]],Spielauswertung!$B616:$E616,0))+BG627)</f>
        <v>100</v>
      </c>
      <c r="BH628" s="1">
        <f>IF(IFERROR(MATCH(Tabelle11[[#Headers],[Spalte47]],Spielauswertung!$B616:$E616,0),0)=0,BH627,INDEX(Spielauswertung!$AB616:$AE616,MATCH(Tabelle11[[#Headers],[Spalte47]],Spielauswertung!$B616:$E616,0))+BH627)</f>
        <v>100</v>
      </c>
    </row>
    <row r="629" spans="1:60" x14ac:dyDescent="0.25">
      <c r="A629">
        <f t="shared" si="10"/>
        <v>616</v>
      </c>
      <c r="B629" s="1">
        <f>IF(IFERROR(MATCH(Tabelle11[[#Headers],[Aleix_V]],Spielauswertung!$B617:$E617,0),0)=0,B628,INDEX(Spielauswertung!$AB617:$AE617,MATCH(Tabelle11[[#Headers],[Aleix_V]],Spielauswertung!$B617:$E617,0))+B628)</f>
        <v>102.47318019444646</v>
      </c>
      <c r="C629" s="1">
        <f>IF(IFERROR(MATCH(Tabelle11[[#Headers],[Andres_H]],Spielauswertung!$B617:$E617,0),0)=0,C628,INDEX(Spielauswertung!$AB617:$AE617,MATCH(Tabelle11[[#Headers],[Andres_H]],Spielauswertung!$B617:$E617,0))+C628)</f>
        <v>95.535732339111306</v>
      </c>
      <c r="D629" s="1">
        <f>IF(IFERROR(MATCH(Tabelle11[[#Headers],[Anton_K]],Spielauswertung!$B617:$E617,0),0)=0,D628,INDEX(Spielauswertung!$AB617:$AE617,MATCH(Tabelle11[[#Headers],[Anton_K]],Spielauswertung!$B617:$E617,0))+D628)</f>
        <v>99.287728777054667</v>
      </c>
      <c r="E629" s="1">
        <f>IF(IFERROR(MATCH(Tabelle11[[#Headers],[Bastian_G]],Spielauswertung!$B617:$E617,0),0)=0,E628,INDEX(Spielauswertung!$AB617:$AE617,MATCH(Tabelle11[[#Headers],[Bastian_G]],Spielauswertung!$B617:$E617,0))+E628)</f>
        <v>117.49978695184252</v>
      </c>
      <c r="F629" s="1">
        <f>IF(IFERROR(MATCH(Tabelle11[[#Headers],[Ben_S]],Spielauswertung!$B617:$E617,0),0)=0,F628,INDEX(Spielauswertung!$AB617:$AE617,MATCH(Tabelle11[[#Headers],[Ben_S]],Spielauswertung!$B617:$E617,0))+F628)</f>
        <v>95.932799101521084</v>
      </c>
      <c r="G629" s="1">
        <f>IF(IFERROR(MATCH(Tabelle11[[#Headers],[Benedikt_K]],Spielauswertung!$B617:$E617,0),0)=0,G628,INDEX(Spielauswertung!$AB617:$AE617,MATCH(Tabelle11[[#Headers],[Benedikt_K]],Spielauswertung!$B617:$E617,0))+G628)</f>
        <v>101.20264176422626</v>
      </c>
      <c r="H629" s="1">
        <f>IF(IFERROR(MATCH(Tabelle11[[#Headers],[Benedikt_R]],Spielauswertung!$B617:$E617,0),0)=0,H628,INDEX(Spielauswertung!$AB617:$AE617,MATCH(Tabelle11[[#Headers],[Benedikt_R]],Spielauswertung!$B617:$E617,0))+H628)</f>
        <v>102.6264770510757</v>
      </c>
      <c r="I629" s="1">
        <f>IF(IFERROR(MATCH(Tabelle11[[#Headers],[Carsten_H]],Spielauswertung!$B617:$E617,0),0)=0,I628,INDEX(Spielauswertung!$AB617:$AE617,MATCH(Tabelle11[[#Headers],[Carsten_H]],Spielauswertung!$B617:$E617,0))+I628)</f>
        <v>90.817185094326874</v>
      </c>
      <c r="J629" s="1">
        <f>IF(IFERROR(MATCH(Tabelle11[[#Headers],[Christoph_R]],Spielauswertung!$B617:$E617,0),0)=0,J628,INDEX(Spielauswertung!$AB617:$AE617,MATCH(Tabelle11[[#Headers],[Christoph_R]],Spielauswertung!$B617:$E617,0))+J628)</f>
        <v>109.73261611443155</v>
      </c>
      <c r="K629" s="1">
        <f>IF(IFERROR(MATCH(Tabelle11[[#Headers],[Claudius_J]],Spielauswertung!$B617:$E617,0),0)=0,K628,INDEX(Spielauswertung!$AB617:$AE617,MATCH(Tabelle11[[#Headers],[Claudius_J]],Spielauswertung!$B617:$E617,0))+K628)</f>
        <v>106.16590636000029</v>
      </c>
      <c r="L629" s="1">
        <f>IF(IFERROR(MATCH(Tabelle11[[#Headers],[Daniel_D]],Spielauswertung!$B617:$E617,0),0)=0,L628,INDEX(Spielauswertung!$AB617:$AE617,MATCH(Tabelle11[[#Headers],[Daniel_D]],Spielauswertung!$B617:$E617,0))+L628)</f>
        <v>99.990299180470089</v>
      </c>
      <c r="M629" s="1">
        <f>IF(IFERROR(MATCH(Tabelle11[[#Headers],[David_R]],Spielauswertung!$B617:$E617,0),0)=0,M628,INDEX(Spielauswertung!$AB617:$AE617,MATCH(Tabelle11[[#Headers],[David_R]],Spielauswertung!$B617:$E617,0))+M628)</f>
        <v>96.715943522481638</v>
      </c>
      <c r="N629" s="1">
        <f>IF(IFERROR(MATCH(Tabelle11[[#Headers],[Dennis_P]],Spielauswertung!$B617:$E617,0),0)=0,N628,INDEX(Spielauswertung!$AB617:$AE617,MATCH(Tabelle11[[#Headers],[Dennis_P]],Spielauswertung!$B617:$E617,0))+N628)</f>
        <v>100.04773223105254</v>
      </c>
      <c r="O629" s="1">
        <f>IF(IFERROR(MATCH(Tabelle11[[#Headers],[Dennis_R]],Spielauswertung!$B617:$E617,0),0)=0,O628,INDEX(Spielauswertung!$AB617:$AE617,MATCH(Tabelle11[[#Headers],[Dennis_R]],Spielauswertung!$B617:$E617,0))+O628)</f>
        <v>75.131680864937195</v>
      </c>
      <c r="P629" s="1">
        <f>IF(IFERROR(MATCH(Tabelle11[[#Headers],[Detlef_R]],Spielauswertung!$B617:$E617,0),0)=0,P628,INDEX(Spielauswertung!$AB617:$AE617,MATCH(Tabelle11[[#Headers],[Detlef_R]],Spielauswertung!$B617:$E617,0))+P628)</f>
        <v>87.984671797367014</v>
      </c>
      <c r="Q629" s="1">
        <f>IF(IFERROR(MATCH(Tabelle11[[#Headers],[Dmitrij_M]],Spielauswertung!$B617:$E617,0),0)=0,Q628,INDEX(Spielauswertung!$AB617:$AE617,MATCH(Tabelle11[[#Headers],[Dmitrij_M]],Spielauswertung!$B617:$E617,0))+Q628)</f>
        <v>100.69975721846207</v>
      </c>
      <c r="R629" s="1">
        <f>IF(IFERROR(MATCH(Tabelle11[[#Headers],[Fabian_M]],Spielauswertung!$B617:$E617,0),0)=0,R628,INDEX(Spielauswertung!$AB617:$AE617,MATCH(Tabelle11[[#Headers],[Fabian_M]],Spielauswertung!$B617:$E617,0))+R628)</f>
        <v>95.805387841610738</v>
      </c>
      <c r="S629" s="1">
        <f>IF(IFERROR(MATCH(Tabelle11[[#Headers],[Hannes_S]],Spielauswertung!$B617:$E617,0),0)=0,S628,INDEX(Spielauswertung!$AB617:$AE617,MATCH(Tabelle11[[#Headers],[Hannes_S]],Spielauswertung!$B617:$E617,0))+S628)</f>
        <v>104.83899184012799</v>
      </c>
      <c r="T629" s="1">
        <f>IF(IFERROR(MATCH(Tabelle11[[#Headers],[Jan_B]],Spielauswertung!$B617:$E617,0),0)=0,T628,INDEX(Spielauswertung!$AB617:$AE617,MATCH(Tabelle11[[#Headers],[Jan_B]],Spielauswertung!$B617:$E617,0))+T628)</f>
        <v>100.2794420429173</v>
      </c>
      <c r="U629" s="1">
        <f>IF(IFERROR(MATCH(Tabelle11[[#Headers],[Jan_Hendrik_B]],Spielauswertung!$B617:$E617,0),0)=0,U628,INDEX(Spielauswertung!$AB617:$AE617,MATCH(Tabelle11[[#Headers],[Jan_Hendrik_B]],Spielauswertung!$B617:$E617,0))+U628)</f>
        <v>100.75492416935522</v>
      </c>
      <c r="V629" s="1">
        <f>IF(IFERROR(MATCH(Tabelle11[[#Headers],[Jens_N]],Spielauswertung!$B617:$E617,0),0)=0,V628,INDEX(Spielauswertung!$AB617:$AE617,MATCH(Tabelle11[[#Headers],[Jens_N]],Spielauswertung!$B617:$E617,0))+V628)</f>
        <v>99.643534710196832</v>
      </c>
      <c r="W629" s="1">
        <f>IF(IFERROR(MATCH(Tabelle11[[#Headers],[Johannes_S]],Spielauswertung!$B617:$E617,0),0)=0,W628,INDEX(Spielauswertung!$AB617:$AE617,MATCH(Tabelle11[[#Headers],[Johannes_S]],Spielauswertung!$B617:$E617,0))+W628)</f>
        <v>102.20284750979505</v>
      </c>
      <c r="X629" s="1">
        <f>IF(IFERROR(MATCH(Tabelle11[[#Headers],[Jonathan_F]],Spielauswertung!$B617:$E617,0),0)=0,X628,INDEX(Spielauswertung!$AB617:$AE617,MATCH(Tabelle11[[#Headers],[Jonathan_F]],Spielauswertung!$B617:$E617,0))+X628)</f>
        <v>98.938308797866256</v>
      </c>
      <c r="Y629" s="1">
        <f>IF(IFERROR(MATCH(Tabelle11[[#Headers],[Julius_P]],Spielauswertung!$B617:$E617,0),0)=0,Y628,INDEX(Spielauswertung!$AB617:$AE617,MATCH(Tabelle11[[#Headers],[Julius_P]],Spielauswertung!$B617:$E617,0))+Y628)</f>
        <v>96.540305101873642</v>
      </c>
      <c r="Z629" s="1">
        <f>IF(IFERROR(MATCH(Tabelle11[[#Headers],[Louis_W]],Spielauswertung!$B617:$E617,0),0)=0,Z628,INDEX(Spielauswertung!$AB617:$AE617,MATCH(Tabelle11[[#Headers],[Louis_W]],Spielauswertung!$B617:$E617,0))+Z628)</f>
        <v>87.497452285475362</v>
      </c>
      <c r="AA629" s="1">
        <f>IF(IFERROR(MATCH(Tabelle11[[#Headers],[Lukas_L]],Spielauswertung!$B617:$E617,0),0)=0,AA628,INDEX(Spielauswertung!$AB617:$AE617,MATCH(Tabelle11[[#Headers],[Lukas_L]],Spielauswertung!$B617:$E617,0))+AA628)</f>
        <v>98.447931341404143</v>
      </c>
      <c r="AB629" s="1">
        <f>IF(IFERROR(MATCH(Tabelle11[[#Headers],[Marcin_S]],Spielauswertung!$B617:$E617,0),0)=0,AB628,INDEX(Spielauswertung!$AB617:$AE617,MATCH(Tabelle11[[#Headers],[Marcin_S]],Spielauswertung!$B617:$E617,0))+AB628)</f>
        <v>85.463329105556824</v>
      </c>
      <c r="AC629" s="1">
        <f>IF(IFERROR(MATCH(Tabelle11[[#Headers],[Marco_K]],Spielauswertung!$B617:$E617,0),0)=0,AC628,INDEX(Spielauswertung!$AB617:$AE617,MATCH(Tabelle11[[#Headers],[Marco_K]],Spielauswertung!$B617:$E617,0))+AC628)</f>
        <v>102.12169819441469</v>
      </c>
      <c r="AD629" s="1">
        <f>IF(IFERROR(MATCH(Tabelle11[[#Headers],[Marius_M]],Spielauswertung!$B617:$E617,0),0)=0,AD628,INDEX(Spielauswertung!$AB617:$AE617,MATCH(Tabelle11[[#Headers],[Marius_M]],Spielauswertung!$B617:$E617,0))+AD628)</f>
        <v>124.54012374585781</v>
      </c>
      <c r="AE629" s="1">
        <f>IF(IFERROR(MATCH(Tabelle11[[#Headers],[Marvin_W]],Spielauswertung!$B617:$E617,0),0)=0,AE628,INDEX(Spielauswertung!$AB617:$AE617,MATCH(Tabelle11[[#Headers],[Marvin_W]],Spielauswertung!$B617:$E617,0))+AE628)</f>
        <v>96.700266280577438</v>
      </c>
      <c r="AF629" s="1">
        <f>IF(IFERROR(MATCH(Tabelle11[[#Headers],[Matthias_H]],Spielauswertung!$B617:$E617,0),0)=0,AF628,INDEX(Spielauswertung!$AB617:$AE617,MATCH(Tabelle11[[#Headers],[Matthias_H]],Spielauswertung!$B617:$E617,0))+AF628)</f>
        <v>105.42130178599372</v>
      </c>
      <c r="AG629" s="1">
        <f>IF(IFERROR(MATCH(Tabelle11[[#Headers],[Michael_D]],Spielauswertung!$B617:$E617,0),0)=0,AG628,INDEX(Spielauswertung!$AB617:$AE617,MATCH(Tabelle11[[#Headers],[Michael_D]],Spielauswertung!$B617:$E617,0))+AG628)</f>
        <v>96.436276170375336</v>
      </c>
      <c r="AH629" s="1">
        <f>IF(IFERROR(MATCH(Tabelle11[[#Headers],[Patrick_S]],Spielauswertung!$B617:$E617,0),0)=0,AH628,INDEX(Spielauswertung!$AB617:$AE617,MATCH(Tabelle11[[#Headers],[Patrick_S]],Spielauswertung!$B617:$E617,0))+AH628)</f>
        <v>98.975330692053802</v>
      </c>
      <c r="AI629" s="1">
        <f>IF(IFERROR(MATCH(Tabelle11[[#Headers],[Rano_M]],Spielauswertung!$B617:$E617,0),0)=0,AI628,INDEX(Spielauswertung!$AB617:$AE617,MATCH(Tabelle11[[#Headers],[Rano_M]],Spielauswertung!$B617:$E617,0))+AI628)</f>
        <v>109.38890657420265</v>
      </c>
      <c r="AJ629" s="1">
        <f>IF(IFERROR(MATCH(Tabelle11[[#Headers],[Rene_N]],Spielauswertung!$B617:$E617,0),0)=0,AJ628,INDEX(Spielauswertung!$AB617:$AE617,MATCH(Tabelle11[[#Headers],[Rene_N]],Spielauswertung!$B617:$E617,0))+AJ628)</f>
        <v>101.06482124619033</v>
      </c>
      <c r="AK629" s="1">
        <f>IF(IFERROR(MATCH(Tabelle11[[#Headers],[Rene_P]],Spielauswertung!$B617:$E617,0),0)=0,AK628,INDEX(Spielauswertung!$AB617:$AE617,MATCH(Tabelle11[[#Headers],[Rene_P]],Spielauswertung!$B617:$E617,0))+AK628)</f>
        <v>88.762543186332877</v>
      </c>
      <c r="AL629" s="1">
        <f>IF(IFERROR(MATCH(Tabelle11[[#Headers],[Richard_D]],Spielauswertung!$B617:$E617,0),0)=0,AL628,INDEX(Spielauswertung!$AB617:$AE617,MATCH(Tabelle11[[#Headers],[Richard_D]],Spielauswertung!$B617:$E617,0))+AL628)</f>
        <v>107.23233592026223</v>
      </c>
      <c r="AM629" s="1">
        <f>IF(IFERROR(MATCH(Tabelle11[[#Headers],[Rodrigo_R]],Spielauswertung!$B617:$E617,0),0)=0,AM628,INDEX(Spielauswertung!$AB617:$AE617,MATCH(Tabelle11[[#Headers],[Rodrigo_R]],Spielauswertung!$B617:$E617,0))+AM628)</f>
        <v>116.7028707921346</v>
      </c>
      <c r="AN629" s="1">
        <f>IF(IFERROR(MATCH(Tabelle11[[#Headers],[Sebastian_A]],Spielauswertung!$B617:$E617,0),0)=0,AN628,INDEX(Spielauswertung!$AB617:$AE617,MATCH(Tabelle11[[#Headers],[Sebastian_A]],Spielauswertung!$B617:$E617,0))+AN628)</f>
        <v>102.89457418671324</v>
      </c>
      <c r="AO629" s="1">
        <f>IF(IFERROR(MATCH(Tabelle11[[#Headers],[Sebastian_St]],Spielauswertung!$B617:$E617,0),0)=0,AO628,INDEX(Spielauswertung!$AB617:$AE617,MATCH(Tabelle11[[#Headers],[Sebastian_St]],Spielauswertung!$B617:$E617,0))+AO628)</f>
        <v>97.749574367408982</v>
      </c>
      <c r="AP629" s="1">
        <f>IF(IFERROR(MATCH(Tabelle11[[#Headers],[Simon_U]],Spielauswertung!$B617:$E617,0),0)=0,AP628,INDEX(Spielauswertung!$AB617:$AE617,MATCH(Tabelle11[[#Headers],[Simon_U]],Spielauswertung!$B617:$E617,0))+AP628)</f>
        <v>99.623054841470903</v>
      </c>
      <c r="AQ629" s="1">
        <f>IF(IFERROR(MATCH(Tabelle11[[#Headers],[Steffen_R]],Spielauswertung!$B617:$E617,0),0)=0,AQ628,INDEX(Spielauswertung!$AB617:$AE617,MATCH(Tabelle11[[#Headers],[Steffen_R]],Spielauswertung!$B617:$E617,0))+AQ628)</f>
        <v>93.247497067190949</v>
      </c>
      <c r="AR629" s="1">
        <f>IF(IFERROR(MATCH(Tabelle11[[#Headers],[Tim_R]],Spielauswertung!$B617:$E617,0),0)=0,AR628,INDEX(Spielauswertung!$AB617:$AE617,MATCH(Tabelle11[[#Headers],[Tim_R]],Spielauswertung!$B617:$E617,0))+AR628)</f>
        <v>103.07503787023374</v>
      </c>
      <c r="AS629" s="1">
        <f>IF(IFERROR(MATCH(Tabelle11[[#Headers],[Tobias_S]],Spielauswertung!$B617:$E617,0),0)=0,AS628,INDEX(Spielauswertung!$AB617:$AE617,MATCH(Tabelle11[[#Headers],[Tobias_S]],Spielauswertung!$B617:$E617,0))+AS628)</f>
        <v>98.6003422659997</v>
      </c>
      <c r="AT629" s="1">
        <f>IF(IFERROR(MATCH(Tabelle11[[#Headers],[Tom_R]],Spielauswertung!$B617:$E617,0),0)=0,AT628,INDEX(Spielauswertung!$AB617:$AE617,MATCH(Tabelle11[[#Headers],[Tom_R]],Spielauswertung!$B617:$E617,0))+AT628)</f>
        <v>112.62344492949197</v>
      </c>
      <c r="AU629" s="1">
        <f>IF(IFERROR(MATCH(Tabelle11[[#Headers],[Ton_L]],Spielauswertung!$B617:$E617,0),0)=0,AU628,INDEX(Spielauswertung!$AB617:$AE617,MATCH(Tabelle11[[#Headers],[Ton_L]],Spielauswertung!$B617:$E617,0))+AU628)</f>
        <v>92.683083360025861</v>
      </c>
      <c r="AV629" s="1">
        <f>IF(IFERROR(MATCH(Tabelle11[[#Headers],[Yixin_G]],Spielauswertung!$B617:$E617,0),0)=0,AV628,INDEX(Spielauswertung!$AB617:$AE617,MATCH(Tabelle11[[#Headers],[Yixin_G]],Spielauswertung!$B617:$E617,0))+AV628)</f>
        <v>99.900323214082661</v>
      </c>
      <c r="AW629" s="1">
        <f>IF(IFERROR(MATCH(Tabelle11[[#Headers],[Spalte36]],Spielauswertung!$B617:$E617,0),0)=0,AW628,INDEX(Spielauswertung!$AB617:$AE617,MATCH(Tabelle11[[#Headers],[Spalte36]],Spielauswertung!$B617:$E617,0))+AW628)</f>
        <v>100</v>
      </c>
      <c r="AX629" s="1">
        <f>IF(IFERROR(MATCH(Tabelle11[[#Headers],[Spalte37]],Spielauswertung!$B617:$E617,0),0)=0,AX628,INDEX(Spielauswertung!$AB617:$AE617,MATCH(Tabelle11[[#Headers],[Spalte37]],Spielauswertung!$B617:$E617,0))+AX628)</f>
        <v>100</v>
      </c>
      <c r="AY629" s="1">
        <f>IF(IFERROR(MATCH(Tabelle11[[#Headers],[Spalte38]],Spielauswertung!$B617:$E617,0),0)=0,AY628,INDEX(Spielauswertung!$AB617:$AE617,MATCH(Tabelle11[[#Headers],[Spalte38]],Spielauswertung!$B617:$E617,0))+AY628)</f>
        <v>100</v>
      </c>
      <c r="AZ629" s="1">
        <f>IF(IFERROR(MATCH(Tabelle11[[#Headers],[Spalte39]],Spielauswertung!$B617:$E617,0),0)=0,AZ628,INDEX(Spielauswertung!$AB617:$AE617,MATCH(Tabelle11[[#Headers],[Spalte39]],Spielauswertung!$B617:$E617,0))+AZ628)</f>
        <v>100</v>
      </c>
      <c r="BA629" s="1">
        <f>IF(IFERROR(MATCH(Tabelle11[[#Headers],[Spalte40]],Spielauswertung!$B617:$E617,0),0)=0,BA628,INDEX(Spielauswertung!$AB617:$AE617,MATCH(Tabelle11[[#Headers],[Spalte40]],Spielauswertung!$B617:$E617,0))+BA628)</f>
        <v>100</v>
      </c>
      <c r="BB629" s="1">
        <f>IF(IFERROR(MATCH(Tabelle11[[#Headers],[Spalte41]],Spielauswertung!$B617:$E617,0),0)=0,BB628,INDEX(Spielauswertung!$AB617:$AE617,MATCH(Tabelle11[[#Headers],[Spalte41]],Spielauswertung!$B617:$E617,0))+BB628)</f>
        <v>100</v>
      </c>
      <c r="BC629" s="1">
        <f>IF(IFERROR(MATCH(Tabelle11[[#Headers],[Spalte42]],Spielauswertung!$B617:$E617,0),0)=0,BC628,INDEX(Spielauswertung!$AB617:$AE617,MATCH(Tabelle11[[#Headers],[Spalte42]],Spielauswertung!$B617:$E617,0))+BC628)</f>
        <v>100</v>
      </c>
      <c r="BD629" s="1">
        <f>IF(IFERROR(MATCH(Tabelle11[[#Headers],[Spalte43]],Spielauswertung!$B617:$E617,0),0)=0,BD628,INDEX(Spielauswertung!$AB617:$AE617,MATCH(Tabelle11[[#Headers],[Spalte43]],Spielauswertung!$B617:$E617,0))+BD628)</f>
        <v>100</v>
      </c>
      <c r="BE629" s="1">
        <f>IF(IFERROR(MATCH(Tabelle11[[#Headers],[Spalte44]],Spielauswertung!$B617:$E617,0),0)=0,BE628,INDEX(Spielauswertung!$AB617:$AE617,MATCH(Tabelle11[[#Headers],[Spalte44]],Spielauswertung!$B617:$E617,0))+BE628)</f>
        <v>100</v>
      </c>
      <c r="BF629" s="1">
        <f>IF(IFERROR(MATCH(Tabelle11[[#Headers],[Spalte45]],Spielauswertung!$B617:$E617,0),0)=0,BF628,INDEX(Spielauswertung!$AB617:$AE617,MATCH(Tabelle11[[#Headers],[Spalte45]],Spielauswertung!$B617:$E617,0))+BF628)</f>
        <v>100</v>
      </c>
      <c r="BG629" s="1">
        <f>IF(IFERROR(MATCH(Tabelle11[[#Headers],[Spalte46]],Spielauswertung!$B617:$E617,0),0)=0,BG628,INDEX(Spielauswertung!$AB617:$AE617,MATCH(Tabelle11[[#Headers],[Spalte46]],Spielauswertung!$B617:$E617,0))+BG628)</f>
        <v>100</v>
      </c>
      <c r="BH629" s="1">
        <f>IF(IFERROR(MATCH(Tabelle11[[#Headers],[Spalte47]],Spielauswertung!$B617:$E617,0),0)=0,BH628,INDEX(Spielauswertung!$AB617:$AE617,MATCH(Tabelle11[[#Headers],[Spalte47]],Spielauswertung!$B617:$E617,0))+BH628)</f>
        <v>100</v>
      </c>
    </row>
    <row r="630" spans="1:60" x14ac:dyDescent="0.25">
      <c r="A630">
        <f t="shared" si="10"/>
        <v>617</v>
      </c>
      <c r="B630" s="1">
        <f>IF(IFERROR(MATCH(Tabelle11[[#Headers],[Aleix_V]],Spielauswertung!$B618:$E618,0),0)=0,B629,INDEX(Spielauswertung!$AB618:$AE618,MATCH(Tabelle11[[#Headers],[Aleix_V]],Spielauswertung!$B618:$E618,0))+B629)</f>
        <v>102.47318019444646</v>
      </c>
      <c r="C630" s="1">
        <f>IF(IFERROR(MATCH(Tabelle11[[#Headers],[Andres_H]],Spielauswertung!$B618:$E618,0),0)=0,C629,INDEX(Spielauswertung!$AB618:$AE618,MATCH(Tabelle11[[#Headers],[Andres_H]],Spielauswertung!$B618:$E618,0))+C629)</f>
        <v>95.535732339111306</v>
      </c>
      <c r="D630" s="1">
        <f>IF(IFERROR(MATCH(Tabelle11[[#Headers],[Anton_K]],Spielauswertung!$B618:$E618,0),0)=0,D629,INDEX(Spielauswertung!$AB618:$AE618,MATCH(Tabelle11[[#Headers],[Anton_K]],Spielauswertung!$B618:$E618,0))+D629)</f>
        <v>99.287728777054667</v>
      </c>
      <c r="E630" s="1">
        <f>IF(IFERROR(MATCH(Tabelle11[[#Headers],[Bastian_G]],Spielauswertung!$B618:$E618,0),0)=0,E629,INDEX(Spielauswertung!$AB618:$AE618,MATCH(Tabelle11[[#Headers],[Bastian_G]],Spielauswertung!$B618:$E618,0))+E629)</f>
        <v>117.49978695184252</v>
      </c>
      <c r="F630" s="1">
        <f>IF(IFERROR(MATCH(Tabelle11[[#Headers],[Ben_S]],Spielauswertung!$B618:$E618,0),0)=0,F629,INDEX(Spielauswertung!$AB618:$AE618,MATCH(Tabelle11[[#Headers],[Ben_S]],Spielauswertung!$B618:$E618,0))+F629)</f>
        <v>95.932799101521084</v>
      </c>
      <c r="G630" s="1">
        <f>IF(IFERROR(MATCH(Tabelle11[[#Headers],[Benedikt_K]],Spielauswertung!$B618:$E618,0),0)=0,G629,INDEX(Spielauswertung!$AB618:$AE618,MATCH(Tabelle11[[#Headers],[Benedikt_K]],Spielauswertung!$B618:$E618,0))+G629)</f>
        <v>101.20264176422626</v>
      </c>
      <c r="H630" s="1">
        <f>IF(IFERROR(MATCH(Tabelle11[[#Headers],[Benedikt_R]],Spielauswertung!$B618:$E618,0),0)=0,H629,INDEX(Spielauswertung!$AB618:$AE618,MATCH(Tabelle11[[#Headers],[Benedikt_R]],Spielauswertung!$B618:$E618,0))+H629)</f>
        <v>102.6264770510757</v>
      </c>
      <c r="I630" s="1">
        <f>IF(IFERROR(MATCH(Tabelle11[[#Headers],[Carsten_H]],Spielauswertung!$B618:$E618,0),0)=0,I629,INDEX(Spielauswertung!$AB618:$AE618,MATCH(Tabelle11[[#Headers],[Carsten_H]],Spielauswertung!$B618:$E618,0))+I629)</f>
        <v>90.817185094326874</v>
      </c>
      <c r="J630" s="1">
        <f>IF(IFERROR(MATCH(Tabelle11[[#Headers],[Christoph_R]],Spielauswertung!$B618:$E618,0),0)=0,J629,INDEX(Spielauswertung!$AB618:$AE618,MATCH(Tabelle11[[#Headers],[Christoph_R]],Spielauswertung!$B618:$E618,0))+J629)</f>
        <v>109.73261611443155</v>
      </c>
      <c r="K630" s="1">
        <f>IF(IFERROR(MATCH(Tabelle11[[#Headers],[Claudius_J]],Spielauswertung!$B618:$E618,0),0)=0,K629,INDEX(Spielauswertung!$AB618:$AE618,MATCH(Tabelle11[[#Headers],[Claudius_J]],Spielauswertung!$B618:$E618,0))+K629)</f>
        <v>106.16590636000029</v>
      </c>
      <c r="L630" s="1">
        <f>IF(IFERROR(MATCH(Tabelle11[[#Headers],[Daniel_D]],Spielauswertung!$B618:$E618,0),0)=0,L629,INDEX(Spielauswertung!$AB618:$AE618,MATCH(Tabelle11[[#Headers],[Daniel_D]],Spielauswertung!$B618:$E618,0))+L629)</f>
        <v>99.990299180470089</v>
      </c>
      <c r="M630" s="1">
        <f>IF(IFERROR(MATCH(Tabelle11[[#Headers],[David_R]],Spielauswertung!$B618:$E618,0),0)=0,M629,INDEX(Spielauswertung!$AB618:$AE618,MATCH(Tabelle11[[#Headers],[David_R]],Spielauswertung!$B618:$E618,0))+M629)</f>
        <v>96.715943522481638</v>
      </c>
      <c r="N630" s="1">
        <f>IF(IFERROR(MATCH(Tabelle11[[#Headers],[Dennis_P]],Spielauswertung!$B618:$E618,0),0)=0,N629,INDEX(Spielauswertung!$AB618:$AE618,MATCH(Tabelle11[[#Headers],[Dennis_P]],Spielauswertung!$B618:$E618,0))+N629)</f>
        <v>100.04773223105254</v>
      </c>
      <c r="O630" s="1">
        <f>IF(IFERROR(MATCH(Tabelle11[[#Headers],[Dennis_R]],Spielauswertung!$B618:$E618,0),0)=0,O629,INDEX(Spielauswertung!$AB618:$AE618,MATCH(Tabelle11[[#Headers],[Dennis_R]],Spielauswertung!$B618:$E618,0))+O629)</f>
        <v>75.131680864937195</v>
      </c>
      <c r="P630" s="1">
        <f>IF(IFERROR(MATCH(Tabelle11[[#Headers],[Detlef_R]],Spielauswertung!$B618:$E618,0),0)=0,P629,INDEX(Spielauswertung!$AB618:$AE618,MATCH(Tabelle11[[#Headers],[Detlef_R]],Spielauswertung!$B618:$E618,0))+P629)</f>
        <v>87.984671797367014</v>
      </c>
      <c r="Q630" s="1">
        <f>IF(IFERROR(MATCH(Tabelle11[[#Headers],[Dmitrij_M]],Spielauswertung!$B618:$E618,0),0)=0,Q629,INDEX(Spielauswertung!$AB618:$AE618,MATCH(Tabelle11[[#Headers],[Dmitrij_M]],Spielauswertung!$B618:$E618,0))+Q629)</f>
        <v>100.69975721846207</v>
      </c>
      <c r="R630" s="1">
        <f>IF(IFERROR(MATCH(Tabelle11[[#Headers],[Fabian_M]],Spielauswertung!$B618:$E618,0),0)=0,R629,INDEX(Spielauswertung!$AB618:$AE618,MATCH(Tabelle11[[#Headers],[Fabian_M]],Spielauswertung!$B618:$E618,0))+R629)</f>
        <v>95.805387841610738</v>
      </c>
      <c r="S630" s="1">
        <f>IF(IFERROR(MATCH(Tabelle11[[#Headers],[Hannes_S]],Spielauswertung!$B618:$E618,0),0)=0,S629,INDEX(Spielauswertung!$AB618:$AE618,MATCH(Tabelle11[[#Headers],[Hannes_S]],Spielauswertung!$B618:$E618,0))+S629)</f>
        <v>104.83899184012799</v>
      </c>
      <c r="T630" s="1">
        <f>IF(IFERROR(MATCH(Tabelle11[[#Headers],[Jan_B]],Spielauswertung!$B618:$E618,0),0)=0,T629,INDEX(Spielauswertung!$AB618:$AE618,MATCH(Tabelle11[[#Headers],[Jan_B]],Spielauswertung!$B618:$E618,0))+T629)</f>
        <v>100.2794420429173</v>
      </c>
      <c r="U630" s="1">
        <f>IF(IFERROR(MATCH(Tabelle11[[#Headers],[Jan_Hendrik_B]],Spielauswertung!$B618:$E618,0),0)=0,U629,INDEX(Spielauswertung!$AB618:$AE618,MATCH(Tabelle11[[#Headers],[Jan_Hendrik_B]],Spielauswertung!$B618:$E618,0))+U629)</f>
        <v>100.75492416935522</v>
      </c>
      <c r="V630" s="1">
        <f>IF(IFERROR(MATCH(Tabelle11[[#Headers],[Jens_N]],Spielauswertung!$B618:$E618,0),0)=0,V629,INDEX(Spielauswertung!$AB618:$AE618,MATCH(Tabelle11[[#Headers],[Jens_N]],Spielauswertung!$B618:$E618,0))+V629)</f>
        <v>99.643534710196832</v>
      </c>
      <c r="W630" s="1">
        <f>IF(IFERROR(MATCH(Tabelle11[[#Headers],[Johannes_S]],Spielauswertung!$B618:$E618,0),0)=0,W629,INDEX(Spielauswertung!$AB618:$AE618,MATCH(Tabelle11[[#Headers],[Johannes_S]],Spielauswertung!$B618:$E618,0))+W629)</f>
        <v>102.20284750979505</v>
      </c>
      <c r="X630" s="1">
        <f>IF(IFERROR(MATCH(Tabelle11[[#Headers],[Jonathan_F]],Spielauswertung!$B618:$E618,0),0)=0,X629,INDEX(Spielauswertung!$AB618:$AE618,MATCH(Tabelle11[[#Headers],[Jonathan_F]],Spielauswertung!$B618:$E618,0))+X629)</f>
        <v>98.938308797866256</v>
      </c>
      <c r="Y630" s="1">
        <f>IF(IFERROR(MATCH(Tabelle11[[#Headers],[Julius_P]],Spielauswertung!$B618:$E618,0),0)=0,Y629,INDEX(Spielauswertung!$AB618:$AE618,MATCH(Tabelle11[[#Headers],[Julius_P]],Spielauswertung!$B618:$E618,0))+Y629)</f>
        <v>96.540305101873642</v>
      </c>
      <c r="Z630" s="1">
        <f>IF(IFERROR(MATCH(Tabelle11[[#Headers],[Louis_W]],Spielauswertung!$B618:$E618,0),0)=0,Z629,INDEX(Spielauswertung!$AB618:$AE618,MATCH(Tabelle11[[#Headers],[Louis_W]],Spielauswertung!$B618:$E618,0))+Z629)</f>
        <v>87.497452285475362</v>
      </c>
      <c r="AA630" s="1">
        <f>IF(IFERROR(MATCH(Tabelle11[[#Headers],[Lukas_L]],Spielauswertung!$B618:$E618,0),0)=0,AA629,INDEX(Spielauswertung!$AB618:$AE618,MATCH(Tabelle11[[#Headers],[Lukas_L]],Spielauswertung!$B618:$E618,0))+AA629)</f>
        <v>98.447931341404143</v>
      </c>
      <c r="AB630" s="1">
        <f>IF(IFERROR(MATCH(Tabelle11[[#Headers],[Marcin_S]],Spielauswertung!$B618:$E618,0),0)=0,AB629,INDEX(Spielauswertung!$AB618:$AE618,MATCH(Tabelle11[[#Headers],[Marcin_S]],Spielauswertung!$B618:$E618,0))+AB629)</f>
        <v>85.463329105556824</v>
      </c>
      <c r="AC630" s="1">
        <f>IF(IFERROR(MATCH(Tabelle11[[#Headers],[Marco_K]],Spielauswertung!$B618:$E618,0),0)=0,AC629,INDEX(Spielauswertung!$AB618:$AE618,MATCH(Tabelle11[[#Headers],[Marco_K]],Spielauswertung!$B618:$E618,0))+AC629)</f>
        <v>102.12169819441469</v>
      </c>
      <c r="AD630" s="1">
        <f>IF(IFERROR(MATCH(Tabelle11[[#Headers],[Marius_M]],Spielauswertung!$B618:$E618,0),0)=0,AD629,INDEX(Spielauswertung!$AB618:$AE618,MATCH(Tabelle11[[#Headers],[Marius_M]],Spielauswertung!$B618:$E618,0))+AD629)</f>
        <v>124.54012374585781</v>
      </c>
      <c r="AE630" s="1">
        <f>IF(IFERROR(MATCH(Tabelle11[[#Headers],[Marvin_W]],Spielauswertung!$B618:$E618,0),0)=0,AE629,INDEX(Spielauswertung!$AB618:$AE618,MATCH(Tabelle11[[#Headers],[Marvin_W]],Spielauswertung!$B618:$E618,0))+AE629)</f>
        <v>96.700266280577438</v>
      </c>
      <c r="AF630" s="1">
        <f>IF(IFERROR(MATCH(Tabelle11[[#Headers],[Matthias_H]],Spielauswertung!$B618:$E618,0),0)=0,AF629,INDEX(Spielauswertung!$AB618:$AE618,MATCH(Tabelle11[[#Headers],[Matthias_H]],Spielauswertung!$B618:$E618,0))+AF629)</f>
        <v>105.42130178599372</v>
      </c>
      <c r="AG630" s="1">
        <f>IF(IFERROR(MATCH(Tabelle11[[#Headers],[Michael_D]],Spielauswertung!$B618:$E618,0),0)=0,AG629,INDEX(Spielauswertung!$AB618:$AE618,MATCH(Tabelle11[[#Headers],[Michael_D]],Spielauswertung!$B618:$E618,0))+AG629)</f>
        <v>96.436276170375336</v>
      </c>
      <c r="AH630" s="1">
        <f>IF(IFERROR(MATCH(Tabelle11[[#Headers],[Patrick_S]],Spielauswertung!$B618:$E618,0),0)=0,AH629,INDEX(Spielauswertung!$AB618:$AE618,MATCH(Tabelle11[[#Headers],[Patrick_S]],Spielauswertung!$B618:$E618,0))+AH629)</f>
        <v>98.975330692053802</v>
      </c>
      <c r="AI630" s="1">
        <f>IF(IFERROR(MATCH(Tabelle11[[#Headers],[Rano_M]],Spielauswertung!$B618:$E618,0),0)=0,AI629,INDEX(Spielauswertung!$AB618:$AE618,MATCH(Tabelle11[[#Headers],[Rano_M]],Spielauswertung!$B618:$E618,0))+AI629)</f>
        <v>109.38890657420265</v>
      </c>
      <c r="AJ630" s="1">
        <f>IF(IFERROR(MATCH(Tabelle11[[#Headers],[Rene_N]],Spielauswertung!$B618:$E618,0),0)=0,AJ629,INDEX(Spielauswertung!$AB618:$AE618,MATCH(Tabelle11[[#Headers],[Rene_N]],Spielauswertung!$B618:$E618,0))+AJ629)</f>
        <v>101.06482124619033</v>
      </c>
      <c r="AK630" s="1">
        <f>IF(IFERROR(MATCH(Tabelle11[[#Headers],[Rene_P]],Spielauswertung!$B618:$E618,0),0)=0,AK629,INDEX(Spielauswertung!$AB618:$AE618,MATCH(Tabelle11[[#Headers],[Rene_P]],Spielauswertung!$B618:$E618,0))+AK629)</f>
        <v>88.762543186332877</v>
      </c>
      <c r="AL630" s="1">
        <f>IF(IFERROR(MATCH(Tabelle11[[#Headers],[Richard_D]],Spielauswertung!$B618:$E618,0),0)=0,AL629,INDEX(Spielauswertung!$AB618:$AE618,MATCH(Tabelle11[[#Headers],[Richard_D]],Spielauswertung!$B618:$E618,0))+AL629)</f>
        <v>107.23233592026223</v>
      </c>
      <c r="AM630" s="1">
        <f>IF(IFERROR(MATCH(Tabelle11[[#Headers],[Rodrigo_R]],Spielauswertung!$B618:$E618,0),0)=0,AM629,INDEX(Spielauswertung!$AB618:$AE618,MATCH(Tabelle11[[#Headers],[Rodrigo_R]],Spielauswertung!$B618:$E618,0))+AM629)</f>
        <v>116.7028707921346</v>
      </c>
      <c r="AN630" s="1">
        <f>IF(IFERROR(MATCH(Tabelle11[[#Headers],[Sebastian_A]],Spielauswertung!$B618:$E618,0),0)=0,AN629,INDEX(Spielauswertung!$AB618:$AE618,MATCH(Tabelle11[[#Headers],[Sebastian_A]],Spielauswertung!$B618:$E618,0))+AN629)</f>
        <v>102.89457418671324</v>
      </c>
      <c r="AO630" s="1">
        <f>IF(IFERROR(MATCH(Tabelle11[[#Headers],[Sebastian_St]],Spielauswertung!$B618:$E618,0),0)=0,AO629,INDEX(Spielauswertung!$AB618:$AE618,MATCH(Tabelle11[[#Headers],[Sebastian_St]],Spielauswertung!$B618:$E618,0))+AO629)</f>
        <v>97.749574367408982</v>
      </c>
      <c r="AP630" s="1">
        <f>IF(IFERROR(MATCH(Tabelle11[[#Headers],[Simon_U]],Spielauswertung!$B618:$E618,0),0)=0,AP629,INDEX(Spielauswertung!$AB618:$AE618,MATCH(Tabelle11[[#Headers],[Simon_U]],Spielauswertung!$B618:$E618,0))+AP629)</f>
        <v>99.623054841470903</v>
      </c>
      <c r="AQ630" s="1">
        <f>IF(IFERROR(MATCH(Tabelle11[[#Headers],[Steffen_R]],Spielauswertung!$B618:$E618,0),0)=0,AQ629,INDEX(Spielauswertung!$AB618:$AE618,MATCH(Tabelle11[[#Headers],[Steffen_R]],Spielauswertung!$B618:$E618,0))+AQ629)</f>
        <v>93.247497067190949</v>
      </c>
      <c r="AR630" s="1">
        <f>IF(IFERROR(MATCH(Tabelle11[[#Headers],[Tim_R]],Spielauswertung!$B618:$E618,0),0)=0,AR629,INDEX(Spielauswertung!$AB618:$AE618,MATCH(Tabelle11[[#Headers],[Tim_R]],Spielauswertung!$B618:$E618,0))+AR629)</f>
        <v>103.07503787023374</v>
      </c>
      <c r="AS630" s="1">
        <f>IF(IFERROR(MATCH(Tabelle11[[#Headers],[Tobias_S]],Spielauswertung!$B618:$E618,0),0)=0,AS629,INDEX(Spielauswertung!$AB618:$AE618,MATCH(Tabelle11[[#Headers],[Tobias_S]],Spielauswertung!$B618:$E618,0))+AS629)</f>
        <v>98.6003422659997</v>
      </c>
      <c r="AT630" s="1">
        <f>IF(IFERROR(MATCH(Tabelle11[[#Headers],[Tom_R]],Spielauswertung!$B618:$E618,0),0)=0,AT629,INDEX(Spielauswertung!$AB618:$AE618,MATCH(Tabelle11[[#Headers],[Tom_R]],Spielauswertung!$B618:$E618,0))+AT629)</f>
        <v>112.62344492949197</v>
      </c>
      <c r="AU630" s="1">
        <f>IF(IFERROR(MATCH(Tabelle11[[#Headers],[Ton_L]],Spielauswertung!$B618:$E618,0),0)=0,AU629,INDEX(Spielauswertung!$AB618:$AE618,MATCH(Tabelle11[[#Headers],[Ton_L]],Spielauswertung!$B618:$E618,0))+AU629)</f>
        <v>92.683083360025861</v>
      </c>
      <c r="AV630" s="1">
        <f>IF(IFERROR(MATCH(Tabelle11[[#Headers],[Yixin_G]],Spielauswertung!$B618:$E618,0),0)=0,AV629,INDEX(Spielauswertung!$AB618:$AE618,MATCH(Tabelle11[[#Headers],[Yixin_G]],Spielauswertung!$B618:$E618,0))+AV629)</f>
        <v>99.900323214082661</v>
      </c>
      <c r="AW630" s="1">
        <f>IF(IFERROR(MATCH(Tabelle11[[#Headers],[Spalte36]],Spielauswertung!$B618:$E618,0),0)=0,AW629,INDEX(Spielauswertung!$AB618:$AE618,MATCH(Tabelle11[[#Headers],[Spalte36]],Spielauswertung!$B618:$E618,0))+AW629)</f>
        <v>100</v>
      </c>
      <c r="AX630" s="1">
        <f>IF(IFERROR(MATCH(Tabelle11[[#Headers],[Spalte37]],Spielauswertung!$B618:$E618,0),0)=0,AX629,INDEX(Spielauswertung!$AB618:$AE618,MATCH(Tabelle11[[#Headers],[Spalte37]],Spielauswertung!$B618:$E618,0))+AX629)</f>
        <v>100</v>
      </c>
      <c r="AY630" s="1">
        <f>IF(IFERROR(MATCH(Tabelle11[[#Headers],[Spalte38]],Spielauswertung!$B618:$E618,0),0)=0,AY629,INDEX(Spielauswertung!$AB618:$AE618,MATCH(Tabelle11[[#Headers],[Spalte38]],Spielauswertung!$B618:$E618,0))+AY629)</f>
        <v>100</v>
      </c>
      <c r="AZ630" s="1">
        <f>IF(IFERROR(MATCH(Tabelle11[[#Headers],[Spalte39]],Spielauswertung!$B618:$E618,0),0)=0,AZ629,INDEX(Spielauswertung!$AB618:$AE618,MATCH(Tabelle11[[#Headers],[Spalte39]],Spielauswertung!$B618:$E618,0))+AZ629)</f>
        <v>100</v>
      </c>
      <c r="BA630" s="1">
        <f>IF(IFERROR(MATCH(Tabelle11[[#Headers],[Spalte40]],Spielauswertung!$B618:$E618,0),0)=0,BA629,INDEX(Spielauswertung!$AB618:$AE618,MATCH(Tabelle11[[#Headers],[Spalte40]],Spielauswertung!$B618:$E618,0))+BA629)</f>
        <v>100</v>
      </c>
      <c r="BB630" s="1">
        <f>IF(IFERROR(MATCH(Tabelle11[[#Headers],[Spalte41]],Spielauswertung!$B618:$E618,0),0)=0,BB629,INDEX(Spielauswertung!$AB618:$AE618,MATCH(Tabelle11[[#Headers],[Spalte41]],Spielauswertung!$B618:$E618,0))+BB629)</f>
        <v>100</v>
      </c>
      <c r="BC630" s="1">
        <f>IF(IFERROR(MATCH(Tabelle11[[#Headers],[Spalte42]],Spielauswertung!$B618:$E618,0),0)=0,BC629,INDEX(Spielauswertung!$AB618:$AE618,MATCH(Tabelle11[[#Headers],[Spalte42]],Spielauswertung!$B618:$E618,0))+BC629)</f>
        <v>100</v>
      </c>
      <c r="BD630" s="1">
        <f>IF(IFERROR(MATCH(Tabelle11[[#Headers],[Spalte43]],Spielauswertung!$B618:$E618,0),0)=0,BD629,INDEX(Spielauswertung!$AB618:$AE618,MATCH(Tabelle11[[#Headers],[Spalte43]],Spielauswertung!$B618:$E618,0))+BD629)</f>
        <v>100</v>
      </c>
      <c r="BE630" s="1">
        <f>IF(IFERROR(MATCH(Tabelle11[[#Headers],[Spalte44]],Spielauswertung!$B618:$E618,0),0)=0,BE629,INDEX(Spielauswertung!$AB618:$AE618,MATCH(Tabelle11[[#Headers],[Spalte44]],Spielauswertung!$B618:$E618,0))+BE629)</f>
        <v>100</v>
      </c>
      <c r="BF630" s="1">
        <f>IF(IFERROR(MATCH(Tabelle11[[#Headers],[Spalte45]],Spielauswertung!$B618:$E618,0),0)=0,BF629,INDEX(Spielauswertung!$AB618:$AE618,MATCH(Tabelle11[[#Headers],[Spalte45]],Spielauswertung!$B618:$E618,0))+BF629)</f>
        <v>100</v>
      </c>
      <c r="BG630" s="1">
        <f>IF(IFERROR(MATCH(Tabelle11[[#Headers],[Spalte46]],Spielauswertung!$B618:$E618,0),0)=0,BG629,INDEX(Spielauswertung!$AB618:$AE618,MATCH(Tabelle11[[#Headers],[Spalte46]],Spielauswertung!$B618:$E618,0))+BG629)</f>
        <v>100</v>
      </c>
      <c r="BH630" s="1">
        <f>IF(IFERROR(MATCH(Tabelle11[[#Headers],[Spalte47]],Spielauswertung!$B618:$E618,0),0)=0,BH629,INDEX(Spielauswertung!$AB618:$AE618,MATCH(Tabelle11[[#Headers],[Spalte47]],Spielauswertung!$B618:$E618,0))+BH629)</f>
        <v>100</v>
      </c>
    </row>
    <row r="631" spans="1:60" x14ac:dyDescent="0.25">
      <c r="A631">
        <f t="shared" si="10"/>
        <v>618</v>
      </c>
      <c r="B631" s="1">
        <f>IF(IFERROR(MATCH(Tabelle11[[#Headers],[Aleix_V]],Spielauswertung!$B619:$E619,0),0)=0,B630,INDEX(Spielauswertung!$AB619:$AE619,MATCH(Tabelle11[[#Headers],[Aleix_V]],Spielauswertung!$B619:$E619,0))+B630)</f>
        <v>102.47318019444646</v>
      </c>
      <c r="C631" s="1">
        <f>IF(IFERROR(MATCH(Tabelle11[[#Headers],[Andres_H]],Spielauswertung!$B619:$E619,0),0)=0,C630,INDEX(Spielauswertung!$AB619:$AE619,MATCH(Tabelle11[[#Headers],[Andres_H]],Spielauswertung!$B619:$E619,0))+C630)</f>
        <v>95.535732339111306</v>
      </c>
      <c r="D631" s="1">
        <f>IF(IFERROR(MATCH(Tabelle11[[#Headers],[Anton_K]],Spielauswertung!$B619:$E619,0),0)=0,D630,INDEX(Spielauswertung!$AB619:$AE619,MATCH(Tabelle11[[#Headers],[Anton_K]],Spielauswertung!$B619:$E619,0))+D630)</f>
        <v>99.287728777054667</v>
      </c>
      <c r="E631" s="1">
        <f>IF(IFERROR(MATCH(Tabelle11[[#Headers],[Bastian_G]],Spielauswertung!$B619:$E619,0),0)=0,E630,INDEX(Spielauswertung!$AB619:$AE619,MATCH(Tabelle11[[#Headers],[Bastian_G]],Spielauswertung!$B619:$E619,0))+E630)</f>
        <v>117.49978695184252</v>
      </c>
      <c r="F631" s="1">
        <f>IF(IFERROR(MATCH(Tabelle11[[#Headers],[Ben_S]],Spielauswertung!$B619:$E619,0),0)=0,F630,INDEX(Spielauswertung!$AB619:$AE619,MATCH(Tabelle11[[#Headers],[Ben_S]],Spielauswertung!$B619:$E619,0))+F630)</f>
        <v>95.932799101521084</v>
      </c>
      <c r="G631" s="1">
        <f>IF(IFERROR(MATCH(Tabelle11[[#Headers],[Benedikt_K]],Spielauswertung!$B619:$E619,0),0)=0,G630,INDEX(Spielauswertung!$AB619:$AE619,MATCH(Tabelle11[[#Headers],[Benedikt_K]],Spielauswertung!$B619:$E619,0))+G630)</f>
        <v>101.20264176422626</v>
      </c>
      <c r="H631" s="1">
        <f>IF(IFERROR(MATCH(Tabelle11[[#Headers],[Benedikt_R]],Spielauswertung!$B619:$E619,0),0)=0,H630,INDEX(Spielauswertung!$AB619:$AE619,MATCH(Tabelle11[[#Headers],[Benedikt_R]],Spielauswertung!$B619:$E619,0))+H630)</f>
        <v>102.6264770510757</v>
      </c>
      <c r="I631" s="1">
        <f>IF(IFERROR(MATCH(Tabelle11[[#Headers],[Carsten_H]],Spielauswertung!$B619:$E619,0),0)=0,I630,INDEX(Spielauswertung!$AB619:$AE619,MATCH(Tabelle11[[#Headers],[Carsten_H]],Spielauswertung!$B619:$E619,0))+I630)</f>
        <v>90.817185094326874</v>
      </c>
      <c r="J631" s="1">
        <f>IF(IFERROR(MATCH(Tabelle11[[#Headers],[Christoph_R]],Spielauswertung!$B619:$E619,0),0)=0,J630,INDEX(Spielauswertung!$AB619:$AE619,MATCH(Tabelle11[[#Headers],[Christoph_R]],Spielauswertung!$B619:$E619,0))+J630)</f>
        <v>109.73261611443155</v>
      </c>
      <c r="K631" s="1">
        <f>IF(IFERROR(MATCH(Tabelle11[[#Headers],[Claudius_J]],Spielauswertung!$B619:$E619,0),0)=0,K630,INDEX(Spielauswertung!$AB619:$AE619,MATCH(Tabelle11[[#Headers],[Claudius_J]],Spielauswertung!$B619:$E619,0))+K630)</f>
        <v>106.16590636000029</v>
      </c>
      <c r="L631" s="1">
        <f>IF(IFERROR(MATCH(Tabelle11[[#Headers],[Daniel_D]],Spielauswertung!$B619:$E619,0),0)=0,L630,INDEX(Spielauswertung!$AB619:$AE619,MATCH(Tabelle11[[#Headers],[Daniel_D]],Spielauswertung!$B619:$E619,0))+L630)</f>
        <v>99.990299180470089</v>
      </c>
      <c r="M631" s="1">
        <f>IF(IFERROR(MATCH(Tabelle11[[#Headers],[David_R]],Spielauswertung!$B619:$E619,0),0)=0,M630,INDEX(Spielauswertung!$AB619:$AE619,MATCH(Tabelle11[[#Headers],[David_R]],Spielauswertung!$B619:$E619,0))+M630)</f>
        <v>96.715943522481638</v>
      </c>
      <c r="N631" s="1">
        <f>IF(IFERROR(MATCH(Tabelle11[[#Headers],[Dennis_P]],Spielauswertung!$B619:$E619,0),0)=0,N630,INDEX(Spielauswertung!$AB619:$AE619,MATCH(Tabelle11[[#Headers],[Dennis_P]],Spielauswertung!$B619:$E619,0))+N630)</f>
        <v>100.04773223105254</v>
      </c>
      <c r="O631" s="1">
        <f>IF(IFERROR(MATCH(Tabelle11[[#Headers],[Dennis_R]],Spielauswertung!$B619:$E619,0),0)=0,O630,INDEX(Spielauswertung!$AB619:$AE619,MATCH(Tabelle11[[#Headers],[Dennis_R]],Spielauswertung!$B619:$E619,0))+O630)</f>
        <v>75.131680864937195</v>
      </c>
      <c r="P631" s="1">
        <f>IF(IFERROR(MATCH(Tabelle11[[#Headers],[Detlef_R]],Spielauswertung!$B619:$E619,0),0)=0,P630,INDEX(Spielauswertung!$AB619:$AE619,MATCH(Tabelle11[[#Headers],[Detlef_R]],Spielauswertung!$B619:$E619,0))+P630)</f>
        <v>87.984671797367014</v>
      </c>
      <c r="Q631" s="1">
        <f>IF(IFERROR(MATCH(Tabelle11[[#Headers],[Dmitrij_M]],Spielauswertung!$B619:$E619,0),0)=0,Q630,INDEX(Spielauswertung!$AB619:$AE619,MATCH(Tabelle11[[#Headers],[Dmitrij_M]],Spielauswertung!$B619:$E619,0))+Q630)</f>
        <v>100.69975721846207</v>
      </c>
      <c r="R631" s="1">
        <f>IF(IFERROR(MATCH(Tabelle11[[#Headers],[Fabian_M]],Spielauswertung!$B619:$E619,0),0)=0,R630,INDEX(Spielauswertung!$AB619:$AE619,MATCH(Tabelle11[[#Headers],[Fabian_M]],Spielauswertung!$B619:$E619,0))+R630)</f>
        <v>95.805387841610738</v>
      </c>
      <c r="S631" s="1">
        <f>IF(IFERROR(MATCH(Tabelle11[[#Headers],[Hannes_S]],Spielauswertung!$B619:$E619,0),0)=0,S630,INDEX(Spielauswertung!$AB619:$AE619,MATCH(Tabelle11[[#Headers],[Hannes_S]],Spielauswertung!$B619:$E619,0))+S630)</f>
        <v>104.83899184012799</v>
      </c>
      <c r="T631" s="1">
        <f>IF(IFERROR(MATCH(Tabelle11[[#Headers],[Jan_B]],Spielauswertung!$B619:$E619,0),0)=0,T630,INDEX(Spielauswertung!$AB619:$AE619,MATCH(Tabelle11[[#Headers],[Jan_B]],Spielauswertung!$B619:$E619,0))+T630)</f>
        <v>100.2794420429173</v>
      </c>
      <c r="U631" s="1">
        <f>IF(IFERROR(MATCH(Tabelle11[[#Headers],[Jan_Hendrik_B]],Spielauswertung!$B619:$E619,0),0)=0,U630,INDEX(Spielauswertung!$AB619:$AE619,MATCH(Tabelle11[[#Headers],[Jan_Hendrik_B]],Spielauswertung!$B619:$E619,0))+U630)</f>
        <v>100.75492416935522</v>
      </c>
      <c r="V631" s="1">
        <f>IF(IFERROR(MATCH(Tabelle11[[#Headers],[Jens_N]],Spielauswertung!$B619:$E619,0),0)=0,V630,INDEX(Spielauswertung!$AB619:$AE619,MATCH(Tabelle11[[#Headers],[Jens_N]],Spielauswertung!$B619:$E619,0))+V630)</f>
        <v>99.643534710196832</v>
      </c>
      <c r="W631" s="1">
        <f>IF(IFERROR(MATCH(Tabelle11[[#Headers],[Johannes_S]],Spielauswertung!$B619:$E619,0),0)=0,W630,INDEX(Spielauswertung!$AB619:$AE619,MATCH(Tabelle11[[#Headers],[Johannes_S]],Spielauswertung!$B619:$E619,0))+W630)</f>
        <v>102.20284750979505</v>
      </c>
      <c r="X631" s="1">
        <f>IF(IFERROR(MATCH(Tabelle11[[#Headers],[Jonathan_F]],Spielauswertung!$B619:$E619,0),0)=0,X630,INDEX(Spielauswertung!$AB619:$AE619,MATCH(Tabelle11[[#Headers],[Jonathan_F]],Spielauswertung!$B619:$E619,0))+X630)</f>
        <v>98.938308797866256</v>
      </c>
      <c r="Y631" s="1">
        <f>IF(IFERROR(MATCH(Tabelle11[[#Headers],[Julius_P]],Spielauswertung!$B619:$E619,0),0)=0,Y630,INDEX(Spielauswertung!$AB619:$AE619,MATCH(Tabelle11[[#Headers],[Julius_P]],Spielauswertung!$B619:$E619,0))+Y630)</f>
        <v>96.540305101873642</v>
      </c>
      <c r="Z631" s="1">
        <f>IF(IFERROR(MATCH(Tabelle11[[#Headers],[Louis_W]],Spielauswertung!$B619:$E619,0),0)=0,Z630,INDEX(Spielauswertung!$AB619:$AE619,MATCH(Tabelle11[[#Headers],[Louis_W]],Spielauswertung!$B619:$E619,0))+Z630)</f>
        <v>87.497452285475362</v>
      </c>
      <c r="AA631" s="1">
        <f>IF(IFERROR(MATCH(Tabelle11[[#Headers],[Lukas_L]],Spielauswertung!$B619:$E619,0),0)=0,AA630,INDEX(Spielauswertung!$AB619:$AE619,MATCH(Tabelle11[[#Headers],[Lukas_L]],Spielauswertung!$B619:$E619,0))+AA630)</f>
        <v>98.447931341404143</v>
      </c>
      <c r="AB631" s="1">
        <f>IF(IFERROR(MATCH(Tabelle11[[#Headers],[Marcin_S]],Spielauswertung!$B619:$E619,0),0)=0,AB630,INDEX(Spielauswertung!$AB619:$AE619,MATCH(Tabelle11[[#Headers],[Marcin_S]],Spielauswertung!$B619:$E619,0))+AB630)</f>
        <v>85.463329105556824</v>
      </c>
      <c r="AC631" s="1">
        <f>IF(IFERROR(MATCH(Tabelle11[[#Headers],[Marco_K]],Spielauswertung!$B619:$E619,0),0)=0,AC630,INDEX(Spielauswertung!$AB619:$AE619,MATCH(Tabelle11[[#Headers],[Marco_K]],Spielauswertung!$B619:$E619,0))+AC630)</f>
        <v>102.12169819441469</v>
      </c>
      <c r="AD631" s="1">
        <f>IF(IFERROR(MATCH(Tabelle11[[#Headers],[Marius_M]],Spielauswertung!$B619:$E619,0),0)=0,AD630,INDEX(Spielauswertung!$AB619:$AE619,MATCH(Tabelle11[[#Headers],[Marius_M]],Spielauswertung!$B619:$E619,0))+AD630)</f>
        <v>124.54012374585781</v>
      </c>
      <c r="AE631" s="1">
        <f>IF(IFERROR(MATCH(Tabelle11[[#Headers],[Marvin_W]],Spielauswertung!$B619:$E619,0),0)=0,AE630,INDEX(Spielauswertung!$AB619:$AE619,MATCH(Tabelle11[[#Headers],[Marvin_W]],Spielauswertung!$B619:$E619,0))+AE630)</f>
        <v>96.700266280577438</v>
      </c>
      <c r="AF631" s="1">
        <f>IF(IFERROR(MATCH(Tabelle11[[#Headers],[Matthias_H]],Spielauswertung!$B619:$E619,0),0)=0,AF630,INDEX(Spielauswertung!$AB619:$AE619,MATCH(Tabelle11[[#Headers],[Matthias_H]],Spielauswertung!$B619:$E619,0))+AF630)</f>
        <v>105.42130178599372</v>
      </c>
      <c r="AG631" s="1">
        <f>IF(IFERROR(MATCH(Tabelle11[[#Headers],[Michael_D]],Spielauswertung!$B619:$E619,0),0)=0,AG630,INDEX(Spielauswertung!$AB619:$AE619,MATCH(Tabelle11[[#Headers],[Michael_D]],Spielauswertung!$B619:$E619,0))+AG630)</f>
        <v>96.436276170375336</v>
      </c>
      <c r="AH631" s="1">
        <f>IF(IFERROR(MATCH(Tabelle11[[#Headers],[Patrick_S]],Spielauswertung!$B619:$E619,0),0)=0,AH630,INDEX(Spielauswertung!$AB619:$AE619,MATCH(Tabelle11[[#Headers],[Patrick_S]],Spielauswertung!$B619:$E619,0))+AH630)</f>
        <v>98.975330692053802</v>
      </c>
      <c r="AI631" s="1">
        <f>IF(IFERROR(MATCH(Tabelle11[[#Headers],[Rano_M]],Spielauswertung!$B619:$E619,0),0)=0,AI630,INDEX(Spielauswertung!$AB619:$AE619,MATCH(Tabelle11[[#Headers],[Rano_M]],Spielauswertung!$B619:$E619,0))+AI630)</f>
        <v>109.38890657420265</v>
      </c>
      <c r="AJ631" s="1">
        <f>IF(IFERROR(MATCH(Tabelle11[[#Headers],[Rene_N]],Spielauswertung!$B619:$E619,0),0)=0,AJ630,INDEX(Spielauswertung!$AB619:$AE619,MATCH(Tabelle11[[#Headers],[Rene_N]],Spielauswertung!$B619:$E619,0))+AJ630)</f>
        <v>101.06482124619033</v>
      </c>
      <c r="AK631" s="1">
        <f>IF(IFERROR(MATCH(Tabelle11[[#Headers],[Rene_P]],Spielauswertung!$B619:$E619,0),0)=0,AK630,INDEX(Spielauswertung!$AB619:$AE619,MATCH(Tabelle11[[#Headers],[Rene_P]],Spielauswertung!$B619:$E619,0))+AK630)</f>
        <v>88.762543186332877</v>
      </c>
      <c r="AL631" s="1">
        <f>IF(IFERROR(MATCH(Tabelle11[[#Headers],[Richard_D]],Spielauswertung!$B619:$E619,0),0)=0,AL630,INDEX(Spielauswertung!$AB619:$AE619,MATCH(Tabelle11[[#Headers],[Richard_D]],Spielauswertung!$B619:$E619,0))+AL630)</f>
        <v>107.23233592026223</v>
      </c>
      <c r="AM631" s="1">
        <f>IF(IFERROR(MATCH(Tabelle11[[#Headers],[Rodrigo_R]],Spielauswertung!$B619:$E619,0),0)=0,AM630,INDEX(Spielauswertung!$AB619:$AE619,MATCH(Tabelle11[[#Headers],[Rodrigo_R]],Spielauswertung!$B619:$E619,0))+AM630)</f>
        <v>116.7028707921346</v>
      </c>
      <c r="AN631" s="1">
        <f>IF(IFERROR(MATCH(Tabelle11[[#Headers],[Sebastian_A]],Spielauswertung!$B619:$E619,0),0)=0,AN630,INDEX(Spielauswertung!$AB619:$AE619,MATCH(Tabelle11[[#Headers],[Sebastian_A]],Spielauswertung!$B619:$E619,0))+AN630)</f>
        <v>102.89457418671324</v>
      </c>
      <c r="AO631" s="1">
        <f>IF(IFERROR(MATCH(Tabelle11[[#Headers],[Sebastian_St]],Spielauswertung!$B619:$E619,0),0)=0,AO630,INDEX(Spielauswertung!$AB619:$AE619,MATCH(Tabelle11[[#Headers],[Sebastian_St]],Spielauswertung!$B619:$E619,0))+AO630)</f>
        <v>97.749574367408982</v>
      </c>
      <c r="AP631" s="1">
        <f>IF(IFERROR(MATCH(Tabelle11[[#Headers],[Simon_U]],Spielauswertung!$B619:$E619,0),0)=0,AP630,INDEX(Spielauswertung!$AB619:$AE619,MATCH(Tabelle11[[#Headers],[Simon_U]],Spielauswertung!$B619:$E619,0))+AP630)</f>
        <v>99.623054841470903</v>
      </c>
      <c r="AQ631" s="1">
        <f>IF(IFERROR(MATCH(Tabelle11[[#Headers],[Steffen_R]],Spielauswertung!$B619:$E619,0),0)=0,AQ630,INDEX(Spielauswertung!$AB619:$AE619,MATCH(Tabelle11[[#Headers],[Steffen_R]],Spielauswertung!$B619:$E619,0))+AQ630)</f>
        <v>93.247497067190949</v>
      </c>
      <c r="AR631" s="1">
        <f>IF(IFERROR(MATCH(Tabelle11[[#Headers],[Tim_R]],Spielauswertung!$B619:$E619,0),0)=0,AR630,INDEX(Spielauswertung!$AB619:$AE619,MATCH(Tabelle11[[#Headers],[Tim_R]],Spielauswertung!$B619:$E619,0))+AR630)</f>
        <v>103.07503787023374</v>
      </c>
      <c r="AS631" s="1">
        <f>IF(IFERROR(MATCH(Tabelle11[[#Headers],[Tobias_S]],Spielauswertung!$B619:$E619,0),0)=0,AS630,INDEX(Spielauswertung!$AB619:$AE619,MATCH(Tabelle11[[#Headers],[Tobias_S]],Spielauswertung!$B619:$E619,0))+AS630)</f>
        <v>98.6003422659997</v>
      </c>
      <c r="AT631" s="1">
        <f>IF(IFERROR(MATCH(Tabelle11[[#Headers],[Tom_R]],Spielauswertung!$B619:$E619,0),0)=0,AT630,INDEX(Spielauswertung!$AB619:$AE619,MATCH(Tabelle11[[#Headers],[Tom_R]],Spielauswertung!$B619:$E619,0))+AT630)</f>
        <v>112.62344492949197</v>
      </c>
      <c r="AU631" s="1">
        <f>IF(IFERROR(MATCH(Tabelle11[[#Headers],[Ton_L]],Spielauswertung!$B619:$E619,0),0)=0,AU630,INDEX(Spielauswertung!$AB619:$AE619,MATCH(Tabelle11[[#Headers],[Ton_L]],Spielauswertung!$B619:$E619,0))+AU630)</f>
        <v>92.683083360025861</v>
      </c>
      <c r="AV631" s="1">
        <f>IF(IFERROR(MATCH(Tabelle11[[#Headers],[Yixin_G]],Spielauswertung!$B619:$E619,0),0)=0,AV630,INDEX(Spielauswertung!$AB619:$AE619,MATCH(Tabelle11[[#Headers],[Yixin_G]],Spielauswertung!$B619:$E619,0))+AV630)</f>
        <v>99.900323214082661</v>
      </c>
      <c r="AW631" s="1">
        <f>IF(IFERROR(MATCH(Tabelle11[[#Headers],[Spalte36]],Spielauswertung!$B619:$E619,0),0)=0,AW630,INDEX(Spielauswertung!$AB619:$AE619,MATCH(Tabelle11[[#Headers],[Spalte36]],Spielauswertung!$B619:$E619,0))+AW630)</f>
        <v>100</v>
      </c>
      <c r="AX631" s="1">
        <f>IF(IFERROR(MATCH(Tabelle11[[#Headers],[Spalte37]],Spielauswertung!$B619:$E619,0),0)=0,AX630,INDEX(Spielauswertung!$AB619:$AE619,MATCH(Tabelle11[[#Headers],[Spalte37]],Spielauswertung!$B619:$E619,0))+AX630)</f>
        <v>100</v>
      </c>
      <c r="AY631" s="1">
        <f>IF(IFERROR(MATCH(Tabelle11[[#Headers],[Spalte38]],Spielauswertung!$B619:$E619,0),0)=0,AY630,INDEX(Spielauswertung!$AB619:$AE619,MATCH(Tabelle11[[#Headers],[Spalte38]],Spielauswertung!$B619:$E619,0))+AY630)</f>
        <v>100</v>
      </c>
      <c r="AZ631" s="1">
        <f>IF(IFERROR(MATCH(Tabelle11[[#Headers],[Spalte39]],Spielauswertung!$B619:$E619,0),0)=0,AZ630,INDEX(Spielauswertung!$AB619:$AE619,MATCH(Tabelle11[[#Headers],[Spalte39]],Spielauswertung!$B619:$E619,0))+AZ630)</f>
        <v>100</v>
      </c>
      <c r="BA631" s="1">
        <f>IF(IFERROR(MATCH(Tabelle11[[#Headers],[Spalte40]],Spielauswertung!$B619:$E619,0),0)=0,BA630,INDEX(Spielauswertung!$AB619:$AE619,MATCH(Tabelle11[[#Headers],[Spalte40]],Spielauswertung!$B619:$E619,0))+BA630)</f>
        <v>100</v>
      </c>
      <c r="BB631" s="1">
        <f>IF(IFERROR(MATCH(Tabelle11[[#Headers],[Spalte41]],Spielauswertung!$B619:$E619,0),0)=0,BB630,INDEX(Spielauswertung!$AB619:$AE619,MATCH(Tabelle11[[#Headers],[Spalte41]],Spielauswertung!$B619:$E619,0))+BB630)</f>
        <v>100</v>
      </c>
      <c r="BC631" s="1">
        <f>IF(IFERROR(MATCH(Tabelle11[[#Headers],[Spalte42]],Spielauswertung!$B619:$E619,0),0)=0,BC630,INDEX(Spielauswertung!$AB619:$AE619,MATCH(Tabelle11[[#Headers],[Spalte42]],Spielauswertung!$B619:$E619,0))+BC630)</f>
        <v>100</v>
      </c>
      <c r="BD631" s="1">
        <f>IF(IFERROR(MATCH(Tabelle11[[#Headers],[Spalte43]],Spielauswertung!$B619:$E619,0),0)=0,BD630,INDEX(Spielauswertung!$AB619:$AE619,MATCH(Tabelle11[[#Headers],[Spalte43]],Spielauswertung!$B619:$E619,0))+BD630)</f>
        <v>100</v>
      </c>
      <c r="BE631" s="1">
        <f>IF(IFERROR(MATCH(Tabelle11[[#Headers],[Spalte44]],Spielauswertung!$B619:$E619,0),0)=0,BE630,INDEX(Spielauswertung!$AB619:$AE619,MATCH(Tabelle11[[#Headers],[Spalte44]],Spielauswertung!$B619:$E619,0))+BE630)</f>
        <v>100</v>
      </c>
      <c r="BF631" s="1">
        <f>IF(IFERROR(MATCH(Tabelle11[[#Headers],[Spalte45]],Spielauswertung!$B619:$E619,0),0)=0,BF630,INDEX(Spielauswertung!$AB619:$AE619,MATCH(Tabelle11[[#Headers],[Spalte45]],Spielauswertung!$B619:$E619,0))+BF630)</f>
        <v>100</v>
      </c>
      <c r="BG631" s="1">
        <f>IF(IFERROR(MATCH(Tabelle11[[#Headers],[Spalte46]],Spielauswertung!$B619:$E619,0),0)=0,BG630,INDEX(Spielauswertung!$AB619:$AE619,MATCH(Tabelle11[[#Headers],[Spalte46]],Spielauswertung!$B619:$E619,0))+BG630)</f>
        <v>100</v>
      </c>
      <c r="BH631" s="1">
        <f>IF(IFERROR(MATCH(Tabelle11[[#Headers],[Spalte47]],Spielauswertung!$B619:$E619,0),0)=0,BH630,INDEX(Spielauswertung!$AB619:$AE619,MATCH(Tabelle11[[#Headers],[Spalte47]],Spielauswertung!$B619:$E619,0))+BH630)</f>
        <v>100</v>
      </c>
    </row>
    <row r="632" spans="1:60" x14ac:dyDescent="0.25">
      <c r="A632">
        <f t="shared" si="10"/>
        <v>619</v>
      </c>
      <c r="B632" s="1">
        <f>IF(IFERROR(MATCH(Tabelle11[[#Headers],[Aleix_V]],Spielauswertung!$B620:$E620,0),0)=0,B631,INDEX(Spielauswertung!$AB620:$AE620,MATCH(Tabelle11[[#Headers],[Aleix_V]],Spielauswertung!$B620:$E620,0))+B631)</f>
        <v>102.47318019444646</v>
      </c>
      <c r="C632" s="1">
        <f>IF(IFERROR(MATCH(Tabelle11[[#Headers],[Andres_H]],Spielauswertung!$B620:$E620,0),0)=0,C631,INDEX(Spielauswertung!$AB620:$AE620,MATCH(Tabelle11[[#Headers],[Andres_H]],Spielauswertung!$B620:$E620,0))+C631)</f>
        <v>95.535732339111306</v>
      </c>
      <c r="D632" s="1">
        <f>IF(IFERROR(MATCH(Tabelle11[[#Headers],[Anton_K]],Spielauswertung!$B620:$E620,0),0)=0,D631,INDEX(Spielauswertung!$AB620:$AE620,MATCH(Tabelle11[[#Headers],[Anton_K]],Spielauswertung!$B620:$E620,0))+D631)</f>
        <v>99.287728777054667</v>
      </c>
      <c r="E632" s="1">
        <f>IF(IFERROR(MATCH(Tabelle11[[#Headers],[Bastian_G]],Spielauswertung!$B620:$E620,0),0)=0,E631,INDEX(Spielauswertung!$AB620:$AE620,MATCH(Tabelle11[[#Headers],[Bastian_G]],Spielauswertung!$B620:$E620,0))+E631)</f>
        <v>117.49978695184252</v>
      </c>
      <c r="F632" s="1">
        <f>IF(IFERROR(MATCH(Tabelle11[[#Headers],[Ben_S]],Spielauswertung!$B620:$E620,0),0)=0,F631,INDEX(Spielauswertung!$AB620:$AE620,MATCH(Tabelle11[[#Headers],[Ben_S]],Spielauswertung!$B620:$E620,0))+F631)</f>
        <v>95.932799101521084</v>
      </c>
      <c r="G632" s="1">
        <f>IF(IFERROR(MATCH(Tabelle11[[#Headers],[Benedikt_K]],Spielauswertung!$B620:$E620,0),0)=0,G631,INDEX(Spielauswertung!$AB620:$AE620,MATCH(Tabelle11[[#Headers],[Benedikt_K]],Spielauswertung!$B620:$E620,0))+G631)</f>
        <v>101.20264176422626</v>
      </c>
      <c r="H632" s="1">
        <f>IF(IFERROR(MATCH(Tabelle11[[#Headers],[Benedikt_R]],Spielauswertung!$B620:$E620,0),0)=0,H631,INDEX(Spielauswertung!$AB620:$AE620,MATCH(Tabelle11[[#Headers],[Benedikt_R]],Spielauswertung!$B620:$E620,0))+H631)</f>
        <v>102.6264770510757</v>
      </c>
      <c r="I632" s="1">
        <f>IF(IFERROR(MATCH(Tabelle11[[#Headers],[Carsten_H]],Spielauswertung!$B620:$E620,0),0)=0,I631,INDEX(Spielauswertung!$AB620:$AE620,MATCH(Tabelle11[[#Headers],[Carsten_H]],Spielauswertung!$B620:$E620,0))+I631)</f>
        <v>90.817185094326874</v>
      </c>
      <c r="J632" s="1">
        <f>IF(IFERROR(MATCH(Tabelle11[[#Headers],[Christoph_R]],Spielauswertung!$B620:$E620,0),0)=0,J631,INDEX(Spielauswertung!$AB620:$AE620,MATCH(Tabelle11[[#Headers],[Christoph_R]],Spielauswertung!$B620:$E620,0))+J631)</f>
        <v>109.73261611443155</v>
      </c>
      <c r="K632" s="1">
        <f>IF(IFERROR(MATCH(Tabelle11[[#Headers],[Claudius_J]],Spielauswertung!$B620:$E620,0),0)=0,K631,INDEX(Spielauswertung!$AB620:$AE620,MATCH(Tabelle11[[#Headers],[Claudius_J]],Spielauswertung!$B620:$E620,0))+K631)</f>
        <v>106.16590636000029</v>
      </c>
      <c r="L632" s="1">
        <f>IF(IFERROR(MATCH(Tabelle11[[#Headers],[Daniel_D]],Spielauswertung!$B620:$E620,0),0)=0,L631,INDEX(Spielauswertung!$AB620:$AE620,MATCH(Tabelle11[[#Headers],[Daniel_D]],Spielauswertung!$B620:$E620,0))+L631)</f>
        <v>99.990299180470089</v>
      </c>
      <c r="M632" s="1">
        <f>IF(IFERROR(MATCH(Tabelle11[[#Headers],[David_R]],Spielauswertung!$B620:$E620,0),0)=0,M631,INDEX(Spielauswertung!$AB620:$AE620,MATCH(Tabelle11[[#Headers],[David_R]],Spielauswertung!$B620:$E620,0))+M631)</f>
        <v>96.715943522481638</v>
      </c>
      <c r="N632" s="1">
        <f>IF(IFERROR(MATCH(Tabelle11[[#Headers],[Dennis_P]],Spielauswertung!$B620:$E620,0),0)=0,N631,INDEX(Spielauswertung!$AB620:$AE620,MATCH(Tabelle11[[#Headers],[Dennis_P]],Spielauswertung!$B620:$E620,0))+N631)</f>
        <v>100.04773223105254</v>
      </c>
      <c r="O632" s="1">
        <f>IF(IFERROR(MATCH(Tabelle11[[#Headers],[Dennis_R]],Spielauswertung!$B620:$E620,0),0)=0,O631,INDEX(Spielauswertung!$AB620:$AE620,MATCH(Tabelle11[[#Headers],[Dennis_R]],Spielauswertung!$B620:$E620,0))+O631)</f>
        <v>75.131680864937195</v>
      </c>
      <c r="P632" s="1">
        <f>IF(IFERROR(MATCH(Tabelle11[[#Headers],[Detlef_R]],Spielauswertung!$B620:$E620,0),0)=0,P631,INDEX(Spielauswertung!$AB620:$AE620,MATCH(Tabelle11[[#Headers],[Detlef_R]],Spielauswertung!$B620:$E620,0))+P631)</f>
        <v>87.984671797367014</v>
      </c>
      <c r="Q632" s="1">
        <f>IF(IFERROR(MATCH(Tabelle11[[#Headers],[Dmitrij_M]],Spielauswertung!$B620:$E620,0),0)=0,Q631,INDEX(Spielauswertung!$AB620:$AE620,MATCH(Tabelle11[[#Headers],[Dmitrij_M]],Spielauswertung!$B620:$E620,0))+Q631)</f>
        <v>100.69975721846207</v>
      </c>
      <c r="R632" s="1">
        <f>IF(IFERROR(MATCH(Tabelle11[[#Headers],[Fabian_M]],Spielauswertung!$B620:$E620,0),0)=0,R631,INDEX(Spielauswertung!$AB620:$AE620,MATCH(Tabelle11[[#Headers],[Fabian_M]],Spielauswertung!$B620:$E620,0))+R631)</f>
        <v>95.805387841610738</v>
      </c>
      <c r="S632" s="1">
        <f>IF(IFERROR(MATCH(Tabelle11[[#Headers],[Hannes_S]],Spielauswertung!$B620:$E620,0),0)=0,S631,INDEX(Spielauswertung!$AB620:$AE620,MATCH(Tabelle11[[#Headers],[Hannes_S]],Spielauswertung!$B620:$E620,0))+S631)</f>
        <v>104.83899184012799</v>
      </c>
      <c r="T632" s="1">
        <f>IF(IFERROR(MATCH(Tabelle11[[#Headers],[Jan_B]],Spielauswertung!$B620:$E620,0),0)=0,T631,INDEX(Spielauswertung!$AB620:$AE620,MATCH(Tabelle11[[#Headers],[Jan_B]],Spielauswertung!$B620:$E620,0))+T631)</f>
        <v>100.2794420429173</v>
      </c>
      <c r="U632" s="1">
        <f>IF(IFERROR(MATCH(Tabelle11[[#Headers],[Jan_Hendrik_B]],Spielauswertung!$B620:$E620,0),0)=0,U631,INDEX(Spielauswertung!$AB620:$AE620,MATCH(Tabelle11[[#Headers],[Jan_Hendrik_B]],Spielauswertung!$B620:$E620,0))+U631)</f>
        <v>100.75492416935522</v>
      </c>
      <c r="V632" s="1">
        <f>IF(IFERROR(MATCH(Tabelle11[[#Headers],[Jens_N]],Spielauswertung!$B620:$E620,0),0)=0,V631,INDEX(Spielauswertung!$AB620:$AE620,MATCH(Tabelle11[[#Headers],[Jens_N]],Spielauswertung!$B620:$E620,0))+V631)</f>
        <v>99.643534710196832</v>
      </c>
      <c r="W632" s="1">
        <f>IF(IFERROR(MATCH(Tabelle11[[#Headers],[Johannes_S]],Spielauswertung!$B620:$E620,0),0)=0,W631,INDEX(Spielauswertung!$AB620:$AE620,MATCH(Tabelle11[[#Headers],[Johannes_S]],Spielauswertung!$B620:$E620,0))+W631)</f>
        <v>102.20284750979505</v>
      </c>
      <c r="X632" s="1">
        <f>IF(IFERROR(MATCH(Tabelle11[[#Headers],[Jonathan_F]],Spielauswertung!$B620:$E620,0),0)=0,X631,INDEX(Spielauswertung!$AB620:$AE620,MATCH(Tabelle11[[#Headers],[Jonathan_F]],Spielauswertung!$B620:$E620,0))+X631)</f>
        <v>98.938308797866256</v>
      </c>
      <c r="Y632" s="1">
        <f>IF(IFERROR(MATCH(Tabelle11[[#Headers],[Julius_P]],Spielauswertung!$B620:$E620,0),0)=0,Y631,INDEX(Spielauswertung!$AB620:$AE620,MATCH(Tabelle11[[#Headers],[Julius_P]],Spielauswertung!$B620:$E620,0))+Y631)</f>
        <v>96.540305101873642</v>
      </c>
      <c r="Z632" s="1">
        <f>IF(IFERROR(MATCH(Tabelle11[[#Headers],[Louis_W]],Spielauswertung!$B620:$E620,0),0)=0,Z631,INDEX(Spielauswertung!$AB620:$AE620,MATCH(Tabelle11[[#Headers],[Louis_W]],Spielauswertung!$B620:$E620,0))+Z631)</f>
        <v>87.497452285475362</v>
      </c>
      <c r="AA632" s="1">
        <f>IF(IFERROR(MATCH(Tabelle11[[#Headers],[Lukas_L]],Spielauswertung!$B620:$E620,0),0)=0,AA631,INDEX(Spielauswertung!$AB620:$AE620,MATCH(Tabelle11[[#Headers],[Lukas_L]],Spielauswertung!$B620:$E620,0))+AA631)</f>
        <v>98.447931341404143</v>
      </c>
      <c r="AB632" s="1">
        <f>IF(IFERROR(MATCH(Tabelle11[[#Headers],[Marcin_S]],Spielauswertung!$B620:$E620,0),0)=0,AB631,INDEX(Spielauswertung!$AB620:$AE620,MATCH(Tabelle11[[#Headers],[Marcin_S]],Spielauswertung!$B620:$E620,0))+AB631)</f>
        <v>85.463329105556824</v>
      </c>
      <c r="AC632" s="1">
        <f>IF(IFERROR(MATCH(Tabelle11[[#Headers],[Marco_K]],Spielauswertung!$B620:$E620,0),0)=0,AC631,INDEX(Spielauswertung!$AB620:$AE620,MATCH(Tabelle11[[#Headers],[Marco_K]],Spielauswertung!$B620:$E620,0))+AC631)</f>
        <v>102.12169819441469</v>
      </c>
      <c r="AD632" s="1">
        <f>IF(IFERROR(MATCH(Tabelle11[[#Headers],[Marius_M]],Spielauswertung!$B620:$E620,0),0)=0,AD631,INDEX(Spielauswertung!$AB620:$AE620,MATCH(Tabelle11[[#Headers],[Marius_M]],Spielauswertung!$B620:$E620,0))+AD631)</f>
        <v>124.54012374585781</v>
      </c>
      <c r="AE632" s="1">
        <f>IF(IFERROR(MATCH(Tabelle11[[#Headers],[Marvin_W]],Spielauswertung!$B620:$E620,0),0)=0,AE631,INDEX(Spielauswertung!$AB620:$AE620,MATCH(Tabelle11[[#Headers],[Marvin_W]],Spielauswertung!$B620:$E620,0))+AE631)</f>
        <v>96.700266280577438</v>
      </c>
      <c r="AF632" s="1">
        <f>IF(IFERROR(MATCH(Tabelle11[[#Headers],[Matthias_H]],Spielauswertung!$B620:$E620,0),0)=0,AF631,INDEX(Spielauswertung!$AB620:$AE620,MATCH(Tabelle11[[#Headers],[Matthias_H]],Spielauswertung!$B620:$E620,0))+AF631)</f>
        <v>105.42130178599372</v>
      </c>
      <c r="AG632" s="1">
        <f>IF(IFERROR(MATCH(Tabelle11[[#Headers],[Michael_D]],Spielauswertung!$B620:$E620,0),0)=0,AG631,INDEX(Spielauswertung!$AB620:$AE620,MATCH(Tabelle11[[#Headers],[Michael_D]],Spielauswertung!$B620:$E620,0))+AG631)</f>
        <v>96.436276170375336</v>
      </c>
      <c r="AH632" s="1">
        <f>IF(IFERROR(MATCH(Tabelle11[[#Headers],[Patrick_S]],Spielauswertung!$B620:$E620,0),0)=0,AH631,INDEX(Spielauswertung!$AB620:$AE620,MATCH(Tabelle11[[#Headers],[Patrick_S]],Spielauswertung!$B620:$E620,0))+AH631)</f>
        <v>98.975330692053802</v>
      </c>
      <c r="AI632" s="1">
        <f>IF(IFERROR(MATCH(Tabelle11[[#Headers],[Rano_M]],Spielauswertung!$B620:$E620,0),0)=0,AI631,INDEX(Spielauswertung!$AB620:$AE620,MATCH(Tabelle11[[#Headers],[Rano_M]],Spielauswertung!$B620:$E620,0))+AI631)</f>
        <v>109.38890657420265</v>
      </c>
      <c r="AJ632" s="1">
        <f>IF(IFERROR(MATCH(Tabelle11[[#Headers],[Rene_N]],Spielauswertung!$B620:$E620,0),0)=0,AJ631,INDEX(Spielauswertung!$AB620:$AE620,MATCH(Tabelle11[[#Headers],[Rene_N]],Spielauswertung!$B620:$E620,0))+AJ631)</f>
        <v>101.06482124619033</v>
      </c>
      <c r="AK632" s="1">
        <f>IF(IFERROR(MATCH(Tabelle11[[#Headers],[Rene_P]],Spielauswertung!$B620:$E620,0),0)=0,AK631,INDEX(Spielauswertung!$AB620:$AE620,MATCH(Tabelle11[[#Headers],[Rene_P]],Spielauswertung!$B620:$E620,0))+AK631)</f>
        <v>88.762543186332877</v>
      </c>
      <c r="AL632" s="1">
        <f>IF(IFERROR(MATCH(Tabelle11[[#Headers],[Richard_D]],Spielauswertung!$B620:$E620,0),0)=0,AL631,INDEX(Spielauswertung!$AB620:$AE620,MATCH(Tabelle11[[#Headers],[Richard_D]],Spielauswertung!$B620:$E620,0))+AL631)</f>
        <v>107.23233592026223</v>
      </c>
      <c r="AM632" s="1">
        <f>IF(IFERROR(MATCH(Tabelle11[[#Headers],[Rodrigo_R]],Spielauswertung!$B620:$E620,0),0)=0,AM631,INDEX(Spielauswertung!$AB620:$AE620,MATCH(Tabelle11[[#Headers],[Rodrigo_R]],Spielauswertung!$B620:$E620,0))+AM631)</f>
        <v>116.7028707921346</v>
      </c>
      <c r="AN632" s="1">
        <f>IF(IFERROR(MATCH(Tabelle11[[#Headers],[Sebastian_A]],Spielauswertung!$B620:$E620,0),0)=0,AN631,INDEX(Spielauswertung!$AB620:$AE620,MATCH(Tabelle11[[#Headers],[Sebastian_A]],Spielauswertung!$B620:$E620,0))+AN631)</f>
        <v>102.89457418671324</v>
      </c>
      <c r="AO632" s="1">
        <f>IF(IFERROR(MATCH(Tabelle11[[#Headers],[Sebastian_St]],Spielauswertung!$B620:$E620,0),0)=0,AO631,INDEX(Spielauswertung!$AB620:$AE620,MATCH(Tabelle11[[#Headers],[Sebastian_St]],Spielauswertung!$B620:$E620,0))+AO631)</f>
        <v>97.749574367408982</v>
      </c>
      <c r="AP632" s="1">
        <f>IF(IFERROR(MATCH(Tabelle11[[#Headers],[Simon_U]],Spielauswertung!$B620:$E620,0),0)=0,AP631,INDEX(Spielauswertung!$AB620:$AE620,MATCH(Tabelle11[[#Headers],[Simon_U]],Spielauswertung!$B620:$E620,0))+AP631)</f>
        <v>99.623054841470903</v>
      </c>
      <c r="AQ632" s="1">
        <f>IF(IFERROR(MATCH(Tabelle11[[#Headers],[Steffen_R]],Spielauswertung!$B620:$E620,0),0)=0,AQ631,INDEX(Spielauswertung!$AB620:$AE620,MATCH(Tabelle11[[#Headers],[Steffen_R]],Spielauswertung!$B620:$E620,0))+AQ631)</f>
        <v>93.247497067190949</v>
      </c>
      <c r="AR632" s="1">
        <f>IF(IFERROR(MATCH(Tabelle11[[#Headers],[Tim_R]],Spielauswertung!$B620:$E620,0),0)=0,AR631,INDEX(Spielauswertung!$AB620:$AE620,MATCH(Tabelle11[[#Headers],[Tim_R]],Spielauswertung!$B620:$E620,0))+AR631)</f>
        <v>103.07503787023374</v>
      </c>
      <c r="AS632" s="1">
        <f>IF(IFERROR(MATCH(Tabelle11[[#Headers],[Tobias_S]],Spielauswertung!$B620:$E620,0),0)=0,AS631,INDEX(Spielauswertung!$AB620:$AE620,MATCH(Tabelle11[[#Headers],[Tobias_S]],Spielauswertung!$B620:$E620,0))+AS631)</f>
        <v>98.6003422659997</v>
      </c>
      <c r="AT632" s="1">
        <f>IF(IFERROR(MATCH(Tabelle11[[#Headers],[Tom_R]],Spielauswertung!$B620:$E620,0),0)=0,AT631,INDEX(Spielauswertung!$AB620:$AE620,MATCH(Tabelle11[[#Headers],[Tom_R]],Spielauswertung!$B620:$E620,0))+AT631)</f>
        <v>112.62344492949197</v>
      </c>
      <c r="AU632" s="1">
        <f>IF(IFERROR(MATCH(Tabelle11[[#Headers],[Ton_L]],Spielauswertung!$B620:$E620,0),0)=0,AU631,INDEX(Spielauswertung!$AB620:$AE620,MATCH(Tabelle11[[#Headers],[Ton_L]],Spielauswertung!$B620:$E620,0))+AU631)</f>
        <v>92.683083360025861</v>
      </c>
      <c r="AV632" s="1">
        <f>IF(IFERROR(MATCH(Tabelle11[[#Headers],[Yixin_G]],Spielauswertung!$B620:$E620,0),0)=0,AV631,INDEX(Spielauswertung!$AB620:$AE620,MATCH(Tabelle11[[#Headers],[Yixin_G]],Spielauswertung!$B620:$E620,0))+AV631)</f>
        <v>99.900323214082661</v>
      </c>
      <c r="AW632" s="1">
        <f>IF(IFERROR(MATCH(Tabelle11[[#Headers],[Spalte36]],Spielauswertung!$B620:$E620,0),0)=0,AW631,INDEX(Spielauswertung!$AB620:$AE620,MATCH(Tabelle11[[#Headers],[Spalte36]],Spielauswertung!$B620:$E620,0))+AW631)</f>
        <v>100</v>
      </c>
      <c r="AX632" s="1">
        <f>IF(IFERROR(MATCH(Tabelle11[[#Headers],[Spalte37]],Spielauswertung!$B620:$E620,0),0)=0,AX631,INDEX(Spielauswertung!$AB620:$AE620,MATCH(Tabelle11[[#Headers],[Spalte37]],Spielauswertung!$B620:$E620,0))+AX631)</f>
        <v>100</v>
      </c>
      <c r="AY632" s="1">
        <f>IF(IFERROR(MATCH(Tabelle11[[#Headers],[Spalte38]],Spielauswertung!$B620:$E620,0),0)=0,AY631,INDEX(Spielauswertung!$AB620:$AE620,MATCH(Tabelle11[[#Headers],[Spalte38]],Spielauswertung!$B620:$E620,0))+AY631)</f>
        <v>100</v>
      </c>
      <c r="AZ632" s="1">
        <f>IF(IFERROR(MATCH(Tabelle11[[#Headers],[Spalte39]],Spielauswertung!$B620:$E620,0),0)=0,AZ631,INDEX(Spielauswertung!$AB620:$AE620,MATCH(Tabelle11[[#Headers],[Spalte39]],Spielauswertung!$B620:$E620,0))+AZ631)</f>
        <v>100</v>
      </c>
      <c r="BA632" s="1">
        <f>IF(IFERROR(MATCH(Tabelle11[[#Headers],[Spalte40]],Spielauswertung!$B620:$E620,0),0)=0,BA631,INDEX(Spielauswertung!$AB620:$AE620,MATCH(Tabelle11[[#Headers],[Spalte40]],Spielauswertung!$B620:$E620,0))+BA631)</f>
        <v>100</v>
      </c>
      <c r="BB632" s="1">
        <f>IF(IFERROR(MATCH(Tabelle11[[#Headers],[Spalte41]],Spielauswertung!$B620:$E620,0),0)=0,BB631,INDEX(Spielauswertung!$AB620:$AE620,MATCH(Tabelle11[[#Headers],[Spalte41]],Spielauswertung!$B620:$E620,0))+BB631)</f>
        <v>100</v>
      </c>
      <c r="BC632" s="1">
        <f>IF(IFERROR(MATCH(Tabelle11[[#Headers],[Spalte42]],Spielauswertung!$B620:$E620,0),0)=0,BC631,INDEX(Spielauswertung!$AB620:$AE620,MATCH(Tabelle11[[#Headers],[Spalte42]],Spielauswertung!$B620:$E620,0))+BC631)</f>
        <v>100</v>
      </c>
      <c r="BD632" s="1">
        <f>IF(IFERROR(MATCH(Tabelle11[[#Headers],[Spalte43]],Spielauswertung!$B620:$E620,0),0)=0,BD631,INDEX(Spielauswertung!$AB620:$AE620,MATCH(Tabelle11[[#Headers],[Spalte43]],Spielauswertung!$B620:$E620,0))+BD631)</f>
        <v>100</v>
      </c>
      <c r="BE632" s="1">
        <f>IF(IFERROR(MATCH(Tabelle11[[#Headers],[Spalte44]],Spielauswertung!$B620:$E620,0),0)=0,BE631,INDEX(Spielauswertung!$AB620:$AE620,MATCH(Tabelle11[[#Headers],[Spalte44]],Spielauswertung!$B620:$E620,0))+BE631)</f>
        <v>100</v>
      </c>
      <c r="BF632" s="1">
        <f>IF(IFERROR(MATCH(Tabelle11[[#Headers],[Spalte45]],Spielauswertung!$B620:$E620,0),0)=0,BF631,INDEX(Spielauswertung!$AB620:$AE620,MATCH(Tabelle11[[#Headers],[Spalte45]],Spielauswertung!$B620:$E620,0))+BF631)</f>
        <v>100</v>
      </c>
      <c r="BG632" s="1">
        <f>IF(IFERROR(MATCH(Tabelle11[[#Headers],[Spalte46]],Spielauswertung!$B620:$E620,0),0)=0,BG631,INDEX(Spielauswertung!$AB620:$AE620,MATCH(Tabelle11[[#Headers],[Spalte46]],Spielauswertung!$B620:$E620,0))+BG631)</f>
        <v>100</v>
      </c>
      <c r="BH632" s="1">
        <f>IF(IFERROR(MATCH(Tabelle11[[#Headers],[Spalte47]],Spielauswertung!$B620:$E620,0),0)=0,BH631,INDEX(Spielauswertung!$AB620:$AE620,MATCH(Tabelle11[[#Headers],[Spalte47]],Spielauswertung!$B620:$E620,0))+BH631)</f>
        <v>100</v>
      </c>
    </row>
    <row r="633" spans="1:60" x14ac:dyDescent="0.25">
      <c r="A633">
        <f t="shared" si="10"/>
        <v>620</v>
      </c>
      <c r="B633" s="1">
        <f>IF(IFERROR(MATCH(Tabelle11[[#Headers],[Aleix_V]],Spielauswertung!$B621:$E621,0),0)=0,B632,INDEX(Spielauswertung!$AB621:$AE621,MATCH(Tabelle11[[#Headers],[Aleix_V]],Spielauswertung!$B621:$E621,0))+B632)</f>
        <v>102.47318019444646</v>
      </c>
      <c r="C633" s="1">
        <f>IF(IFERROR(MATCH(Tabelle11[[#Headers],[Andres_H]],Spielauswertung!$B621:$E621,0),0)=0,C632,INDEX(Spielauswertung!$AB621:$AE621,MATCH(Tabelle11[[#Headers],[Andres_H]],Spielauswertung!$B621:$E621,0))+C632)</f>
        <v>95.535732339111306</v>
      </c>
      <c r="D633" s="1">
        <f>IF(IFERROR(MATCH(Tabelle11[[#Headers],[Anton_K]],Spielauswertung!$B621:$E621,0),0)=0,D632,INDEX(Spielauswertung!$AB621:$AE621,MATCH(Tabelle11[[#Headers],[Anton_K]],Spielauswertung!$B621:$E621,0))+D632)</f>
        <v>99.287728777054667</v>
      </c>
      <c r="E633" s="1">
        <f>IF(IFERROR(MATCH(Tabelle11[[#Headers],[Bastian_G]],Spielauswertung!$B621:$E621,0),0)=0,E632,INDEX(Spielauswertung!$AB621:$AE621,MATCH(Tabelle11[[#Headers],[Bastian_G]],Spielauswertung!$B621:$E621,0))+E632)</f>
        <v>117.49978695184252</v>
      </c>
      <c r="F633" s="1">
        <f>IF(IFERROR(MATCH(Tabelle11[[#Headers],[Ben_S]],Spielauswertung!$B621:$E621,0),0)=0,F632,INDEX(Spielauswertung!$AB621:$AE621,MATCH(Tabelle11[[#Headers],[Ben_S]],Spielauswertung!$B621:$E621,0))+F632)</f>
        <v>95.932799101521084</v>
      </c>
      <c r="G633" s="1">
        <f>IF(IFERROR(MATCH(Tabelle11[[#Headers],[Benedikt_K]],Spielauswertung!$B621:$E621,0),0)=0,G632,INDEX(Spielauswertung!$AB621:$AE621,MATCH(Tabelle11[[#Headers],[Benedikt_K]],Spielauswertung!$B621:$E621,0))+G632)</f>
        <v>101.20264176422626</v>
      </c>
      <c r="H633" s="1">
        <f>IF(IFERROR(MATCH(Tabelle11[[#Headers],[Benedikt_R]],Spielauswertung!$B621:$E621,0),0)=0,H632,INDEX(Spielauswertung!$AB621:$AE621,MATCH(Tabelle11[[#Headers],[Benedikt_R]],Spielauswertung!$B621:$E621,0))+H632)</f>
        <v>102.6264770510757</v>
      </c>
      <c r="I633" s="1">
        <f>IF(IFERROR(MATCH(Tabelle11[[#Headers],[Carsten_H]],Spielauswertung!$B621:$E621,0),0)=0,I632,INDEX(Spielauswertung!$AB621:$AE621,MATCH(Tabelle11[[#Headers],[Carsten_H]],Spielauswertung!$B621:$E621,0))+I632)</f>
        <v>90.817185094326874</v>
      </c>
      <c r="J633" s="1">
        <f>IF(IFERROR(MATCH(Tabelle11[[#Headers],[Christoph_R]],Spielauswertung!$B621:$E621,0),0)=0,J632,INDEX(Spielauswertung!$AB621:$AE621,MATCH(Tabelle11[[#Headers],[Christoph_R]],Spielauswertung!$B621:$E621,0))+J632)</f>
        <v>109.73261611443155</v>
      </c>
      <c r="K633" s="1">
        <f>IF(IFERROR(MATCH(Tabelle11[[#Headers],[Claudius_J]],Spielauswertung!$B621:$E621,0),0)=0,K632,INDEX(Spielauswertung!$AB621:$AE621,MATCH(Tabelle11[[#Headers],[Claudius_J]],Spielauswertung!$B621:$E621,0))+K632)</f>
        <v>106.16590636000029</v>
      </c>
      <c r="L633" s="1">
        <f>IF(IFERROR(MATCH(Tabelle11[[#Headers],[Daniel_D]],Spielauswertung!$B621:$E621,0),0)=0,L632,INDEX(Spielauswertung!$AB621:$AE621,MATCH(Tabelle11[[#Headers],[Daniel_D]],Spielauswertung!$B621:$E621,0))+L632)</f>
        <v>99.990299180470089</v>
      </c>
      <c r="M633" s="1">
        <f>IF(IFERROR(MATCH(Tabelle11[[#Headers],[David_R]],Spielauswertung!$B621:$E621,0),0)=0,M632,INDEX(Spielauswertung!$AB621:$AE621,MATCH(Tabelle11[[#Headers],[David_R]],Spielauswertung!$B621:$E621,0))+M632)</f>
        <v>96.715943522481638</v>
      </c>
      <c r="N633" s="1">
        <f>IF(IFERROR(MATCH(Tabelle11[[#Headers],[Dennis_P]],Spielauswertung!$B621:$E621,0),0)=0,N632,INDEX(Spielauswertung!$AB621:$AE621,MATCH(Tabelle11[[#Headers],[Dennis_P]],Spielauswertung!$B621:$E621,0))+N632)</f>
        <v>100.04773223105254</v>
      </c>
      <c r="O633" s="1">
        <f>IF(IFERROR(MATCH(Tabelle11[[#Headers],[Dennis_R]],Spielauswertung!$B621:$E621,0),0)=0,O632,INDEX(Spielauswertung!$AB621:$AE621,MATCH(Tabelle11[[#Headers],[Dennis_R]],Spielauswertung!$B621:$E621,0))+O632)</f>
        <v>75.131680864937195</v>
      </c>
      <c r="P633" s="1">
        <f>IF(IFERROR(MATCH(Tabelle11[[#Headers],[Detlef_R]],Spielauswertung!$B621:$E621,0),0)=0,P632,INDEX(Spielauswertung!$AB621:$AE621,MATCH(Tabelle11[[#Headers],[Detlef_R]],Spielauswertung!$B621:$E621,0))+P632)</f>
        <v>87.984671797367014</v>
      </c>
      <c r="Q633" s="1">
        <f>IF(IFERROR(MATCH(Tabelle11[[#Headers],[Dmitrij_M]],Spielauswertung!$B621:$E621,0),0)=0,Q632,INDEX(Spielauswertung!$AB621:$AE621,MATCH(Tabelle11[[#Headers],[Dmitrij_M]],Spielauswertung!$B621:$E621,0))+Q632)</f>
        <v>100.69975721846207</v>
      </c>
      <c r="R633" s="1">
        <f>IF(IFERROR(MATCH(Tabelle11[[#Headers],[Fabian_M]],Spielauswertung!$B621:$E621,0),0)=0,R632,INDEX(Spielauswertung!$AB621:$AE621,MATCH(Tabelle11[[#Headers],[Fabian_M]],Spielauswertung!$B621:$E621,0))+R632)</f>
        <v>95.805387841610738</v>
      </c>
      <c r="S633" s="1">
        <f>IF(IFERROR(MATCH(Tabelle11[[#Headers],[Hannes_S]],Spielauswertung!$B621:$E621,0),0)=0,S632,INDEX(Spielauswertung!$AB621:$AE621,MATCH(Tabelle11[[#Headers],[Hannes_S]],Spielauswertung!$B621:$E621,0))+S632)</f>
        <v>104.83899184012799</v>
      </c>
      <c r="T633" s="1">
        <f>IF(IFERROR(MATCH(Tabelle11[[#Headers],[Jan_B]],Spielauswertung!$B621:$E621,0),0)=0,T632,INDEX(Spielauswertung!$AB621:$AE621,MATCH(Tabelle11[[#Headers],[Jan_B]],Spielauswertung!$B621:$E621,0))+T632)</f>
        <v>100.2794420429173</v>
      </c>
      <c r="U633" s="1">
        <f>IF(IFERROR(MATCH(Tabelle11[[#Headers],[Jan_Hendrik_B]],Spielauswertung!$B621:$E621,0),0)=0,U632,INDEX(Spielauswertung!$AB621:$AE621,MATCH(Tabelle11[[#Headers],[Jan_Hendrik_B]],Spielauswertung!$B621:$E621,0))+U632)</f>
        <v>100.75492416935522</v>
      </c>
      <c r="V633" s="1">
        <f>IF(IFERROR(MATCH(Tabelle11[[#Headers],[Jens_N]],Spielauswertung!$B621:$E621,0),0)=0,V632,INDEX(Spielauswertung!$AB621:$AE621,MATCH(Tabelle11[[#Headers],[Jens_N]],Spielauswertung!$B621:$E621,0))+V632)</f>
        <v>99.643534710196832</v>
      </c>
      <c r="W633" s="1">
        <f>IF(IFERROR(MATCH(Tabelle11[[#Headers],[Johannes_S]],Spielauswertung!$B621:$E621,0),0)=0,W632,INDEX(Spielauswertung!$AB621:$AE621,MATCH(Tabelle11[[#Headers],[Johannes_S]],Spielauswertung!$B621:$E621,0))+W632)</f>
        <v>102.20284750979505</v>
      </c>
      <c r="X633" s="1">
        <f>IF(IFERROR(MATCH(Tabelle11[[#Headers],[Jonathan_F]],Spielauswertung!$B621:$E621,0),0)=0,X632,INDEX(Spielauswertung!$AB621:$AE621,MATCH(Tabelle11[[#Headers],[Jonathan_F]],Spielauswertung!$B621:$E621,0))+X632)</f>
        <v>98.938308797866256</v>
      </c>
      <c r="Y633" s="1">
        <f>IF(IFERROR(MATCH(Tabelle11[[#Headers],[Julius_P]],Spielauswertung!$B621:$E621,0),0)=0,Y632,INDEX(Spielauswertung!$AB621:$AE621,MATCH(Tabelle11[[#Headers],[Julius_P]],Spielauswertung!$B621:$E621,0))+Y632)</f>
        <v>96.540305101873642</v>
      </c>
      <c r="Z633" s="1">
        <f>IF(IFERROR(MATCH(Tabelle11[[#Headers],[Louis_W]],Spielauswertung!$B621:$E621,0),0)=0,Z632,INDEX(Spielauswertung!$AB621:$AE621,MATCH(Tabelle11[[#Headers],[Louis_W]],Spielauswertung!$B621:$E621,0))+Z632)</f>
        <v>87.497452285475362</v>
      </c>
      <c r="AA633" s="1">
        <f>IF(IFERROR(MATCH(Tabelle11[[#Headers],[Lukas_L]],Spielauswertung!$B621:$E621,0),0)=0,AA632,INDEX(Spielauswertung!$AB621:$AE621,MATCH(Tabelle11[[#Headers],[Lukas_L]],Spielauswertung!$B621:$E621,0))+AA632)</f>
        <v>98.447931341404143</v>
      </c>
      <c r="AB633" s="1">
        <f>IF(IFERROR(MATCH(Tabelle11[[#Headers],[Marcin_S]],Spielauswertung!$B621:$E621,0),0)=0,AB632,INDEX(Spielauswertung!$AB621:$AE621,MATCH(Tabelle11[[#Headers],[Marcin_S]],Spielauswertung!$B621:$E621,0))+AB632)</f>
        <v>85.463329105556824</v>
      </c>
      <c r="AC633" s="1">
        <f>IF(IFERROR(MATCH(Tabelle11[[#Headers],[Marco_K]],Spielauswertung!$B621:$E621,0),0)=0,AC632,INDEX(Spielauswertung!$AB621:$AE621,MATCH(Tabelle11[[#Headers],[Marco_K]],Spielauswertung!$B621:$E621,0))+AC632)</f>
        <v>102.12169819441469</v>
      </c>
      <c r="AD633" s="1">
        <f>IF(IFERROR(MATCH(Tabelle11[[#Headers],[Marius_M]],Spielauswertung!$B621:$E621,0),0)=0,AD632,INDEX(Spielauswertung!$AB621:$AE621,MATCH(Tabelle11[[#Headers],[Marius_M]],Spielauswertung!$B621:$E621,0))+AD632)</f>
        <v>124.54012374585781</v>
      </c>
      <c r="AE633" s="1">
        <f>IF(IFERROR(MATCH(Tabelle11[[#Headers],[Marvin_W]],Spielauswertung!$B621:$E621,0),0)=0,AE632,INDEX(Spielauswertung!$AB621:$AE621,MATCH(Tabelle11[[#Headers],[Marvin_W]],Spielauswertung!$B621:$E621,0))+AE632)</f>
        <v>96.700266280577438</v>
      </c>
      <c r="AF633" s="1">
        <f>IF(IFERROR(MATCH(Tabelle11[[#Headers],[Matthias_H]],Spielauswertung!$B621:$E621,0),0)=0,AF632,INDEX(Spielauswertung!$AB621:$AE621,MATCH(Tabelle11[[#Headers],[Matthias_H]],Spielauswertung!$B621:$E621,0))+AF632)</f>
        <v>105.42130178599372</v>
      </c>
      <c r="AG633" s="1">
        <f>IF(IFERROR(MATCH(Tabelle11[[#Headers],[Michael_D]],Spielauswertung!$B621:$E621,0),0)=0,AG632,INDEX(Spielauswertung!$AB621:$AE621,MATCH(Tabelle11[[#Headers],[Michael_D]],Spielauswertung!$B621:$E621,0))+AG632)</f>
        <v>96.436276170375336</v>
      </c>
      <c r="AH633" s="1">
        <f>IF(IFERROR(MATCH(Tabelle11[[#Headers],[Patrick_S]],Spielauswertung!$B621:$E621,0),0)=0,AH632,INDEX(Spielauswertung!$AB621:$AE621,MATCH(Tabelle11[[#Headers],[Patrick_S]],Spielauswertung!$B621:$E621,0))+AH632)</f>
        <v>98.975330692053802</v>
      </c>
      <c r="AI633" s="1">
        <f>IF(IFERROR(MATCH(Tabelle11[[#Headers],[Rano_M]],Spielauswertung!$B621:$E621,0),0)=0,AI632,INDEX(Spielauswertung!$AB621:$AE621,MATCH(Tabelle11[[#Headers],[Rano_M]],Spielauswertung!$B621:$E621,0))+AI632)</f>
        <v>109.38890657420265</v>
      </c>
      <c r="AJ633" s="1">
        <f>IF(IFERROR(MATCH(Tabelle11[[#Headers],[Rene_N]],Spielauswertung!$B621:$E621,0),0)=0,AJ632,INDEX(Spielauswertung!$AB621:$AE621,MATCH(Tabelle11[[#Headers],[Rene_N]],Spielauswertung!$B621:$E621,0))+AJ632)</f>
        <v>101.06482124619033</v>
      </c>
      <c r="AK633" s="1">
        <f>IF(IFERROR(MATCH(Tabelle11[[#Headers],[Rene_P]],Spielauswertung!$B621:$E621,0),0)=0,AK632,INDEX(Spielauswertung!$AB621:$AE621,MATCH(Tabelle11[[#Headers],[Rene_P]],Spielauswertung!$B621:$E621,0))+AK632)</f>
        <v>88.762543186332877</v>
      </c>
      <c r="AL633" s="1">
        <f>IF(IFERROR(MATCH(Tabelle11[[#Headers],[Richard_D]],Spielauswertung!$B621:$E621,0),0)=0,AL632,INDEX(Spielauswertung!$AB621:$AE621,MATCH(Tabelle11[[#Headers],[Richard_D]],Spielauswertung!$B621:$E621,0))+AL632)</f>
        <v>107.23233592026223</v>
      </c>
      <c r="AM633" s="1">
        <f>IF(IFERROR(MATCH(Tabelle11[[#Headers],[Rodrigo_R]],Spielauswertung!$B621:$E621,0),0)=0,AM632,INDEX(Spielauswertung!$AB621:$AE621,MATCH(Tabelle11[[#Headers],[Rodrigo_R]],Spielauswertung!$B621:$E621,0))+AM632)</f>
        <v>116.7028707921346</v>
      </c>
      <c r="AN633" s="1">
        <f>IF(IFERROR(MATCH(Tabelle11[[#Headers],[Sebastian_A]],Spielauswertung!$B621:$E621,0),0)=0,AN632,INDEX(Spielauswertung!$AB621:$AE621,MATCH(Tabelle11[[#Headers],[Sebastian_A]],Spielauswertung!$B621:$E621,0))+AN632)</f>
        <v>102.89457418671324</v>
      </c>
      <c r="AO633" s="1">
        <f>IF(IFERROR(MATCH(Tabelle11[[#Headers],[Sebastian_St]],Spielauswertung!$B621:$E621,0),0)=0,AO632,INDEX(Spielauswertung!$AB621:$AE621,MATCH(Tabelle11[[#Headers],[Sebastian_St]],Spielauswertung!$B621:$E621,0))+AO632)</f>
        <v>97.749574367408982</v>
      </c>
      <c r="AP633" s="1">
        <f>IF(IFERROR(MATCH(Tabelle11[[#Headers],[Simon_U]],Spielauswertung!$B621:$E621,0),0)=0,AP632,INDEX(Spielauswertung!$AB621:$AE621,MATCH(Tabelle11[[#Headers],[Simon_U]],Spielauswertung!$B621:$E621,0))+AP632)</f>
        <v>99.623054841470903</v>
      </c>
      <c r="AQ633" s="1">
        <f>IF(IFERROR(MATCH(Tabelle11[[#Headers],[Steffen_R]],Spielauswertung!$B621:$E621,0),0)=0,AQ632,INDEX(Spielauswertung!$AB621:$AE621,MATCH(Tabelle11[[#Headers],[Steffen_R]],Spielauswertung!$B621:$E621,0))+AQ632)</f>
        <v>93.247497067190949</v>
      </c>
      <c r="AR633" s="1">
        <f>IF(IFERROR(MATCH(Tabelle11[[#Headers],[Tim_R]],Spielauswertung!$B621:$E621,0),0)=0,AR632,INDEX(Spielauswertung!$AB621:$AE621,MATCH(Tabelle11[[#Headers],[Tim_R]],Spielauswertung!$B621:$E621,0))+AR632)</f>
        <v>103.07503787023374</v>
      </c>
      <c r="AS633" s="1">
        <f>IF(IFERROR(MATCH(Tabelle11[[#Headers],[Tobias_S]],Spielauswertung!$B621:$E621,0),0)=0,AS632,INDEX(Spielauswertung!$AB621:$AE621,MATCH(Tabelle11[[#Headers],[Tobias_S]],Spielauswertung!$B621:$E621,0))+AS632)</f>
        <v>98.6003422659997</v>
      </c>
      <c r="AT633" s="1">
        <f>IF(IFERROR(MATCH(Tabelle11[[#Headers],[Tom_R]],Spielauswertung!$B621:$E621,0),0)=0,AT632,INDEX(Spielauswertung!$AB621:$AE621,MATCH(Tabelle11[[#Headers],[Tom_R]],Spielauswertung!$B621:$E621,0))+AT632)</f>
        <v>112.62344492949197</v>
      </c>
      <c r="AU633" s="1">
        <f>IF(IFERROR(MATCH(Tabelle11[[#Headers],[Ton_L]],Spielauswertung!$B621:$E621,0),0)=0,AU632,INDEX(Spielauswertung!$AB621:$AE621,MATCH(Tabelle11[[#Headers],[Ton_L]],Spielauswertung!$B621:$E621,0))+AU632)</f>
        <v>92.683083360025861</v>
      </c>
      <c r="AV633" s="1">
        <f>IF(IFERROR(MATCH(Tabelle11[[#Headers],[Yixin_G]],Spielauswertung!$B621:$E621,0),0)=0,AV632,INDEX(Spielauswertung!$AB621:$AE621,MATCH(Tabelle11[[#Headers],[Yixin_G]],Spielauswertung!$B621:$E621,0))+AV632)</f>
        <v>99.900323214082661</v>
      </c>
      <c r="AW633" s="1">
        <f>IF(IFERROR(MATCH(Tabelle11[[#Headers],[Spalte36]],Spielauswertung!$B621:$E621,0),0)=0,AW632,INDEX(Spielauswertung!$AB621:$AE621,MATCH(Tabelle11[[#Headers],[Spalte36]],Spielauswertung!$B621:$E621,0))+AW632)</f>
        <v>100</v>
      </c>
      <c r="AX633" s="1">
        <f>IF(IFERROR(MATCH(Tabelle11[[#Headers],[Spalte37]],Spielauswertung!$B621:$E621,0),0)=0,AX632,INDEX(Spielauswertung!$AB621:$AE621,MATCH(Tabelle11[[#Headers],[Spalte37]],Spielauswertung!$B621:$E621,0))+AX632)</f>
        <v>100</v>
      </c>
      <c r="AY633" s="1">
        <f>IF(IFERROR(MATCH(Tabelle11[[#Headers],[Spalte38]],Spielauswertung!$B621:$E621,0),0)=0,AY632,INDEX(Spielauswertung!$AB621:$AE621,MATCH(Tabelle11[[#Headers],[Spalte38]],Spielauswertung!$B621:$E621,0))+AY632)</f>
        <v>100</v>
      </c>
      <c r="AZ633" s="1">
        <f>IF(IFERROR(MATCH(Tabelle11[[#Headers],[Spalte39]],Spielauswertung!$B621:$E621,0),0)=0,AZ632,INDEX(Spielauswertung!$AB621:$AE621,MATCH(Tabelle11[[#Headers],[Spalte39]],Spielauswertung!$B621:$E621,0))+AZ632)</f>
        <v>100</v>
      </c>
      <c r="BA633" s="1">
        <f>IF(IFERROR(MATCH(Tabelle11[[#Headers],[Spalte40]],Spielauswertung!$B621:$E621,0),0)=0,BA632,INDEX(Spielauswertung!$AB621:$AE621,MATCH(Tabelle11[[#Headers],[Spalte40]],Spielauswertung!$B621:$E621,0))+BA632)</f>
        <v>100</v>
      </c>
      <c r="BB633" s="1">
        <f>IF(IFERROR(MATCH(Tabelle11[[#Headers],[Spalte41]],Spielauswertung!$B621:$E621,0),0)=0,BB632,INDEX(Spielauswertung!$AB621:$AE621,MATCH(Tabelle11[[#Headers],[Spalte41]],Spielauswertung!$B621:$E621,0))+BB632)</f>
        <v>100</v>
      </c>
      <c r="BC633" s="1">
        <f>IF(IFERROR(MATCH(Tabelle11[[#Headers],[Spalte42]],Spielauswertung!$B621:$E621,0),0)=0,BC632,INDEX(Spielauswertung!$AB621:$AE621,MATCH(Tabelle11[[#Headers],[Spalte42]],Spielauswertung!$B621:$E621,0))+BC632)</f>
        <v>100</v>
      </c>
      <c r="BD633" s="1">
        <f>IF(IFERROR(MATCH(Tabelle11[[#Headers],[Spalte43]],Spielauswertung!$B621:$E621,0),0)=0,BD632,INDEX(Spielauswertung!$AB621:$AE621,MATCH(Tabelle11[[#Headers],[Spalte43]],Spielauswertung!$B621:$E621,0))+BD632)</f>
        <v>100</v>
      </c>
      <c r="BE633" s="1">
        <f>IF(IFERROR(MATCH(Tabelle11[[#Headers],[Spalte44]],Spielauswertung!$B621:$E621,0),0)=0,BE632,INDEX(Spielauswertung!$AB621:$AE621,MATCH(Tabelle11[[#Headers],[Spalte44]],Spielauswertung!$B621:$E621,0))+BE632)</f>
        <v>100</v>
      </c>
      <c r="BF633" s="1">
        <f>IF(IFERROR(MATCH(Tabelle11[[#Headers],[Spalte45]],Spielauswertung!$B621:$E621,0),0)=0,BF632,INDEX(Spielauswertung!$AB621:$AE621,MATCH(Tabelle11[[#Headers],[Spalte45]],Spielauswertung!$B621:$E621,0))+BF632)</f>
        <v>100</v>
      </c>
      <c r="BG633" s="1">
        <f>IF(IFERROR(MATCH(Tabelle11[[#Headers],[Spalte46]],Spielauswertung!$B621:$E621,0),0)=0,BG632,INDEX(Spielauswertung!$AB621:$AE621,MATCH(Tabelle11[[#Headers],[Spalte46]],Spielauswertung!$B621:$E621,0))+BG632)</f>
        <v>100</v>
      </c>
      <c r="BH633" s="1">
        <f>IF(IFERROR(MATCH(Tabelle11[[#Headers],[Spalte47]],Spielauswertung!$B621:$E621,0),0)=0,BH632,INDEX(Spielauswertung!$AB621:$AE621,MATCH(Tabelle11[[#Headers],[Spalte47]],Spielauswertung!$B621:$E621,0))+BH632)</f>
        <v>100</v>
      </c>
    </row>
    <row r="634" spans="1:60" x14ac:dyDescent="0.25">
      <c r="A634">
        <f t="shared" si="10"/>
        <v>621</v>
      </c>
      <c r="B634" s="1">
        <f>IF(IFERROR(MATCH(Tabelle11[[#Headers],[Aleix_V]],Spielauswertung!$B622:$E622,0),0)=0,B633,INDEX(Spielauswertung!$AB622:$AE622,MATCH(Tabelle11[[#Headers],[Aleix_V]],Spielauswertung!$B622:$E622,0))+B633)</f>
        <v>102.47318019444646</v>
      </c>
      <c r="C634" s="1">
        <f>IF(IFERROR(MATCH(Tabelle11[[#Headers],[Andres_H]],Spielauswertung!$B622:$E622,0),0)=0,C633,INDEX(Spielauswertung!$AB622:$AE622,MATCH(Tabelle11[[#Headers],[Andres_H]],Spielauswertung!$B622:$E622,0))+C633)</f>
        <v>95.535732339111306</v>
      </c>
      <c r="D634" s="1">
        <f>IF(IFERROR(MATCH(Tabelle11[[#Headers],[Anton_K]],Spielauswertung!$B622:$E622,0),0)=0,D633,INDEX(Spielauswertung!$AB622:$AE622,MATCH(Tabelle11[[#Headers],[Anton_K]],Spielauswertung!$B622:$E622,0))+D633)</f>
        <v>99.287728777054667</v>
      </c>
      <c r="E634" s="1">
        <f>IF(IFERROR(MATCH(Tabelle11[[#Headers],[Bastian_G]],Spielauswertung!$B622:$E622,0),0)=0,E633,INDEX(Spielauswertung!$AB622:$AE622,MATCH(Tabelle11[[#Headers],[Bastian_G]],Spielauswertung!$B622:$E622,0))+E633)</f>
        <v>117.49978695184252</v>
      </c>
      <c r="F634" s="1">
        <f>IF(IFERROR(MATCH(Tabelle11[[#Headers],[Ben_S]],Spielauswertung!$B622:$E622,0),0)=0,F633,INDEX(Spielauswertung!$AB622:$AE622,MATCH(Tabelle11[[#Headers],[Ben_S]],Spielauswertung!$B622:$E622,0))+F633)</f>
        <v>95.932799101521084</v>
      </c>
      <c r="G634" s="1">
        <f>IF(IFERROR(MATCH(Tabelle11[[#Headers],[Benedikt_K]],Spielauswertung!$B622:$E622,0),0)=0,G633,INDEX(Spielauswertung!$AB622:$AE622,MATCH(Tabelle11[[#Headers],[Benedikt_K]],Spielauswertung!$B622:$E622,0))+G633)</f>
        <v>101.20264176422626</v>
      </c>
      <c r="H634" s="1">
        <f>IF(IFERROR(MATCH(Tabelle11[[#Headers],[Benedikt_R]],Spielauswertung!$B622:$E622,0),0)=0,H633,INDEX(Spielauswertung!$AB622:$AE622,MATCH(Tabelle11[[#Headers],[Benedikt_R]],Spielauswertung!$B622:$E622,0))+H633)</f>
        <v>102.6264770510757</v>
      </c>
      <c r="I634" s="1">
        <f>IF(IFERROR(MATCH(Tabelle11[[#Headers],[Carsten_H]],Spielauswertung!$B622:$E622,0),0)=0,I633,INDEX(Spielauswertung!$AB622:$AE622,MATCH(Tabelle11[[#Headers],[Carsten_H]],Spielauswertung!$B622:$E622,0))+I633)</f>
        <v>90.817185094326874</v>
      </c>
      <c r="J634" s="1">
        <f>IF(IFERROR(MATCH(Tabelle11[[#Headers],[Christoph_R]],Spielauswertung!$B622:$E622,0),0)=0,J633,INDEX(Spielauswertung!$AB622:$AE622,MATCH(Tabelle11[[#Headers],[Christoph_R]],Spielauswertung!$B622:$E622,0))+J633)</f>
        <v>109.73261611443155</v>
      </c>
      <c r="K634" s="1">
        <f>IF(IFERROR(MATCH(Tabelle11[[#Headers],[Claudius_J]],Spielauswertung!$B622:$E622,0),0)=0,K633,INDEX(Spielauswertung!$AB622:$AE622,MATCH(Tabelle11[[#Headers],[Claudius_J]],Spielauswertung!$B622:$E622,0))+K633)</f>
        <v>106.16590636000029</v>
      </c>
      <c r="L634" s="1">
        <f>IF(IFERROR(MATCH(Tabelle11[[#Headers],[Daniel_D]],Spielauswertung!$B622:$E622,0),0)=0,L633,INDEX(Spielauswertung!$AB622:$AE622,MATCH(Tabelle11[[#Headers],[Daniel_D]],Spielauswertung!$B622:$E622,0))+L633)</f>
        <v>99.990299180470089</v>
      </c>
      <c r="M634" s="1">
        <f>IF(IFERROR(MATCH(Tabelle11[[#Headers],[David_R]],Spielauswertung!$B622:$E622,0),0)=0,M633,INDEX(Spielauswertung!$AB622:$AE622,MATCH(Tabelle11[[#Headers],[David_R]],Spielauswertung!$B622:$E622,0))+M633)</f>
        <v>96.715943522481638</v>
      </c>
      <c r="N634" s="1">
        <f>IF(IFERROR(MATCH(Tabelle11[[#Headers],[Dennis_P]],Spielauswertung!$B622:$E622,0),0)=0,N633,INDEX(Spielauswertung!$AB622:$AE622,MATCH(Tabelle11[[#Headers],[Dennis_P]],Spielauswertung!$B622:$E622,0))+N633)</f>
        <v>100.04773223105254</v>
      </c>
      <c r="O634" s="1">
        <f>IF(IFERROR(MATCH(Tabelle11[[#Headers],[Dennis_R]],Spielauswertung!$B622:$E622,0),0)=0,O633,INDEX(Spielauswertung!$AB622:$AE622,MATCH(Tabelle11[[#Headers],[Dennis_R]],Spielauswertung!$B622:$E622,0))+O633)</f>
        <v>75.131680864937195</v>
      </c>
      <c r="P634" s="1">
        <f>IF(IFERROR(MATCH(Tabelle11[[#Headers],[Detlef_R]],Spielauswertung!$B622:$E622,0),0)=0,P633,INDEX(Spielauswertung!$AB622:$AE622,MATCH(Tabelle11[[#Headers],[Detlef_R]],Spielauswertung!$B622:$E622,0))+P633)</f>
        <v>87.984671797367014</v>
      </c>
      <c r="Q634" s="1">
        <f>IF(IFERROR(MATCH(Tabelle11[[#Headers],[Dmitrij_M]],Spielauswertung!$B622:$E622,0),0)=0,Q633,INDEX(Spielauswertung!$AB622:$AE622,MATCH(Tabelle11[[#Headers],[Dmitrij_M]],Spielauswertung!$B622:$E622,0))+Q633)</f>
        <v>100.69975721846207</v>
      </c>
      <c r="R634" s="1">
        <f>IF(IFERROR(MATCH(Tabelle11[[#Headers],[Fabian_M]],Spielauswertung!$B622:$E622,0),0)=0,R633,INDEX(Spielauswertung!$AB622:$AE622,MATCH(Tabelle11[[#Headers],[Fabian_M]],Spielauswertung!$B622:$E622,0))+R633)</f>
        <v>95.805387841610738</v>
      </c>
      <c r="S634" s="1">
        <f>IF(IFERROR(MATCH(Tabelle11[[#Headers],[Hannes_S]],Spielauswertung!$B622:$E622,0),0)=0,S633,INDEX(Spielauswertung!$AB622:$AE622,MATCH(Tabelle11[[#Headers],[Hannes_S]],Spielauswertung!$B622:$E622,0))+S633)</f>
        <v>104.83899184012799</v>
      </c>
      <c r="T634" s="1">
        <f>IF(IFERROR(MATCH(Tabelle11[[#Headers],[Jan_B]],Spielauswertung!$B622:$E622,0),0)=0,T633,INDEX(Spielauswertung!$AB622:$AE622,MATCH(Tabelle11[[#Headers],[Jan_B]],Spielauswertung!$B622:$E622,0))+T633)</f>
        <v>100.2794420429173</v>
      </c>
      <c r="U634" s="1">
        <f>IF(IFERROR(MATCH(Tabelle11[[#Headers],[Jan_Hendrik_B]],Spielauswertung!$B622:$E622,0),0)=0,U633,INDEX(Spielauswertung!$AB622:$AE622,MATCH(Tabelle11[[#Headers],[Jan_Hendrik_B]],Spielauswertung!$B622:$E622,0))+U633)</f>
        <v>100.75492416935522</v>
      </c>
      <c r="V634" s="1">
        <f>IF(IFERROR(MATCH(Tabelle11[[#Headers],[Jens_N]],Spielauswertung!$B622:$E622,0),0)=0,V633,INDEX(Spielauswertung!$AB622:$AE622,MATCH(Tabelle11[[#Headers],[Jens_N]],Spielauswertung!$B622:$E622,0))+V633)</f>
        <v>99.643534710196832</v>
      </c>
      <c r="W634" s="1">
        <f>IF(IFERROR(MATCH(Tabelle11[[#Headers],[Johannes_S]],Spielauswertung!$B622:$E622,0),0)=0,W633,INDEX(Spielauswertung!$AB622:$AE622,MATCH(Tabelle11[[#Headers],[Johannes_S]],Spielauswertung!$B622:$E622,0))+W633)</f>
        <v>102.20284750979505</v>
      </c>
      <c r="X634" s="1">
        <f>IF(IFERROR(MATCH(Tabelle11[[#Headers],[Jonathan_F]],Spielauswertung!$B622:$E622,0),0)=0,X633,INDEX(Spielauswertung!$AB622:$AE622,MATCH(Tabelle11[[#Headers],[Jonathan_F]],Spielauswertung!$B622:$E622,0))+X633)</f>
        <v>98.938308797866256</v>
      </c>
      <c r="Y634" s="1">
        <f>IF(IFERROR(MATCH(Tabelle11[[#Headers],[Julius_P]],Spielauswertung!$B622:$E622,0),0)=0,Y633,INDEX(Spielauswertung!$AB622:$AE622,MATCH(Tabelle11[[#Headers],[Julius_P]],Spielauswertung!$B622:$E622,0))+Y633)</f>
        <v>96.540305101873642</v>
      </c>
      <c r="Z634" s="1">
        <f>IF(IFERROR(MATCH(Tabelle11[[#Headers],[Louis_W]],Spielauswertung!$B622:$E622,0),0)=0,Z633,INDEX(Spielauswertung!$AB622:$AE622,MATCH(Tabelle11[[#Headers],[Louis_W]],Spielauswertung!$B622:$E622,0))+Z633)</f>
        <v>87.497452285475362</v>
      </c>
      <c r="AA634" s="1">
        <f>IF(IFERROR(MATCH(Tabelle11[[#Headers],[Lukas_L]],Spielauswertung!$B622:$E622,0),0)=0,AA633,INDEX(Spielauswertung!$AB622:$AE622,MATCH(Tabelle11[[#Headers],[Lukas_L]],Spielauswertung!$B622:$E622,0))+AA633)</f>
        <v>98.447931341404143</v>
      </c>
      <c r="AB634" s="1">
        <f>IF(IFERROR(MATCH(Tabelle11[[#Headers],[Marcin_S]],Spielauswertung!$B622:$E622,0),0)=0,AB633,INDEX(Spielauswertung!$AB622:$AE622,MATCH(Tabelle11[[#Headers],[Marcin_S]],Spielauswertung!$B622:$E622,0))+AB633)</f>
        <v>85.463329105556824</v>
      </c>
      <c r="AC634" s="1">
        <f>IF(IFERROR(MATCH(Tabelle11[[#Headers],[Marco_K]],Spielauswertung!$B622:$E622,0),0)=0,AC633,INDEX(Spielauswertung!$AB622:$AE622,MATCH(Tabelle11[[#Headers],[Marco_K]],Spielauswertung!$B622:$E622,0))+AC633)</f>
        <v>102.12169819441469</v>
      </c>
      <c r="AD634" s="1">
        <f>IF(IFERROR(MATCH(Tabelle11[[#Headers],[Marius_M]],Spielauswertung!$B622:$E622,0),0)=0,AD633,INDEX(Spielauswertung!$AB622:$AE622,MATCH(Tabelle11[[#Headers],[Marius_M]],Spielauswertung!$B622:$E622,0))+AD633)</f>
        <v>124.54012374585781</v>
      </c>
      <c r="AE634" s="1">
        <f>IF(IFERROR(MATCH(Tabelle11[[#Headers],[Marvin_W]],Spielauswertung!$B622:$E622,0),0)=0,AE633,INDEX(Spielauswertung!$AB622:$AE622,MATCH(Tabelle11[[#Headers],[Marvin_W]],Spielauswertung!$B622:$E622,0))+AE633)</f>
        <v>96.700266280577438</v>
      </c>
      <c r="AF634" s="1">
        <f>IF(IFERROR(MATCH(Tabelle11[[#Headers],[Matthias_H]],Spielauswertung!$B622:$E622,0),0)=0,AF633,INDEX(Spielauswertung!$AB622:$AE622,MATCH(Tabelle11[[#Headers],[Matthias_H]],Spielauswertung!$B622:$E622,0))+AF633)</f>
        <v>105.42130178599372</v>
      </c>
      <c r="AG634" s="1">
        <f>IF(IFERROR(MATCH(Tabelle11[[#Headers],[Michael_D]],Spielauswertung!$B622:$E622,0),0)=0,AG633,INDEX(Spielauswertung!$AB622:$AE622,MATCH(Tabelle11[[#Headers],[Michael_D]],Spielauswertung!$B622:$E622,0))+AG633)</f>
        <v>96.436276170375336</v>
      </c>
      <c r="AH634" s="1">
        <f>IF(IFERROR(MATCH(Tabelle11[[#Headers],[Patrick_S]],Spielauswertung!$B622:$E622,0),0)=0,AH633,INDEX(Spielauswertung!$AB622:$AE622,MATCH(Tabelle11[[#Headers],[Patrick_S]],Spielauswertung!$B622:$E622,0))+AH633)</f>
        <v>98.975330692053802</v>
      </c>
      <c r="AI634" s="1">
        <f>IF(IFERROR(MATCH(Tabelle11[[#Headers],[Rano_M]],Spielauswertung!$B622:$E622,0),0)=0,AI633,INDEX(Spielauswertung!$AB622:$AE622,MATCH(Tabelle11[[#Headers],[Rano_M]],Spielauswertung!$B622:$E622,0))+AI633)</f>
        <v>109.38890657420265</v>
      </c>
      <c r="AJ634" s="1">
        <f>IF(IFERROR(MATCH(Tabelle11[[#Headers],[Rene_N]],Spielauswertung!$B622:$E622,0),0)=0,AJ633,INDEX(Spielauswertung!$AB622:$AE622,MATCH(Tabelle11[[#Headers],[Rene_N]],Spielauswertung!$B622:$E622,0))+AJ633)</f>
        <v>101.06482124619033</v>
      </c>
      <c r="AK634" s="1">
        <f>IF(IFERROR(MATCH(Tabelle11[[#Headers],[Rene_P]],Spielauswertung!$B622:$E622,0),0)=0,AK633,INDEX(Spielauswertung!$AB622:$AE622,MATCH(Tabelle11[[#Headers],[Rene_P]],Spielauswertung!$B622:$E622,0))+AK633)</f>
        <v>88.762543186332877</v>
      </c>
      <c r="AL634" s="1">
        <f>IF(IFERROR(MATCH(Tabelle11[[#Headers],[Richard_D]],Spielauswertung!$B622:$E622,0),0)=0,AL633,INDEX(Spielauswertung!$AB622:$AE622,MATCH(Tabelle11[[#Headers],[Richard_D]],Spielauswertung!$B622:$E622,0))+AL633)</f>
        <v>107.23233592026223</v>
      </c>
      <c r="AM634" s="1">
        <f>IF(IFERROR(MATCH(Tabelle11[[#Headers],[Rodrigo_R]],Spielauswertung!$B622:$E622,0),0)=0,AM633,INDEX(Spielauswertung!$AB622:$AE622,MATCH(Tabelle11[[#Headers],[Rodrigo_R]],Spielauswertung!$B622:$E622,0))+AM633)</f>
        <v>116.7028707921346</v>
      </c>
      <c r="AN634" s="1">
        <f>IF(IFERROR(MATCH(Tabelle11[[#Headers],[Sebastian_A]],Spielauswertung!$B622:$E622,0),0)=0,AN633,INDEX(Spielauswertung!$AB622:$AE622,MATCH(Tabelle11[[#Headers],[Sebastian_A]],Spielauswertung!$B622:$E622,0))+AN633)</f>
        <v>102.89457418671324</v>
      </c>
      <c r="AO634" s="1">
        <f>IF(IFERROR(MATCH(Tabelle11[[#Headers],[Sebastian_St]],Spielauswertung!$B622:$E622,0),0)=0,AO633,INDEX(Spielauswertung!$AB622:$AE622,MATCH(Tabelle11[[#Headers],[Sebastian_St]],Spielauswertung!$B622:$E622,0))+AO633)</f>
        <v>97.749574367408982</v>
      </c>
      <c r="AP634" s="1">
        <f>IF(IFERROR(MATCH(Tabelle11[[#Headers],[Simon_U]],Spielauswertung!$B622:$E622,0),0)=0,AP633,INDEX(Spielauswertung!$AB622:$AE622,MATCH(Tabelle11[[#Headers],[Simon_U]],Spielauswertung!$B622:$E622,0))+AP633)</f>
        <v>99.623054841470903</v>
      </c>
      <c r="AQ634" s="1">
        <f>IF(IFERROR(MATCH(Tabelle11[[#Headers],[Steffen_R]],Spielauswertung!$B622:$E622,0),0)=0,AQ633,INDEX(Spielauswertung!$AB622:$AE622,MATCH(Tabelle11[[#Headers],[Steffen_R]],Spielauswertung!$B622:$E622,0))+AQ633)</f>
        <v>93.247497067190949</v>
      </c>
      <c r="AR634" s="1">
        <f>IF(IFERROR(MATCH(Tabelle11[[#Headers],[Tim_R]],Spielauswertung!$B622:$E622,0),0)=0,AR633,INDEX(Spielauswertung!$AB622:$AE622,MATCH(Tabelle11[[#Headers],[Tim_R]],Spielauswertung!$B622:$E622,0))+AR633)</f>
        <v>103.07503787023374</v>
      </c>
      <c r="AS634" s="1">
        <f>IF(IFERROR(MATCH(Tabelle11[[#Headers],[Tobias_S]],Spielauswertung!$B622:$E622,0),0)=0,AS633,INDEX(Spielauswertung!$AB622:$AE622,MATCH(Tabelle11[[#Headers],[Tobias_S]],Spielauswertung!$B622:$E622,0))+AS633)</f>
        <v>98.6003422659997</v>
      </c>
      <c r="AT634" s="1">
        <f>IF(IFERROR(MATCH(Tabelle11[[#Headers],[Tom_R]],Spielauswertung!$B622:$E622,0),0)=0,AT633,INDEX(Spielauswertung!$AB622:$AE622,MATCH(Tabelle11[[#Headers],[Tom_R]],Spielauswertung!$B622:$E622,0))+AT633)</f>
        <v>112.62344492949197</v>
      </c>
      <c r="AU634" s="1">
        <f>IF(IFERROR(MATCH(Tabelle11[[#Headers],[Ton_L]],Spielauswertung!$B622:$E622,0),0)=0,AU633,INDEX(Spielauswertung!$AB622:$AE622,MATCH(Tabelle11[[#Headers],[Ton_L]],Spielauswertung!$B622:$E622,0))+AU633)</f>
        <v>92.683083360025861</v>
      </c>
      <c r="AV634" s="1">
        <f>IF(IFERROR(MATCH(Tabelle11[[#Headers],[Yixin_G]],Spielauswertung!$B622:$E622,0),0)=0,AV633,INDEX(Spielauswertung!$AB622:$AE622,MATCH(Tabelle11[[#Headers],[Yixin_G]],Spielauswertung!$B622:$E622,0))+AV633)</f>
        <v>99.900323214082661</v>
      </c>
      <c r="AW634" s="1">
        <f>IF(IFERROR(MATCH(Tabelle11[[#Headers],[Spalte36]],Spielauswertung!$B622:$E622,0),0)=0,AW633,INDEX(Spielauswertung!$AB622:$AE622,MATCH(Tabelle11[[#Headers],[Spalte36]],Spielauswertung!$B622:$E622,0))+AW633)</f>
        <v>100</v>
      </c>
      <c r="AX634" s="1">
        <f>IF(IFERROR(MATCH(Tabelle11[[#Headers],[Spalte37]],Spielauswertung!$B622:$E622,0),0)=0,AX633,INDEX(Spielauswertung!$AB622:$AE622,MATCH(Tabelle11[[#Headers],[Spalte37]],Spielauswertung!$B622:$E622,0))+AX633)</f>
        <v>100</v>
      </c>
      <c r="AY634" s="1">
        <f>IF(IFERROR(MATCH(Tabelle11[[#Headers],[Spalte38]],Spielauswertung!$B622:$E622,0),0)=0,AY633,INDEX(Spielauswertung!$AB622:$AE622,MATCH(Tabelle11[[#Headers],[Spalte38]],Spielauswertung!$B622:$E622,0))+AY633)</f>
        <v>100</v>
      </c>
      <c r="AZ634" s="1">
        <f>IF(IFERROR(MATCH(Tabelle11[[#Headers],[Spalte39]],Spielauswertung!$B622:$E622,0),0)=0,AZ633,INDEX(Spielauswertung!$AB622:$AE622,MATCH(Tabelle11[[#Headers],[Spalte39]],Spielauswertung!$B622:$E622,0))+AZ633)</f>
        <v>100</v>
      </c>
      <c r="BA634" s="1">
        <f>IF(IFERROR(MATCH(Tabelle11[[#Headers],[Spalte40]],Spielauswertung!$B622:$E622,0),0)=0,BA633,INDEX(Spielauswertung!$AB622:$AE622,MATCH(Tabelle11[[#Headers],[Spalte40]],Spielauswertung!$B622:$E622,0))+BA633)</f>
        <v>100</v>
      </c>
      <c r="BB634" s="1">
        <f>IF(IFERROR(MATCH(Tabelle11[[#Headers],[Spalte41]],Spielauswertung!$B622:$E622,0),0)=0,BB633,INDEX(Spielauswertung!$AB622:$AE622,MATCH(Tabelle11[[#Headers],[Spalte41]],Spielauswertung!$B622:$E622,0))+BB633)</f>
        <v>100</v>
      </c>
      <c r="BC634" s="1">
        <f>IF(IFERROR(MATCH(Tabelle11[[#Headers],[Spalte42]],Spielauswertung!$B622:$E622,0),0)=0,BC633,INDEX(Spielauswertung!$AB622:$AE622,MATCH(Tabelle11[[#Headers],[Spalte42]],Spielauswertung!$B622:$E622,0))+BC633)</f>
        <v>100</v>
      </c>
      <c r="BD634" s="1">
        <f>IF(IFERROR(MATCH(Tabelle11[[#Headers],[Spalte43]],Spielauswertung!$B622:$E622,0),0)=0,BD633,INDEX(Spielauswertung!$AB622:$AE622,MATCH(Tabelle11[[#Headers],[Spalte43]],Spielauswertung!$B622:$E622,0))+BD633)</f>
        <v>100</v>
      </c>
      <c r="BE634" s="1">
        <f>IF(IFERROR(MATCH(Tabelle11[[#Headers],[Spalte44]],Spielauswertung!$B622:$E622,0),0)=0,BE633,INDEX(Spielauswertung!$AB622:$AE622,MATCH(Tabelle11[[#Headers],[Spalte44]],Spielauswertung!$B622:$E622,0))+BE633)</f>
        <v>100</v>
      </c>
      <c r="BF634" s="1">
        <f>IF(IFERROR(MATCH(Tabelle11[[#Headers],[Spalte45]],Spielauswertung!$B622:$E622,0),0)=0,BF633,INDEX(Spielauswertung!$AB622:$AE622,MATCH(Tabelle11[[#Headers],[Spalte45]],Spielauswertung!$B622:$E622,0))+BF633)</f>
        <v>100</v>
      </c>
      <c r="BG634" s="1">
        <f>IF(IFERROR(MATCH(Tabelle11[[#Headers],[Spalte46]],Spielauswertung!$B622:$E622,0),0)=0,BG633,INDEX(Spielauswertung!$AB622:$AE622,MATCH(Tabelle11[[#Headers],[Spalte46]],Spielauswertung!$B622:$E622,0))+BG633)</f>
        <v>100</v>
      </c>
      <c r="BH634" s="1">
        <f>IF(IFERROR(MATCH(Tabelle11[[#Headers],[Spalte47]],Spielauswertung!$B622:$E622,0),0)=0,BH633,INDEX(Spielauswertung!$AB622:$AE622,MATCH(Tabelle11[[#Headers],[Spalte47]],Spielauswertung!$B622:$E622,0))+BH633)</f>
        <v>100</v>
      </c>
    </row>
    <row r="635" spans="1:60" x14ac:dyDescent="0.25">
      <c r="A635">
        <f t="shared" si="10"/>
        <v>622</v>
      </c>
      <c r="B635" s="1">
        <f>IF(IFERROR(MATCH(Tabelle11[[#Headers],[Aleix_V]],Spielauswertung!$B623:$E623,0),0)=0,B634,INDEX(Spielauswertung!$AB623:$AE623,MATCH(Tabelle11[[#Headers],[Aleix_V]],Spielauswertung!$B623:$E623,0))+B634)</f>
        <v>102.47318019444646</v>
      </c>
      <c r="C635" s="1">
        <f>IF(IFERROR(MATCH(Tabelle11[[#Headers],[Andres_H]],Spielauswertung!$B623:$E623,0),0)=0,C634,INDEX(Spielauswertung!$AB623:$AE623,MATCH(Tabelle11[[#Headers],[Andres_H]],Spielauswertung!$B623:$E623,0))+C634)</f>
        <v>95.535732339111306</v>
      </c>
      <c r="D635" s="1">
        <f>IF(IFERROR(MATCH(Tabelle11[[#Headers],[Anton_K]],Spielauswertung!$B623:$E623,0),0)=0,D634,INDEX(Spielauswertung!$AB623:$AE623,MATCH(Tabelle11[[#Headers],[Anton_K]],Spielauswertung!$B623:$E623,0))+D634)</f>
        <v>99.287728777054667</v>
      </c>
      <c r="E635" s="1">
        <f>IF(IFERROR(MATCH(Tabelle11[[#Headers],[Bastian_G]],Spielauswertung!$B623:$E623,0),0)=0,E634,INDEX(Spielauswertung!$AB623:$AE623,MATCH(Tabelle11[[#Headers],[Bastian_G]],Spielauswertung!$B623:$E623,0))+E634)</f>
        <v>117.49978695184252</v>
      </c>
      <c r="F635" s="1">
        <f>IF(IFERROR(MATCH(Tabelle11[[#Headers],[Ben_S]],Spielauswertung!$B623:$E623,0),0)=0,F634,INDEX(Spielauswertung!$AB623:$AE623,MATCH(Tabelle11[[#Headers],[Ben_S]],Spielauswertung!$B623:$E623,0))+F634)</f>
        <v>95.932799101521084</v>
      </c>
      <c r="G635" s="1">
        <f>IF(IFERROR(MATCH(Tabelle11[[#Headers],[Benedikt_K]],Spielauswertung!$B623:$E623,0),0)=0,G634,INDEX(Spielauswertung!$AB623:$AE623,MATCH(Tabelle11[[#Headers],[Benedikt_K]],Spielauswertung!$B623:$E623,0))+G634)</f>
        <v>101.20264176422626</v>
      </c>
      <c r="H635" s="1">
        <f>IF(IFERROR(MATCH(Tabelle11[[#Headers],[Benedikt_R]],Spielauswertung!$B623:$E623,0),0)=0,H634,INDEX(Spielauswertung!$AB623:$AE623,MATCH(Tabelle11[[#Headers],[Benedikt_R]],Spielauswertung!$B623:$E623,0))+H634)</f>
        <v>102.6264770510757</v>
      </c>
      <c r="I635" s="1">
        <f>IF(IFERROR(MATCH(Tabelle11[[#Headers],[Carsten_H]],Spielauswertung!$B623:$E623,0),0)=0,I634,INDEX(Spielauswertung!$AB623:$AE623,MATCH(Tabelle11[[#Headers],[Carsten_H]],Spielauswertung!$B623:$E623,0))+I634)</f>
        <v>90.817185094326874</v>
      </c>
      <c r="J635" s="1">
        <f>IF(IFERROR(MATCH(Tabelle11[[#Headers],[Christoph_R]],Spielauswertung!$B623:$E623,0),0)=0,J634,INDEX(Spielauswertung!$AB623:$AE623,MATCH(Tabelle11[[#Headers],[Christoph_R]],Spielauswertung!$B623:$E623,0))+J634)</f>
        <v>109.73261611443155</v>
      </c>
      <c r="K635" s="1">
        <f>IF(IFERROR(MATCH(Tabelle11[[#Headers],[Claudius_J]],Spielauswertung!$B623:$E623,0),0)=0,K634,INDEX(Spielauswertung!$AB623:$AE623,MATCH(Tabelle11[[#Headers],[Claudius_J]],Spielauswertung!$B623:$E623,0))+K634)</f>
        <v>106.16590636000029</v>
      </c>
      <c r="L635" s="1">
        <f>IF(IFERROR(MATCH(Tabelle11[[#Headers],[Daniel_D]],Spielauswertung!$B623:$E623,0),0)=0,L634,INDEX(Spielauswertung!$AB623:$AE623,MATCH(Tabelle11[[#Headers],[Daniel_D]],Spielauswertung!$B623:$E623,0))+L634)</f>
        <v>99.990299180470089</v>
      </c>
      <c r="M635" s="1">
        <f>IF(IFERROR(MATCH(Tabelle11[[#Headers],[David_R]],Spielauswertung!$B623:$E623,0),0)=0,M634,INDEX(Spielauswertung!$AB623:$AE623,MATCH(Tabelle11[[#Headers],[David_R]],Spielauswertung!$B623:$E623,0))+M634)</f>
        <v>96.715943522481638</v>
      </c>
      <c r="N635" s="1">
        <f>IF(IFERROR(MATCH(Tabelle11[[#Headers],[Dennis_P]],Spielauswertung!$B623:$E623,0),0)=0,N634,INDEX(Spielauswertung!$AB623:$AE623,MATCH(Tabelle11[[#Headers],[Dennis_P]],Spielauswertung!$B623:$E623,0))+N634)</f>
        <v>100.04773223105254</v>
      </c>
      <c r="O635" s="1">
        <f>IF(IFERROR(MATCH(Tabelle11[[#Headers],[Dennis_R]],Spielauswertung!$B623:$E623,0),0)=0,O634,INDEX(Spielauswertung!$AB623:$AE623,MATCH(Tabelle11[[#Headers],[Dennis_R]],Spielauswertung!$B623:$E623,0))+O634)</f>
        <v>75.131680864937195</v>
      </c>
      <c r="P635" s="1">
        <f>IF(IFERROR(MATCH(Tabelle11[[#Headers],[Detlef_R]],Spielauswertung!$B623:$E623,0),0)=0,P634,INDEX(Spielauswertung!$AB623:$AE623,MATCH(Tabelle11[[#Headers],[Detlef_R]],Spielauswertung!$B623:$E623,0))+P634)</f>
        <v>87.984671797367014</v>
      </c>
      <c r="Q635" s="1">
        <f>IF(IFERROR(MATCH(Tabelle11[[#Headers],[Dmitrij_M]],Spielauswertung!$B623:$E623,0),0)=0,Q634,INDEX(Spielauswertung!$AB623:$AE623,MATCH(Tabelle11[[#Headers],[Dmitrij_M]],Spielauswertung!$B623:$E623,0))+Q634)</f>
        <v>100.69975721846207</v>
      </c>
      <c r="R635" s="1">
        <f>IF(IFERROR(MATCH(Tabelle11[[#Headers],[Fabian_M]],Spielauswertung!$B623:$E623,0),0)=0,R634,INDEX(Spielauswertung!$AB623:$AE623,MATCH(Tabelle11[[#Headers],[Fabian_M]],Spielauswertung!$B623:$E623,0))+R634)</f>
        <v>95.805387841610738</v>
      </c>
      <c r="S635" s="1">
        <f>IF(IFERROR(MATCH(Tabelle11[[#Headers],[Hannes_S]],Spielauswertung!$B623:$E623,0),0)=0,S634,INDEX(Spielauswertung!$AB623:$AE623,MATCH(Tabelle11[[#Headers],[Hannes_S]],Spielauswertung!$B623:$E623,0))+S634)</f>
        <v>104.83899184012799</v>
      </c>
      <c r="T635" s="1">
        <f>IF(IFERROR(MATCH(Tabelle11[[#Headers],[Jan_B]],Spielauswertung!$B623:$E623,0),0)=0,T634,INDEX(Spielauswertung!$AB623:$AE623,MATCH(Tabelle11[[#Headers],[Jan_B]],Spielauswertung!$B623:$E623,0))+T634)</f>
        <v>100.2794420429173</v>
      </c>
      <c r="U635" s="1">
        <f>IF(IFERROR(MATCH(Tabelle11[[#Headers],[Jan_Hendrik_B]],Spielauswertung!$B623:$E623,0),0)=0,U634,INDEX(Spielauswertung!$AB623:$AE623,MATCH(Tabelle11[[#Headers],[Jan_Hendrik_B]],Spielauswertung!$B623:$E623,0))+U634)</f>
        <v>100.75492416935522</v>
      </c>
      <c r="V635" s="1">
        <f>IF(IFERROR(MATCH(Tabelle11[[#Headers],[Jens_N]],Spielauswertung!$B623:$E623,0),0)=0,V634,INDEX(Spielauswertung!$AB623:$AE623,MATCH(Tabelle11[[#Headers],[Jens_N]],Spielauswertung!$B623:$E623,0))+V634)</f>
        <v>99.643534710196832</v>
      </c>
      <c r="W635" s="1">
        <f>IF(IFERROR(MATCH(Tabelle11[[#Headers],[Johannes_S]],Spielauswertung!$B623:$E623,0),0)=0,W634,INDEX(Spielauswertung!$AB623:$AE623,MATCH(Tabelle11[[#Headers],[Johannes_S]],Spielauswertung!$B623:$E623,0))+W634)</f>
        <v>102.20284750979505</v>
      </c>
      <c r="X635" s="1">
        <f>IF(IFERROR(MATCH(Tabelle11[[#Headers],[Jonathan_F]],Spielauswertung!$B623:$E623,0),0)=0,X634,INDEX(Spielauswertung!$AB623:$AE623,MATCH(Tabelle11[[#Headers],[Jonathan_F]],Spielauswertung!$B623:$E623,0))+X634)</f>
        <v>98.938308797866256</v>
      </c>
      <c r="Y635" s="1">
        <f>IF(IFERROR(MATCH(Tabelle11[[#Headers],[Julius_P]],Spielauswertung!$B623:$E623,0),0)=0,Y634,INDEX(Spielauswertung!$AB623:$AE623,MATCH(Tabelle11[[#Headers],[Julius_P]],Spielauswertung!$B623:$E623,0))+Y634)</f>
        <v>96.540305101873642</v>
      </c>
      <c r="Z635" s="1">
        <f>IF(IFERROR(MATCH(Tabelle11[[#Headers],[Louis_W]],Spielauswertung!$B623:$E623,0),0)=0,Z634,INDEX(Spielauswertung!$AB623:$AE623,MATCH(Tabelle11[[#Headers],[Louis_W]],Spielauswertung!$B623:$E623,0))+Z634)</f>
        <v>87.497452285475362</v>
      </c>
      <c r="AA635" s="1">
        <f>IF(IFERROR(MATCH(Tabelle11[[#Headers],[Lukas_L]],Spielauswertung!$B623:$E623,0),0)=0,AA634,INDEX(Spielauswertung!$AB623:$AE623,MATCH(Tabelle11[[#Headers],[Lukas_L]],Spielauswertung!$B623:$E623,0))+AA634)</f>
        <v>98.447931341404143</v>
      </c>
      <c r="AB635" s="1">
        <f>IF(IFERROR(MATCH(Tabelle11[[#Headers],[Marcin_S]],Spielauswertung!$B623:$E623,0),0)=0,AB634,INDEX(Spielauswertung!$AB623:$AE623,MATCH(Tabelle11[[#Headers],[Marcin_S]],Spielauswertung!$B623:$E623,0))+AB634)</f>
        <v>85.463329105556824</v>
      </c>
      <c r="AC635" s="1">
        <f>IF(IFERROR(MATCH(Tabelle11[[#Headers],[Marco_K]],Spielauswertung!$B623:$E623,0),0)=0,AC634,INDEX(Spielauswertung!$AB623:$AE623,MATCH(Tabelle11[[#Headers],[Marco_K]],Spielauswertung!$B623:$E623,0))+AC634)</f>
        <v>102.12169819441469</v>
      </c>
      <c r="AD635" s="1">
        <f>IF(IFERROR(MATCH(Tabelle11[[#Headers],[Marius_M]],Spielauswertung!$B623:$E623,0),0)=0,AD634,INDEX(Spielauswertung!$AB623:$AE623,MATCH(Tabelle11[[#Headers],[Marius_M]],Spielauswertung!$B623:$E623,0))+AD634)</f>
        <v>124.54012374585781</v>
      </c>
      <c r="AE635" s="1">
        <f>IF(IFERROR(MATCH(Tabelle11[[#Headers],[Marvin_W]],Spielauswertung!$B623:$E623,0),0)=0,AE634,INDEX(Spielauswertung!$AB623:$AE623,MATCH(Tabelle11[[#Headers],[Marvin_W]],Spielauswertung!$B623:$E623,0))+AE634)</f>
        <v>96.700266280577438</v>
      </c>
      <c r="AF635" s="1">
        <f>IF(IFERROR(MATCH(Tabelle11[[#Headers],[Matthias_H]],Spielauswertung!$B623:$E623,0),0)=0,AF634,INDEX(Spielauswertung!$AB623:$AE623,MATCH(Tabelle11[[#Headers],[Matthias_H]],Spielauswertung!$B623:$E623,0))+AF634)</f>
        <v>105.42130178599372</v>
      </c>
      <c r="AG635" s="1">
        <f>IF(IFERROR(MATCH(Tabelle11[[#Headers],[Michael_D]],Spielauswertung!$B623:$E623,0),0)=0,AG634,INDEX(Spielauswertung!$AB623:$AE623,MATCH(Tabelle11[[#Headers],[Michael_D]],Spielauswertung!$B623:$E623,0))+AG634)</f>
        <v>96.436276170375336</v>
      </c>
      <c r="AH635" s="1">
        <f>IF(IFERROR(MATCH(Tabelle11[[#Headers],[Patrick_S]],Spielauswertung!$B623:$E623,0),0)=0,AH634,INDEX(Spielauswertung!$AB623:$AE623,MATCH(Tabelle11[[#Headers],[Patrick_S]],Spielauswertung!$B623:$E623,0))+AH634)</f>
        <v>98.975330692053802</v>
      </c>
      <c r="AI635" s="1">
        <f>IF(IFERROR(MATCH(Tabelle11[[#Headers],[Rano_M]],Spielauswertung!$B623:$E623,0),0)=0,AI634,INDEX(Spielauswertung!$AB623:$AE623,MATCH(Tabelle11[[#Headers],[Rano_M]],Spielauswertung!$B623:$E623,0))+AI634)</f>
        <v>109.38890657420265</v>
      </c>
      <c r="AJ635" s="1">
        <f>IF(IFERROR(MATCH(Tabelle11[[#Headers],[Rene_N]],Spielauswertung!$B623:$E623,0),0)=0,AJ634,INDEX(Spielauswertung!$AB623:$AE623,MATCH(Tabelle11[[#Headers],[Rene_N]],Spielauswertung!$B623:$E623,0))+AJ634)</f>
        <v>101.06482124619033</v>
      </c>
      <c r="AK635" s="1">
        <f>IF(IFERROR(MATCH(Tabelle11[[#Headers],[Rene_P]],Spielauswertung!$B623:$E623,0),0)=0,AK634,INDEX(Spielauswertung!$AB623:$AE623,MATCH(Tabelle11[[#Headers],[Rene_P]],Spielauswertung!$B623:$E623,0))+AK634)</f>
        <v>88.762543186332877</v>
      </c>
      <c r="AL635" s="1">
        <f>IF(IFERROR(MATCH(Tabelle11[[#Headers],[Richard_D]],Spielauswertung!$B623:$E623,0),0)=0,AL634,INDEX(Spielauswertung!$AB623:$AE623,MATCH(Tabelle11[[#Headers],[Richard_D]],Spielauswertung!$B623:$E623,0))+AL634)</f>
        <v>107.23233592026223</v>
      </c>
      <c r="AM635" s="1">
        <f>IF(IFERROR(MATCH(Tabelle11[[#Headers],[Rodrigo_R]],Spielauswertung!$B623:$E623,0),0)=0,AM634,INDEX(Spielauswertung!$AB623:$AE623,MATCH(Tabelle11[[#Headers],[Rodrigo_R]],Spielauswertung!$B623:$E623,0))+AM634)</f>
        <v>116.7028707921346</v>
      </c>
      <c r="AN635" s="1">
        <f>IF(IFERROR(MATCH(Tabelle11[[#Headers],[Sebastian_A]],Spielauswertung!$B623:$E623,0),0)=0,AN634,INDEX(Spielauswertung!$AB623:$AE623,MATCH(Tabelle11[[#Headers],[Sebastian_A]],Spielauswertung!$B623:$E623,0))+AN634)</f>
        <v>102.89457418671324</v>
      </c>
      <c r="AO635" s="1">
        <f>IF(IFERROR(MATCH(Tabelle11[[#Headers],[Sebastian_St]],Spielauswertung!$B623:$E623,0),0)=0,AO634,INDEX(Spielauswertung!$AB623:$AE623,MATCH(Tabelle11[[#Headers],[Sebastian_St]],Spielauswertung!$B623:$E623,0))+AO634)</f>
        <v>97.749574367408982</v>
      </c>
      <c r="AP635" s="1">
        <f>IF(IFERROR(MATCH(Tabelle11[[#Headers],[Simon_U]],Spielauswertung!$B623:$E623,0),0)=0,AP634,INDEX(Spielauswertung!$AB623:$AE623,MATCH(Tabelle11[[#Headers],[Simon_U]],Spielauswertung!$B623:$E623,0))+AP634)</f>
        <v>99.623054841470903</v>
      </c>
      <c r="AQ635" s="1">
        <f>IF(IFERROR(MATCH(Tabelle11[[#Headers],[Steffen_R]],Spielauswertung!$B623:$E623,0),0)=0,AQ634,INDEX(Spielauswertung!$AB623:$AE623,MATCH(Tabelle11[[#Headers],[Steffen_R]],Spielauswertung!$B623:$E623,0))+AQ634)</f>
        <v>93.247497067190949</v>
      </c>
      <c r="AR635" s="1">
        <f>IF(IFERROR(MATCH(Tabelle11[[#Headers],[Tim_R]],Spielauswertung!$B623:$E623,0),0)=0,AR634,INDEX(Spielauswertung!$AB623:$AE623,MATCH(Tabelle11[[#Headers],[Tim_R]],Spielauswertung!$B623:$E623,0))+AR634)</f>
        <v>103.07503787023374</v>
      </c>
      <c r="AS635" s="1">
        <f>IF(IFERROR(MATCH(Tabelle11[[#Headers],[Tobias_S]],Spielauswertung!$B623:$E623,0),0)=0,AS634,INDEX(Spielauswertung!$AB623:$AE623,MATCH(Tabelle11[[#Headers],[Tobias_S]],Spielauswertung!$B623:$E623,0))+AS634)</f>
        <v>98.6003422659997</v>
      </c>
      <c r="AT635" s="1">
        <f>IF(IFERROR(MATCH(Tabelle11[[#Headers],[Tom_R]],Spielauswertung!$B623:$E623,0),0)=0,AT634,INDEX(Spielauswertung!$AB623:$AE623,MATCH(Tabelle11[[#Headers],[Tom_R]],Spielauswertung!$B623:$E623,0))+AT634)</f>
        <v>112.62344492949197</v>
      </c>
      <c r="AU635" s="1">
        <f>IF(IFERROR(MATCH(Tabelle11[[#Headers],[Ton_L]],Spielauswertung!$B623:$E623,0),0)=0,AU634,INDEX(Spielauswertung!$AB623:$AE623,MATCH(Tabelle11[[#Headers],[Ton_L]],Spielauswertung!$B623:$E623,0))+AU634)</f>
        <v>92.683083360025861</v>
      </c>
      <c r="AV635" s="1">
        <f>IF(IFERROR(MATCH(Tabelle11[[#Headers],[Yixin_G]],Spielauswertung!$B623:$E623,0),0)=0,AV634,INDEX(Spielauswertung!$AB623:$AE623,MATCH(Tabelle11[[#Headers],[Yixin_G]],Spielauswertung!$B623:$E623,0))+AV634)</f>
        <v>99.900323214082661</v>
      </c>
      <c r="AW635" s="1">
        <f>IF(IFERROR(MATCH(Tabelle11[[#Headers],[Spalte36]],Spielauswertung!$B623:$E623,0),0)=0,AW634,INDEX(Spielauswertung!$AB623:$AE623,MATCH(Tabelle11[[#Headers],[Spalte36]],Spielauswertung!$B623:$E623,0))+AW634)</f>
        <v>100</v>
      </c>
      <c r="AX635" s="1">
        <f>IF(IFERROR(MATCH(Tabelle11[[#Headers],[Spalte37]],Spielauswertung!$B623:$E623,0),0)=0,AX634,INDEX(Spielauswertung!$AB623:$AE623,MATCH(Tabelle11[[#Headers],[Spalte37]],Spielauswertung!$B623:$E623,0))+AX634)</f>
        <v>100</v>
      </c>
      <c r="AY635" s="1">
        <f>IF(IFERROR(MATCH(Tabelle11[[#Headers],[Spalte38]],Spielauswertung!$B623:$E623,0),0)=0,AY634,INDEX(Spielauswertung!$AB623:$AE623,MATCH(Tabelle11[[#Headers],[Spalte38]],Spielauswertung!$B623:$E623,0))+AY634)</f>
        <v>100</v>
      </c>
      <c r="AZ635" s="1">
        <f>IF(IFERROR(MATCH(Tabelle11[[#Headers],[Spalte39]],Spielauswertung!$B623:$E623,0),0)=0,AZ634,INDEX(Spielauswertung!$AB623:$AE623,MATCH(Tabelle11[[#Headers],[Spalte39]],Spielauswertung!$B623:$E623,0))+AZ634)</f>
        <v>100</v>
      </c>
      <c r="BA635" s="1">
        <f>IF(IFERROR(MATCH(Tabelle11[[#Headers],[Spalte40]],Spielauswertung!$B623:$E623,0),0)=0,BA634,INDEX(Spielauswertung!$AB623:$AE623,MATCH(Tabelle11[[#Headers],[Spalte40]],Spielauswertung!$B623:$E623,0))+BA634)</f>
        <v>100</v>
      </c>
      <c r="BB635" s="1">
        <f>IF(IFERROR(MATCH(Tabelle11[[#Headers],[Spalte41]],Spielauswertung!$B623:$E623,0),0)=0,BB634,INDEX(Spielauswertung!$AB623:$AE623,MATCH(Tabelle11[[#Headers],[Spalte41]],Spielauswertung!$B623:$E623,0))+BB634)</f>
        <v>100</v>
      </c>
      <c r="BC635" s="1">
        <f>IF(IFERROR(MATCH(Tabelle11[[#Headers],[Spalte42]],Spielauswertung!$B623:$E623,0),0)=0,BC634,INDEX(Spielauswertung!$AB623:$AE623,MATCH(Tabelle11[[#Headers],[Spalte42]],Spielauswertung!$B623:$E623,0))+BC634)</f>
        <v>100</v>
      </c>
      <c r="BD635" s="1">
        <f>IF(IFERROR(MATCH(Tabelle11[[#Headers],[Spalte43]],Spielauswertung!$B623:$E623,0),0)=0,BD634,INDEX(Spielauswertung!$AB623:$AE623,MATCH(Tabelle11[[#Headers],[Spalte43]],Spielauswertung!$B623:$E623,0))+BD634)</f>
        <v>100</v>
      </c>
      <c r="BE635" s="1">
        <f>IF(IFERROR(MATCH(Tabelle11[[#Headers],[Spalte44]],Spielauswertung!$B623:$E623,0),0)=0,BE634,INDEX(Spielauswertung!$AB623:$AE623,MATCH(Tabelle11[[#Headers],[Spalte44]],Spielauswertung!$B623:$E623,0))+BE634)</f>
        <v>100</v>
      </c>
      <c r="BF635" s="1">
        <f>IF(IFERROR(MATCH(Tabelle11[[#Headers],[Spalte45]],Spielauswertung!$B623:$E623,0),0)=0,BF634,INDEX(Spielauswertung!$AB623:$AE623,MATCH(Tabelle11[[#Headers],[Spalte45]],Spielauswertung!$B623:$E623,0))+BF634)</f>
        <v>100</v>
      </c>
      <c r="BG635" s="1">
        <f>IF(IFERROR(MATCH(Tabelle11[[#Headers],[Spalte46]],Spielauswertung!$B623:$E623,0),0)=0,BG634,INDEX(Spielauswertung!$AB623:$AE623,MATCH(Tabelle11[[#Headers],[Spalte46]],Spielauswertung!$B623:$E623,0))+BG634)</f>
        <v>100</v>
      </c>
      <c r="BH635" s="1">
        <f>IF(IFERROR(MATCH(Tabelle11[[#Headers],[Spalte47]],Spielauswertung!$B623:$E623,0),0)=0,BH634,INDEX(Spielauswertung!$AB623:$AE623,MATCH(Tabelle11[[#Headers],[Spalte47]],Spielauswertung!$B623:$E623,0))+BH634)</f>
        <v>100</v>
      </c>
    </row>
    <row r="636" spans="1:60" x14ac:dyDescent="0.25">
      <c r="A636">
        <f t="shared" si="10"/>
        <v>623</v>
      </c>
      <c r="B636" s="1">
        <f>IF(IFERROR(MATCH(Tabelle11[[#Headers],[Aleix_V]],Spielauswertung!$B624:$E624,0),0)=0,B635,INDEX(Spielauswertung!$AB624:$AE624,MATCH(Tabelle11[[#Headers],[Aleix_V]],Spielauswertung!$B624:$E624,0))+B635)</f>
        <v>102.47318019444646</v>
      </c>
      <c r="C636" s="1">
        <f>IF(IFERROR(MATCH(Tabelle11[[#Headers],[Andres_H]],Spielauswertung!$B624:$E624,0),0)=0,C635,INDEX(Spielauswertung!$AB624:$AE624,MATCH(Tabelle11[[#Headers],[Andres_H]],Spielauswertung!$B624:$E624,0))+C635)</f>
        <v>95.535732339111306</v>
      </c>
      <c r="D636" s="1">
        <f>IF(IFERROR(MATCH(Tabelle11[[#Headers],[Anton_K]],Spielauswertung!$B624:$E624,0),0)=0,D635,INDEX(Spielauswertung!$AB624:$AE624,MATCH(Tabelle11[[#Headers],[Anton_K]],Spielauswertung!$B624:$E624,0))+D635)</f>
        <v>99.287728777054667</v>
      </c>
      <c r="E636" s="1">
        <f>IF(IFERROR(MATCH(Tabelle11[[#Headers],[Bastian_G]],Spielauswertung!$B624:$E624,0),0)=0,E635,INDEX(Spielauswertung!$AB624:$AE624,MATCH(Tabelle11[[#Headers],[Bastian_G]],Spielauswertung!$B624:$E624,0))+E635)</f>
        <v>117.49978695184252</v>
      </c>
      <c r="F636" s="1">
        <f>IF(IFERROR(MATCH(Tabelle11[[#Headers],[Ben_S]],Spielauswertung!$B624:$E624,0),0)=0,F635,INDEX(Spielauswertung!$AB624:$AE624,MATCH(Tabelle11[[#Headers],[Ben_S]],Spielauswertung!$B624:$E624,0))+F635)</f>
        <v>95.932799101521084</v>
      </c>
      <c r="G636" s="1">
        <f>IF(IFERROR(MATCH(Tabelle11[[#Headers],[Benedikt_K]],Spielauswertung!$B624:$E624,0),0)=0,G635,INDEX(Spielauswertung!$AB624:$AE624,MATCH(Tabelle11[[#Headers],[Benedikt_K]],Spielauswertung!$B624:$E624,0))+G635)</f>
        <v>101.20264176422626</v>
      </c>
      <c r="H636" s="1">
        <f>IF(IFERROR(MATCH(Tabelle11[[#Headers],[Benedikt_R]],Spielauswertung!$B624:$E624,0),0)=0,H635,INDEX(Spielauswertung!$AB624:$AE624,MATCH(Tabelle11[[#Headers],[Benedikt_R]],Spielauswertung!$B624:$E624,0))+H635)</f>
        <v>102.6264770510757</v>
      </c>
      <c r="I636" s="1">
        <f>IF(IFERROR(MATCH(Tabelle11[[#Headers],[Carsten_H]],Spielauswertung!$B624:$E624,0),0)=0,I635,INDEX(Spielauswertung!$AB624:$AE624,MATCH(Tabelle11[[#Headers],[Carsten_H]],Spielauswertung!$B624:$E624,0))+I635)</f>
        <v>90.817185094326874</v>
      </c>
      <c r="J636" s="1">
        <f>IF(IFERROR(MATCH(Tabelle11[[#Headers],[Christoph_R]],Spielauswertung!$B624:$E624,0),0)=0,J635,INDEX(Spielauswertung!$AB624:$AE624,MATCH(Tabelle11[[#Headers],[Christoph_R]],Spielauswertung!$B624:$E624,0))+J635)</f>
        <v>109.73261611443155</v>
      </c>
      <c r="K636" s="1">
        <f>IF(IFERROR(MATCH(Tabelle11[[#Headers],[Claudius_J]],Spielauswertung!$B624:$E624,0),0)=0,K635,INDEX(Spielauswertung!$AB624:$AE624,MATCH(Tabelle11[[#Headers],[Claudius_J]],Spielauswertung!$B624:$E624,0))+K635)</f>
        <v>106.16590636000029</v>
      </c>
      <c r="L636" s="1">
        <f>IF(IFERROR(MATCH(Tabelle11[[#Headers],[Daniel_D]],Spielauswertung!$B624:$E624,0),0)=0,L635,INDEX(Spielauswertung!$AB624:$AE624,MATCH(Tabelle11[[#Headers],[Daniel_D]],Spielauswertung!$B624:$E624,0))+L635)</f>
        <v>99.990299180470089</v>
      </c>
      <c r="M636" s="1">
        <f>IF(IFERROR(MATCH(Tabelle11[[#Headers],[David_R]],Spielauswertung!$B624:$E624,0),0)=0,M635,INDEX(Spielauswertung!$AB624:$AE624,MATCH(Tabelle11[[#Headers],[David_R]],Spielauswertung!$B624:$E624,0))+M635)</f>
        <v>96.715943522481638</v>
      </c>
      <c r="N636" s="1">
        <f>IF(IFERROR(MATCH(Tabelle11[[#Headers],[Dennis_P]],Spielauswertung!$B624:$E624,0),0)=0,N635,INDEX(Spielauswertung!$AB624:$AE624,MATCH(Tabelle11[[#Headers],[Dennis_P]],Spielauswertung!$B624:$E624,0))+N635)</f>
        <v>100.04773223105254</v>
      </c>
      <c r="O636" s="1">
        <f>IF(IFERROR(MATCH(Tabelle11[[#Headers],[Dennis_R]],Spielauswertung!$B624:$E624,0),0)=0,O635,INDEX(Spielauswertung!$AB624:$AE624,MATCH(Tabelle11[[#Headers],[Dennis_R]],Spielauswertung!$B624:$E624,0))+O635)</f>
        <v>75.131680864937195</v>
      </c>
      <c r="P636" s="1">
        <f>IF(IFERROR(MATCH(Tabelle11[[#Headers],[Detlef_R]],Spielauswertung!$B624:$E624,0),0)=0,P635,INDEX(Spielauswertung!$AB624:$AE624,MATCH(Tabelle11[[#Headers],[Detlef_R]],Spielauswertung!$B624:$E624,0))+P635)</f>
        <v>87.984671797367014</v>
      </c>
      <c r="Q636" s="1">
        <f>IF(IFERROR(MATCH(Tabelle11[[#Headers],[Dmitrij_M]],Spielauswertung!$B624:$E624,0),0)=0,Q635,INDEX(Spielauswertung!$AB624:$AE624,MATCH(Tabelle11[[#Headers],[Dmitrij_M]],Spielauswertung!$B624:$E624,0))+Q635)</f>
        <v>100.69975721846207</v>
      </c>
      <c r="R636" s="1">
        <f>IF(IFERROR(MATCH(Tabelle11[[#Headers],[Fabian_M]],Spielauswertung!$B624:$E624,0),0)=0,R635,INDEX(Spielauswertung!$AB624:$AE624,MATCH(Tabelle11[[#Headers],[Fabian_M]],Spielauswertung!$B624:$E624,0))+R635)</f>
        <v>95.805387841610738</v>
      </c>
      <c r="S636" s="1">
        <f>IF(IFERROR(MATCH(Tabelle11[[#Headers],[Hannes_S]],Spielauswertung!$B624:$E624,0),0)=0,S635,INDEX(Spielauswertung!$AB624:$AE624,MATCH(Tabelle11[[#Headers],[Hannes_S]],Spielauswertung!$B624:$E624,0))+S635)</f>
        <v>104.83899184012799</v>
      </c>
      <c r="T636" s="1">
        <f>IF(IFERROR(MATCH(Tabelle11[[#Headers],[Jan_B]],Spielauswertung!$B624:$E624,0),0)=0,T635,INDEX(Spielauswertung!$AB624:$AE624,MATCH(Tabelle11[[#Headers],[Jan_B]],Spielauswertung!$B624:$E624,0))+T635)</f>
        <v>100.2794420429173</v>
      </c>
      <c r="U636" s="1">
        <f>IF(IFERROR(MATCH(Tabelle11[[#Headers],[Jan_Hendrik_B]],Spielauswertung!$B624:$E624,0),0)=0,U635,INDEX(Spielauswertung!$AB624:$AE624,MATCH(Tabelle11[[#Headers],[Jan_Hendrik_B]],Spielauswertung!$B624:$E624,0))+U635)</f>
        <v>100.75492416935522</v>
      </c>
      <c r="V636" s="1">
        <f>IF(IFERROR(MATCH(Tabelle11[[#Headers],[Jens_N]],Spielauswertung!$B624:$E624,0),0)=0,V635,INDEX(Spielauswertung!$AB624:$AE624,MATCH(Tabelle11[[#Headers],[Jens_N]],Spielauswertung!$B624:$E624,0))+V635)</f>
        <v>99.643534710196832</v>
      </c>
      <c r="W636" s="1">
        <f>IF(IFERROR(MATCH(Tabelle11[[#Headers],[Johannes_S]],Spielauswertung!$B624:$E624,0),0)=0,W635,INDEX(Spielauswertung!$AB624:$AE624,MATCH(Tabelle11[[#Headers],[Johannes_S]],Spielauswertung!$B624:$E624,0))+W635)</f>
        <v>102.20284750979505</v>
      </c>
      <c r="X636" s="1">
        <f>IF(IFERROR(MATCH(Tabelle11[[#Headers],[Jonathan_F]],Spielauswertung!$B624:$E624,0),0)=0,X635,INDEX(Spielauswertung!$AB624:$AE624,MATCH(Tabelle11[[#Headers],[Jonathan_F]],Spielauswertung!$B624:$E624,0))+X635)</f>
        <v>98.938308797866256</v>
      </c>
      <c r="Y636" s="1">
        <f>IF(IFERROR(MATCH(Tabelle11[[#Headers],[Julius_P]],Spielauswertung!$B624:$E624,0),0)=0,Y635,INDEX(Spielauswertung!$AB624:$AE624,MATCH(Tabelle11[[#Headers],[Julius_P]],Spielauswertung!$B624:$E624,0))+Y635)</f>
        <v>96.540305101873642</v>
      </c>
      <c r="Z636" s="1">
        <f>IF(IFERROR(MATCH(Tabelle11[[#Headers],[Louis_W]],Spielauswertung!$B624:$E624,0),0)=0,Z635,INDEX(Spielauswertung!$AB624:$AE624,MATCH(Tabelle11[[#Headers],[Louis_W]],Spielauswertung!$B624:$E624,0))+Z635)</f>
        <v>87.497452285475362</v>
      </c>
      <c r="AA636" s="1">
        <f>IF(IFERROR(MATCH(Tabelle11[[#Headers],[Lukas_L]],Spielauswertung!$B624:$E624,0),0)=0,AA635,INDEX(Spielauswertung!$AB624:$AE624,MATCH(Tabelle11[[#Headers],[Lukas_L]],Spielauswertung!$B624:$E624,0))+AA635)</f>
        <v>98.447931341404143</v>
      </c>
      <c r="AB636" s="1">
        <f>IF(IFERROR(MATCH(Tabelle11[[#Headers],[Marcin_S]],Spielauswertung!$B624:$E624,0),0)=0,AB635,INDEX(Spielauswertung!$AB624:$AE624,MATCH(Tabelle11[[#Headers],[Marcin_S]],Spielauswertung!$B624:$E624,0))+AB635)</f>
        <v>85.463329105556824</v>
      </c>
      <c r="AC636" s="1">
        <f>IF(IFERROR(MATCH(Tabelle11[[#Headers],[Marco_K]],Spielauswertung!$B624:$E624,0),0)=0,AC635,INDEX(Spielauswertung!$AB624:$AE624,MATCH(Tabelle11[[#Headers],[Marco_K]],Spielauswertung!$B624:$E624,0))+AC635)</f>
        <v>102.12169819441469</v>
      </c>
      <c r="AD636" s="1">
        <f>IF(IFERROR(MATCH(Tabelle11[[#Headers],[Marius_M]],Spielauswertung!$B624:$E624,0),0)=0,AD635,INDEX(Spielauswertung!$AB624:$AE624,MATCH(Tabelle11[[#Headers],[Marius_M]],Spielauswertung!$B624:$E624,0))+AD635)</f>
        <v>124.54012374585781</v>
      </c>
      <c r="AE636" s="1">
        <f>IF(IFERROR(MATCH(Tabelle11[[#Headers],[Marvin_W]],Spielauswertung!$B624:$E624,0),0)=0,AE635,INDEX(Spielauswertung!$AB624:$AE624,MATCH(Tabelle11[[#Headers],[Marvin_W]],Spielauswertung!$B624:$E624,0))+AE635)</f>
        <v>96.700266280577438</v>
      </c>
      <c r="AF636" s="1">
        <f>IF(IFERROR(MATCH(Tabelle11[[#Headers],[Matthias_H]],Spielauswertung!$B624:$E624,0),0)=0,AF635,INDEX(Spielauswertung!$AB624:$AE624,MATCH(Tabelle11[[#Headers],[Matthias_H]],Spielauswertung!$B624:$E624,0))+AF635)</f>
        <v>105.42130178599372</v>
      </c>
      <c r="AG636" s="1">
        <f>IF(IFERROR(MATCH(Tabelle11[[#Headers],[Michael_D]],Spielauswertung!$B624:$E624,0),0)=0,AG635,INDEX(Spielauswertung!$AB624:$AE624,MATCH(Tabelle11[[#Headers],[Michael_D]],Spielauswertung!$B624:$E624,0))+AG635)</f>
        <v>96.436276170375336</v>
      </c>
      <c r="AH636" s="1">
        <f>IF(IFERROR(MATCH(Tabelle11[[#Headers],[Patrick_S]],Spielauswertung!$B624:$E624,0),0)=0,AH635,INDEX(Spielauswertung!$AB624:$AE624,MATCH(Tabelle11[[#Headers],[Patrick_S]],Spielauswertung!$B624:$E624,0))+AH635)</f>
        <v>98.975330692053802</v>
      </c>
      <c r="AI636" s="1">
        <f>IF(IFERROR(MATCH(Tabelle11[[#Headers],[Rano_M]],Spielauswertung!$B624:$E624,0),0)=0,AI635,INDEX(Spielauswertung!$AB624:$AE624,MATCH(Tabelle11[[#Headers],[Rano_M]],Spielauswertung!$B624:$E624,0))+AI635)</f>
        <v>109.38890657420265</v>
      </c>
      <c r="AJ636" s="1">
        <f>IF(IFERROR(MATCH(Tabelle11[[#Headers],[Rene_N]],Spielauswertung!$B624:$E624,0),0)=0,AJ635,INDEX(Spielauswertung!$AB624:$AE624,MATCH(Tabelle11[[#Headers],[Rene_N]],Spielauswertung!$B624:$E624,0))+AJ635)</f>
        <v>101.06482124619033</v>
      </c>
      <c r="AK636" s="1">
        <f>IF(IFERROR(MATCH(Tabelle11[[#Headers],[Rene_P]],Spielauswertung!$B624:$E624,0),0)=0,AK635,INDEX(Spielauswertung!$AB624:$AE624,MATCH(Tabelle11[[#Headers],[Rene_P]],Spielauswertung!$B624:$E624,0))+AK635)</f>
        <v>88.762543186332877</v>
      </c>
      <c r="AL636" s="1">
        <f>IF(IFERROR(MATCH(Tabelle11[[#Headers],[Richard_D]],Spielauswertung!$B624:$E624,0),0)=0,AL635,INDEX(Spielauswertung!$AB624:$AE624,MATCH(Tabelle11[[#Headers],[Richard_D]],Spielauswertung!$B624:$E624,0))+AL635)</f>
        <v>107.23233592026223</v>
      </c>
      <c r="AM636" s="1">
        <f>IF(IFERROR(MATCH(Tabelle11[[#Headers],[Rodrigo_R]],Spielauswertung!$B624:$E624,0),0)=0,AM635,INDEX(Spielauswertung!$AB624:$AE624,MATCH(Tabelle11[[#Headers],[Rodrigo_R]],Spielauswertung!$B624:$E624,0))+AM635)</f>
        <v>116.7028707921346</v>
      </c>
      <c r="AN636" s="1">
        <f>IF(IFERROR(MATCH(Tabelle11[[#Headers],[Sebastian_A]],Spielauswertung!$B624:$E624,0),0)=0,AN635,INDEX(Spielauswertung!$AB624:$AE624,MATCH(Tabelle11[[#Headers],[Sebastian_A]],Spielauswertung!$B624:$E624,0))+AN635)</f>
        <v>102.89457418671324</v>
      </c>
      <c r="AO636" s="1">
        <f>IF(IFERROR(MATCH(Tabelle11[[#Headers],[Sebastian_St]],Spielauswertung!$B624:$E624,0),0)=0,AO635,INDEX(Spielauswertung!$AB624:$AE624,MATCH(Tabelle11[[#Headers],[Sebastian_St]],Spielauswertung!$B624:$E624,0))+AO635)</f>
        <v>97.749574367408982</v>
      </c>
      <c r="AP636" s="1">
        <f>IF(IFERROR(MATCH(Tabelle11[[#Headers],[Simon_U]],Spielauswertung!$B624:$E624,0),0)=0,AP635,INDEX(Spielauswertung!$AB624:$AE624,MATCH(Tabelle11[[#Headers],[Simon_U]],Spielauswertung!$B624:$E624,0))+AP635)</f>
        <v>99.623054841470903</v>
      </c>
      <c r="AQ636" s="1">
        <f>IF(IFERROR(MATCH(Tabelle11[[#Headers],[Steffen_R]],Spielauswertung!$B624:$E624,0),0)=0,AQ635,INDEX(Spielauswertung!$AB624:$AE624,MATCH(Tabelle11[[#Headers],[Steffen_R]],Spielauswertung!$B624:$E624,0))+AQ635)</f>
        <v>93.247497067190949</v>
      </c>
      <c r="AR636" s="1">
        <f>IF(IFERROR(MATCH(Tabelle11[[#Headers],[Tim_R]],Spielauswertung!$B624:$E624,0),0)=0,AR635,INDEX(Spielauswertung!$AB624:$AE624,MATCH(Tabelle11[[#Headers],[Tim_R]],Spielauswertung!$B624:$E624,0))+AR635)</f>
        <v>103.07503787023374</v>
      </c>
      <c r="AS636" s="1">
        <f>IF(IFERROR(MATCH(Tabelle11[[#Headers],[Tobias_S]],Spielauswertung!$B624:$E624,0),0)=0,AS635,INDEX(Spielauswertung!$AB624:$AE624,MATCH(Tabelle11[[#Headers],[Tobias_S]],Spielauswertung!$B624:$E624,0))+AS635)</f>
        <v>98.6003422659997</v>
      </c>
      <c r="AT636" s="1">
        <f>IF(IFERROR(MATCH(Tabelle11[[#Headers],[Tom_R]],Spielauswertung!$B624:$E624,0),0)=0,AT635,INDEX(Spielauswertung!$AB624:$AE624,MATCH(Tabelle11[[#Headers],[Tom_R]],Spielauswertung!$B624:$E624,0))+AT635)</f>
        <v>112.62344492949197</v>
      </c>
      <c r="AU636" s="1">
        <f>IF(IFERROR(MATCH(Tabelle11[[#Headers],[Ton_L]],Spielauswertung!$B624:$E624,0),0)=0,AU635,INDEX(Spielauswertung!$AB624:$AE624,MATCH(Tabelle11[[#Headers],[Ton_L]],Spielauswertung!$B624:$E624,0))+AU635)</f>
        <v>92.683083360025861</v>
      </c>
      <c r="AV636" s="1">
        <f>IF(IFERROR(MATCH(Tabelle11[[#Headers],[Yixin_G]],Spielauswertung!$B624:$E624,0),0)=0,AV635,INDEX(Spielauswertung!$AB624:$AE624,MATCH(Tabelle11[[#Headers],[Yixin_G]],Spielauswertung!$B624:$E624,0))+AV635)</f>
        <v>99.900323214082661</v>
      </c>
      <c r="AW636" s="1">
        <f>IF(IFERROR(MATCH(Tabelle11[[#Headers],[Spalte36]],Spielauswertung!$B624:$E624,0),0)=0,AW635,INDEX(Spielauswertung!$AB624:$AE624,MATCH(Tabelle11[[#Headers],[Spalte36]],Spielauswertung!$B624:$E624,0))+AW635)</f>
        <v>100</v>
      </c>
      <c r="AX636" s="1">
        <f>IF(IFERROR(MATCH(Tabelle11[[#Headers],[Spalte37]],Spielauswertung!$B624:$E624,0),0)=0,AX635,INDEX(Spielauswertung!$AB624:$AE624,MATCH(Tabelle11[[#Headers],[Spalte37]],Spielauswertung!$B624:$E624,0))+AX635)</f>
        <v>100</v>
      </c>
      <c r="AY636" s="1">
        <f>IF(IFERROR(MATCH(Tabelle11[[#Headers],[Spalte38]],Spielauswertung!$B624:$E624,0),0)=0,AY635,INDEX(Spielauswertung!$AB624:$AE624,MATCH(Tabelle11[[#Headers],[Spalte38]],Spielauswertung!$B624:$E624,0))+AY635)</f>
        <v>100</v>
      </c>
      <c r="AZ636" s="1">
        <f>IF(IFERROR(MATCH(Tabelle11[[#Headers],[Spalte39]],Spielauswertung!$B624:$E624,0),0)=0,AZ635,INDEX(Spielauswertung!$AB624:$AE624,MATCH(Tabelle11[[#Headers],[Spalte39]],Spielauswertung!$B624:$E624,0))+AZ635)</f>
        <v>100</v>
      </c>
      <c r="BA636" s="1">
        <f>IF(IFERROR(MATCH(Tabelle11[[#Headers],[Spalte40]],Spielauswertung!$B624:$E624,0),0)=0,BA635,INDEX(Spielauswertung!$AB624:$AE624,MATCH(Tabelle11[[#Headers],[Spalte40]],Spielauswertung!$B624:$E624,0))+BA635)</f>
        <v>100</v>
      </c>
      <c r="BB636" s="1">
        <f>IF(IFERROR(MATCH(Tabelle11[[#Headers],[Spalte41]],Spielauswertung!$B624:$E624,0),0)=0,BB635,INDEX(Spielauswertung!$AB624:$AE624,MATCH(Tabelle11[[#Headers],[Spalte41]],Spielauswertung!$B624:$E624,0))+BB635)</f>
        <v>100</v>
      </c>
      <c r="BC636" s="1">
        <f>IF(IFERROR(MATCH(Tabelle11[[#Headers],[Spalte42]],Spielauswertung!$B624:$E624,0),0)=0,BC635,INDEX(Spielauswertung!$AB624:$AE624,MATCH(Tabelle11[[#Headers],[Spalte42]],Spielauswertung!$B624:$E624,0))+BC635)</f>
        <v>100</v>
      </c>
      <c r="BD636" s="1">
        <f>IF(IFERROR(MATCH(Tabelle11[[#Headers],[Spalte43]],Spielauswertung!$B624:$E624,0),0)=0,BD635,INDEX(Spielauswertung!$AB624:$AE624,MATCH(Tabelle11[[#Headers],[Spalte43]],Spielauswertung!$B624:$E624,0))+BD635)</f>
        <v>100</v>
      </c>
      <c r="BE636" s="1">
        <f>IF(IFERROR(MATCH(Tabelle11[[#Headers],[Spalte44]],Spielauswertung!$B624:$E624,0),0)=0,BE635,INDEX(Spielauswertung!$AB624:$AE624,MATCH(Tabelle11[[#Headers],[Spalte44]],Spielauswertung!$B624:$E624,0))+BE635)</f>
        <v>100</v>
      </c>
      <c r="BF636" s="1">
        <f>IF(IFERROR(MATCH(Tabelle11[[#Headers],[Spalte45]],Spielauswertung!$B624:$E624,0),0)=0,BF635,INDEX(Spielauswertung!$AB624:$AE624,MATCH(Tabelle11[[#Headers],[Spalte45]],Spielauswertung!$B624:$E624,0))+BF635)</f>
        <v>100</v>
      </c>
      <c r="BG636" s="1">
        <f>IF(IFERROR(MATCH(Tabelle11[[#Headers],[Spalte46]],Spielauswertung!$B624:$E624,0),0)=0,BG635,INDEX(Spielauswertung!$AB624:$AE624,MATCH(Tabelle11[[#Headers],[Spalte46]],Spielauswertung!$B624:$E624,0))+BG635)</f>
        <v>100</v>
      </c>
      <c r="BH636" s="1">
        <f>IF(IFERROR(MATCH(Tabelle11[[#Headers],[Spalte47]],Spielauswertung!$B624:$E624,0),0)=0,BH635,INDEX(Spielauswertung!$AB624:$AE624,MATCH(Tabelle11[[#Headers],[Spalte47]],Spielauswertung!$B624:$E624,0))+BH635)</f>
        <v>100</v>
      </c>
    </row>
    <row r="637" spans="1:60" x14ac:dyDescent="0.25">
      <c r="A637">
        <f t="shared" si="10"/>
        <v>624</v>
      </c>
      <c r="B637" s="1">
        <f>IF(IFERROR(MATCH(Tabelle11[[#Headers],[Aleix_V]],Spielauswertung!$B625:$E625,0),0)=0,B636,INDEX(Spielauswertung!$AB625:$AE625,MATCH(Tabelle11[[#Headers],[Aleix_V]],Spielauswertung!$B625:$E625,0))+B636)</f>
        <v>102.47318019444646</v>
      </c>
      <c r="C637" s="1">
        <f>IF(IFERROR(MATCH(Tabelle11[[#Headers],[Andres_H]],Spielauswertung!$B625:$E625,0),0)=0,C636,INDEX(Spielauswertung!$AB625:$AE625,MATCH(Tabelle11[[#Headers],[Andres_H]],Spielauswertung!$B625:$E625,0))+C636)</f>
        <v>95.535732339111306</v>
      </c>
      <c r="D637" s="1">
        <f>IF(IFERROR(MATCH(Tabelle11[[#Headers],[Anton_K]],Spielauswertung!$B625:$E625,0),0)=0,D636,INDEX(Spielauswertung!$AB625:$AE625,MATCH(Tabelle11[[#Headers],[Anton_K]],Spielauswertung!$B625:$E625,0))+D636)</f>
        <v>99.287728777054667</v>
      </c>
      <c r="E637" s="1">
        <f>IF(IFERROR(MATCH(Tabelle11[[#Headers],[Bastian_G]],Spielauswertung!$B625:$E625,0),0)=0,E636,INDEX(Spielauswertung!$AB625:$AE625,MATCH(Tabelle11[[#Headers],[Bastian_G]],Spielauswertung!$B625:$E625,0))+E636)</f>
        <v>117.49978695184252</v>
      </c>
      <c r="F637" s="1">
        <f>IF(IFERROR(MATCH(Tabelle11[[#Headers],[Ben_S]],Spielauswertung!$B625:$E625,0),0)=0,F636,INDEX(Spielauswertung!$AB625:$AE625,MATCH(Tabelle11[[#Headers],[Ben_S]],Spielauswertung!$B625:$E625,0))+F636)</f>
        <v>95.932799101521084</v>
      </c>
      <c r="G637" s="1">
        <f>IF(IFERROR(MATCH(Tabelle11[[#Headers],[Benedikt_K]],Spielauswertung!$B625:$E625,0),0)=0,G636,INDEX(Spielauswertung!$AB625:$AE625,MATCH(Tabelle11[[#Headers],[Benedikt_K]],Spielauswertung!$B625:$E625,0))+G636)</f>
        <v>101.20264176422626</v>
      </c>
      <c r="H637" s="1">
        <f>IF(IFERROR(MATCH(Tabelle11[[#Headers],[Benedikt_R]],Spielauswertung!$B625:$E625,0),0)=0,H636,INDEX(Spielauswertung!$AB625:$AE625,MATCH(Tabelle11[[#Headers],[Benedikt_R]],Spielauswertung!$B625:$E625,0))+H636)</f>
        <v>102.6264770510757</v>
      </c>
      <c r="I637" s="1">
        <f>IF(IFERROR(MATCH(Tabelle11[[#Headers],[Carsten_H]],Spielauswertung!$B625:$E625,0),0)=0,I636,INDEX(Spielauswertung!$AB625:$AE625,MATCH(Tabelle11[[#Headers],[Carsten_H]],Spielauswertung!$B625:$E625,0))+I636)</f>
        <v>90.817185094326874</v>
      </c>
      <c r="J637" s="1">
        <f>IF(IFERROR(MATCH(Tabelle11[[#Headers],[Christoph_R]],Spielauswertung!$B625:$E625,0),0)=0,J636,INDEX(Spielauswertung!$AB625:$AE625,MATCH(Tabelle11[[#Headers],[Christoph_R]],Spielauswertung!$B625:$E625,0))+J636)</f>
        <v>109.73261611443155</v>
      </c>
      <c r="K637" s="1">
        <f>IF(IFERROR(MATCH(Tabelle11[[#Headers],[Claudius_J]],Spielauswertung!$B625:$E625,0),0)=0,K636,INDEX(Spielauswertung!$AB625:$AE625,MATCH(Tabelle11[[#Headers],[Claudius_J]],Spielauswertung!$B625:$E625,0))+K636)</f>
        <v>106.16590636000029</v>
      </c>
      <c r="L637" s="1">
        <f>IF(IFERROR(MATCH(Tabelle11[[#Headers],[Daniel_D]],Spielauswertung!$B625:$E625,0),0)=0,L636,INDEX(Spielauswertung!$AB625:$AE625,MATCH(Tabelle11[[#Headers],[Daniel_D]],Spielauswertung!$B625:$E625,0))+L636)</f>
        <v>99.990299180470089</v>
      </c>
      <c r="M637" s="1">
        <f>IF(IFERROR(MATCH(Tabelle11[[#Headers],[David_R]],Spielauswertung!$B625:$E625,0),0)=0,M636,INDEX(Spielauswertung!$AB625:$AE625,MATCH(Tabelle11[[#Headers],[David_R]],Spielauswertung!$B625:$E625,0))+M636)</f>
        <v>96.715943522481638</v>
      </c>
      <c r="N637" s="1">
        <f>IF(IFERROR(MATCH(Tabelle11[[#Headers],[Dennis_P]],Spielauswertung!$B625:$E625,0),0)=0,N636,INDEX(Spielauswertung!$AB625:$AE625,MATCH(Tabelle11[[#Headers],[Dennis_P]],Spielauswertung!$B625:$E625,0))+N636)</f>
        <v>100.04773223105254</v>
      </c>
      <c r="O637" s="1">
        <f>IF(IFERROR(MATCH(Tabelle11[[#Headers],[Dennis_R]],Spielauswertung!$B625:$E625,0),0)=0,O636,INDEX(Spielauswertung!$AB625:$AE625,MATCH(Tabelle11[[#Headers],[Dennis_R]],Spielauswertung!$B625:$E625,0))+O636)</f>
        <v>75.131680864937195</v>
      </c>
      <c r="P637" s="1">
        <f>IF(IFERROR(MATCH(Tabelle11[[#Headers],[Detlef_R]],Spielauswertung!$B625:$E625,0),0)=0,P636,INDEX(Spielauswertung!$AB625:$AE625,MATCH(Tabelle11[[#Headers],[Detlef_R]],Spielauswertung!$B625:$E625,0))+P636)</f>
        <v>87.984671797367014</v>
      </c>
      <c r="Q637" s="1">
        <f>IF(IFERROR(MATCH(Tabelle11[[#Headers],[Dmitrij_M]],Spielauswertung!$B625:$E625,0),0)=0,Q636,INDEX(Spielauswertung!$AB625:$AE625,MATCH(Tabelle11[[#Headers],[Dmitrij_M]],Spielauswertung!$B625:$E625,0))+Q636)</f>
        <v>100.69975721846207</v>
      </c>
      <c r="R637" s="1">
        <f>IF(IFERROR(MATCH(Tabelle11[[#Headers],[Fabian_M]],Spielauswertung!$B625:$E625,0),0)=0,R636,INDEX(Spielauswertung!$AB625:$AE625,MATCH(Tabelle11[[#Headers],[Fabian_M]],Spielauswertung!$B625:$E625,0))+R636)</f>
        <v>95.805387841610738</v>
      </c>
      <c r="S637" s="1">
        <f>IF(IFERROR(MATCH(Tabelle11[[#Headers],[Hannes_S]],Spielauswertung!$B625:$E625,0),0)=0,S636,INDEX(Spielauswertung!$AB625:$AE625,MATCH(Tabelle11[[#Headers],[Hannes_S]],Spielauswertung!$B625:$E625,0))+S636)</f>
        <v>104.83899184012799</v>
      </c>
      <c r="T637" s="1">
        <f>IF(IFERROR(MATCH(Tabelle11[[#Headers],[Jan_B]],Spielauswertung!$B625:$E625,0),0)=0,T636,INDEX(Spielauswertung!$AB625:$AE625,MATCH(Tabelle11[[#Headers],[Jan_B]],Spielauswertung!$B625:$E625,0))+T636)</f>
        <v>100.2794420429173</v>
      </c>
      <c r="U637" s="1">
        <f>IF(IFERROR(MATCH(Tabelle11[[#Headers],[Jan_Hendrik_B]],Spielauswertung!$B625:$E625,0),0)=0,U636,INDEX(Spielauswertung!$AB625:$AE625,MATCH(Tabelle11[[#Headers],[Jan_Hendrik_B]],Spielauswertung!$B625:$E625,0))+U636)</f>
        <v>100.75492416935522</v>
      </c>
      <c r="V637" s="1">
        <f>IF(IFERROR(MATCH(Tabelle11[[#Headers],[Jens_N]],Spielauswertung!$B625:$E625,0),0)=0,V636,INDEX(Spielauswertung!$AB625:$AE625,MATCH(Tabelle11[[#Headers],[Jens_N]],Spielauswertung!$B625:$E625,0))+V636)</f>
        <v>99.643534710196832</v>
      </c>
      <c r="W637" s="1">
        <f>IF(IFERROR(MATCH(Tabelle11[[#Headers],[Johannes_S]],Spielauswertung!$B625:$E625,0),0)=0,W636,INDEX(Spielauswertung!$AB625:$AE625,MATCH(Tabelle11[[#Headers],[Johannes_S]],Spielauswertung!$B625:$E625,0))+W636)</f>
        <v>102.20284750979505</v>
      </c>
      <c r="X637" s="1">
        <f>IF(IFERROR(MATCH(Tabelle11[[#Headers],[Jonathan_F]],Spielauswertung!$B625:$E625,0),0)=0,X636,INDEX(Spielauswertung!$AB625:$AE625,MATCH(Tabelle11[[#Headers],[Jonathan_F]],Spielauswertung!$B625:$E625,0))+X636)</f>
        <v>98.938308797866256</v>
      </c>
      <c r="Y637" s="1">
        <f>IF(IFERROR(MATCH(Tabelle11[[#Headers],[Julius_P]],Spielauswertung!$B625:$E625,0),0)=0,Y636,INDEX(Spielauswertung!$AB625:$AE625,MATCH(Tabelle11[[#Headers],[Julius_P]],Spielauswertung!$B625:$E625,0))+Y636)</f>
        <v>96.540305101873642</v>
      </c>
      <c r="Z637" s="1">
        <f>IF(IFERROR(MATCH(Tabelle11[[#Headers],[Louis_W]],Spielauswertung!$B625:$E625,0),0)=0,Z636,INDEX(Spielauswertung!$AB625:$AE625,MATCH(Tabelle11[[#Headers],[Louis_W]],Spielauswertung!$B625:$E625,0))+Z636)</f>
        <v>87.497452285475362</v>
      </c>
      <c r="AA637" s="1">
        <f>IF(IFERROR(MATCH(Tabelle11[[#Headers],[Lukas_L]],Spielauswertung!$B625:$E625,0),0)=0,AA636,INDEX(Spielauswertung!$AB625:$AE625,MATCH(Tabelle11[[#Headers],[Lukas_L]],Spielauswertung!$B625:$E625,0))+AA636)</f>
        <v>98.447931341404143</v>
      </c>
      <c r="AB637" s="1">
        <f>IF(IFERROR(MATCH(Tabelle11[[#Headers],[Marcin_S]],Spielauswertung!$B625:$E625,0),0)=0,AB636,INDEX(Spielauswertung!$AB625:$AE625,MATCH(Tabelle11[[#Headers],[Marcin_S]],Spielauswertung!$B625:$E625,0))+AB636)</f>
        <v>85.463329105556824</v>
      </c>
      <c r="AC637" s="1">
        <f>IF(IFERROR(MATCH(Tabelle11[[#Headers],[Marco_K]],Spielauswertung!$B625:$E625,0),0)=0,AC636,INDEX(Spielauswertung!$AB625:$AE625,MATCH(Tabelle11[[#Headers],[Marco_K]],Spielauswertung!$B625:$E625,0))+AC636)</f>
        <v>102.12169819441469</v>
      </c>
      <c r="AD637" s="1">
        <f>IF(IFERROR(MATCH(Tabelle11[[#Headers],[Marius_M]],Spielauswertung!$B625:$E625,0),0)=0,AD636,INDEX(Spielauswertung!$AB625:$AE625,MATCH(Tabelle11[[#Headers],[Marius_M]],Spielauswertung!$B625:$E625,0))+AD636)</f>
        <v>124.54012374585781</v>
      </c>
      <c r="AE637" s="1">
        <f>IF(IFERROR(MATCH(Tabelle11[[#Headers],[Marvin_W]],Spielauswertung!$B625:$E625,0),0)=0,AE636,INDEX(Spielauswertung!$AB625:$AE625,MATCH(Tabelle11[[#Headers],[Marvin_W]],Spielauswertung!$B625:$E625,0))+AE636)</f>
        <v>96.700266280577438</v>
      </c>
      <c r="AF637" s="1">
        <f>IF(IFERROR(MATCH(Tabelle11[[#Headers],[Matthias_H]],Spielauswertung!$B625:$E625,0),0)=0,AF636,INDEX(Spielauswertung!$AB625:$AE625,MATCH(Tabelle11[[#Headers],[Matthias_H]],Spielauswertung!$B625:$E625,0))+AF636)</f>
        <v>105.42130178599372</v>
      </c>
      <c r="AG637" s="1">
        <f>IF(IFERROR(MATCH(Tabelle11[[#Headers],[Michael_D]],Spielauswertung!$B625:$E625,0),0)=0,AG636,INDEX(Spielauswertung!$AB625:$AE625,MATCH(Tabelle11[[#Headers],[Michael_D]],Spielauswertung!$B625:$E625,0))+AG636)</f>
        <v>96.436276170375336</v>
      </c>
      <c r="AH637" s="1">
        <f>IF(IFERROR(MATCH(Tabelle11[[#Headers],[Patrick_S]],Spielauswertung!$B625:$E625,0),0)=0,AH636,INDEX(Spielauswertung!$AB625:$AE625,MATCH(Tabelle11[[#Headers],[Patrick_S]],Spielauswertung!$B625:$E625,0))+AH636)</f>
        <v>98.975330692053802</v>
      </c>
      <c r="AI637" s="1">
        <f>IF(IFERROR(MATCH(Tabelle11[[#Headers],[Rano_M]],Spielauswertung!$B625:$E625,0),0)=0,AI636,INDEX(Spielauswertung!$AB625:$AE625,MATCH(Tabelle11[[#Headers],[Rano_M]],Spielauswertung!$B625:$E625,0))+AI636)</f>
        <v>109.38890657420265</v>
      </c>
      <c r="AJ637" s="1">
        <f>IF(IFERROR(MATCH(Tabelle11[[#Headers],[Rene_N]],Spielauswertung!$B625:$E625,0),0)=0,AJ636,INDEX(Spielauswertung!$AB625:$AE625,MATCH(Tabelle11[[#Headers],[Rene_N]],Spielauswertung!$B625:$E625,0))+AJ636)</f>
        <v>101.06482124619033</v>
      </c>
      <c r="AK637" s="1">
        <f>IF(IFERROR(MATCH(Tabelle11[[#Headers],[Rene_P]],Spielauswertung!$B625:$E625,0),0)=0,AK636,INDEX(Spielauswertung!$AB625:$AE625,MATCH(Tabelle11[[#Headers],[Rene_P]],Spielauswertung!$B625:$E625,0))+AK636)</f>
        <v>88.762543186332877</v>
      </c>
      <c r="AL637" s="1">
        <f>IF(IFERROR(MATCH(Tabelle11[[#Headers],[Richard_D]],Spielauswertung!$B625:$E625,0),0)=0,AL636,INDEX(Spielauswertung!$AB625:$AE625,MATCH(Tabelle11[[#Headers],[Richard_D]],Spielauswertung!$B625:$E625,0))+AL636)</f>
        <v>107.23233592026223</v>
      </c>
      <c r="AM637" s="1">
        <f>IF(IFERROR(MATCH(Tabelle11[[#Headers],[Rodrigo_R]],Spielauswertung!$B625:$E625,0),0)=0,AM636,INDEX(Spielauswertung!$AB625:$AE625,MATCH(Tabelle11[[#Headers],[Rodrigo_R]],Spielauswertung!$B625:$E625,0))+AM636)</f>
        <v>116.7028707921346</v>
      </c>
      <c r="AN637" s="1">
        <f>IF(IFERROR(MATCH(Tabelle11[[#Headers],[Sebastian_A]],Spielauswertung!$B625:$E625,0),0)=0,AN636,INDEX(Spielauswertung!$AB625:$AE625,MATCH(Tabelle11[[#Headers],[Sebastian_A]],Spielauswertung!$B625:$E625,0))+AN636)</f>
        <v>102.89457418671324</v>
      </c>
      <c r="AO637" s="1">
        <f>IF(IFERROR(MATCH(Tabelle11[[#Headers],[Sebastian_St]],Spielauswertung!$B625:$E625,0),0)=0,AO636,INDEX(Spielauswertung!$AB625:$AE625,MATCH(Tabelle11[[#Headers],[Sebastian_St]],Spielauswertung!$B625:$E625,0))+AO636)</f>
        <v>97.749574367408982</v>
      </c>
      <c r="AP637" s="1">
        <f>IF(IFERROR(MATCH(Tabelle11[[#Headers],[Simon_U]],Spielauswertung!$B625:$E625,0),0)=0,AP636,INDEX(Spielauswertung!$AB625:$AE625,MATCH(Tabelle11[[#Headers],[Simon_U]],Spielauswertung!$B625:$E625,0))+AP636)</f>
        <v>99.623054841470903</v>
      </c>
      <c r="AQ637" s="1">
        <f>IF(IFERROR(MATCH(Tabelle11[[#Headers],[Steffen_R]],Spielauswertung!$B625:$E625,0),0)=0,AQ636,INDEX(Spielauswertung!$AB625:$AE625,MATCH(Tabelle11[[#Headers],[Steffen_R]],Spielauswertung!$B625:$E625,0))+AQ636)</f>
        <v>93.247497067190949</v>
      </c>
      <c r="AR637" s="1">
        <f>IF(IFERROR(MATCH(Tabelle11[[#Headers],[Tim_R]],Spielauswertung!$B625:$E625,0),0)=0,AR636,INDEX(Spielauswertung!$AB625:$AE625,MATCH(Tabelle11[[#Headers],[Tim_R]],Spielauswertung!$B625:$E625,0))+AR636)</f>
        <v>103.07503787023374</v>
      </c>
      <c r="AS637" s="1">
        <f>IF(IFERROR(MATCH(Tabelle11[[#Headers],[Tobias_S]],Spielauswertung!$B625:$E625,0),0)=0,AS636,INDEX(Spielauswertung!$AB625:$AE625,MATCH(Tabelle11[[#Headers],[Tobias_S]],Spielauswertung!$B625:$E625,0))+AS636)</f>
        <v>98.6003422659997</v>
      </c>
      <c r="AT637" s="1">
        <f>IF(IFERROR(MATCH(Tabelle11[[#Headers],[Tom_R]],Spielauswertung!$B625:$E625,0),0)=0,AT636,INDEX(Spielauswertung!$AB625:$AE625,MATCH(Tabelle11[[#Headers],[Tom_R]],Spielauswertung!$B625:$E625,0))+AT636)</f>
        <v>112.62344492949197</v>
      </c>
      <c r="AU637" s="1">
        <f>IF(IFERROR(MATCH(Tabelle11[[#Headers],[Ton_L]],Spielauswertung!$B625:$E625,0),0)=0,AU636,INDEX(Spielauswertung!$AB625:$AE625,MATCH(Tabelle11[[#Headers],[Ton_L]],Spielauswertung!$B625:$E625,0))+AU636)</f>
        <v>92.683083360025861</v>
      </c>
      <c r="AV637" s="1">
        <f>IF(IFERROR(MATCH(Tabelle11[[#Headers],[Yixin_G]],Spielauswertung!$B625:$E625,0),0)=0,AV636,INDEX(Spielauswertung!$AB625:$AE625,MATCH(Tabelle11[[#Headers],[Yixin_G]],Spielauswertung!$B625:$E625,0))+AV636)</f>
        <v>99.900323214082661</v>
      </c>
      <c r="AW637" s="1">
        <f>IF(IFERROR(MATCH(Tabelle11[[#Headers],[Spalte36]],Spielauswertung!$B625:$E625,0),0)=0,AW636,INDEX(Spielauswertung!$AB625:$AE625,MATCH(Tabelle11[[#Headers],[Spalte36]],Spielauswertung!$B625:$E625,0))+AW636)</f>
        <v>100</v>
      </c>
      <c r="AX637" s="1">
        <f>IF(IFERROR(MATCH(Tabelle11[[#Headers],[Spalte37]],Spielauswertung!$B625:$E625,0),0)=0,AX636,INDEX(Spielauswertung!$AB625:$AE625,MATCH(Tabelle11[[#Headers],[Spalte37]],Spielauswertung!$B625:$E625,0))+AX636)</f>
        <v>100</v>
      </c>
      <c r="AY637" s="1">
        <f>IF(IFERROR(MATCH(Tabelle11[[#Headers],[Spalte38]],Spielauswertung!$B625:$E625,0),0)=0,AY636,INDEX(Spielauswertung!$AB625:$AE625,MATCH(Tabelle11[[#Headers],[Spalte38]],Spielauswertung!$B625:$E625,0))+AY636)</f>
        <v>100</v>
      </c>
      <c r="AZ637" s="1">
        <f>IF(IFERROR(MATCH(Tabelle11[[#Headers],[Spalte39]],Spielauswertung!$B625:$E625,0),0)=0,AZ636,INDEX(Spielauswertung!$AB625:$AE625,MATCH(Tabelle11[[#Headers],[Spalte39]],Spielauswertung!$B625:$E625,0))+AZ636)</f>
        <v>100</v>
      </c>
      <c r="BA637" s="1">
        <f>IF(IFERROR(MATCH(Tabelle11[[#Headers],[Spalte40]],Spielauswertung!$B625:$E625,0),0)=0,BA636,INDEX(Spielauswertung!$AB625:$AE625,MATCH(Tabelle11[[#Headers],[Spalte40]],Spielauswertung!$B625:$E625,0))+BA636)</f>
        <v>100</v>
      </c>
      <c r="BB637" s="1">
        <f>IF(IFERROR(MATCH(Tabelle11[[#Headers],[Spalte41]],Spielauswertung!$B625:$E625,0),0)=0,BB636,INDEX(Spielauswertung!$AB625:$AE625,MATCH(Tabelle11[[#Headers],[Spalte41]],Spielauswertung!$B625:$E625,0))+BB636)</f>
        <v>100</v>
      </c>
      <c r="BC637" s="1">
        <f>IF(IFERROR(MATCH(Tabelle11[[#Headers],[Spalte42]],Spielauswertung!$B625:$E625,0),0)=0,BC636,INDEX(Spielauswertung!$AB625:$AE625,MATCH(Tabelle11[[#Headers],[Spalte42]],Spielauswertung!$B625:$E625,0))+BC636)</f>
        <v>100</v>
      </c>
      <c r="BD637" s="1">
        <f>IF(IFERROR(MATCH(Tabelle11[[#Headers],[Spalte43]],Spielauswertung!$B625:$E625,0),0)=0,BD636,INDEX(Spielauswertung!$AB625:$AE625,MATCH(Tabelle11[[#Headers],[Spalte43]],Spielauswertung!$B625:$E625,0))+BD636)</f>
        <v>100</v>
      </c>
      <c r="BE637" s="1">
        <f>IF(IFERROR(MATCH(Tabelle11[[#Headers],[Spalte44]],Spielauswertung!$B625:$E625,0),0)=0,BE636,INDEX(Spielauswertung!$AB625:$AE625,MATCH(Tabelle11[[#Headers],[Spalte44]],Spielauswertung!$B625:$E625,0))+BE636)</f>
        <v>100</v>
      </c>
      <c r="BF637" s="1">
        <f>IF(IFERROR(MATCH(Tabelle11[[#Headers],[Spalte45]],Spielauswertung!$B625:$E625,0),0)=0,BF636,INDEX(Spielauswertung!$AB625:$AE625,MATCH(Tabelle11[[#Headers],[Spalte45]],Spielauswertung!$B625:$E625,0))+BF636)</f>
        <v>100</v>
      </c>
      <c r="BG637" s="1">
        <f>IF(IFERROR(MATCH(Tabelle11[[#Headers],[Spalte46]],Spielauswertung!$B625:$E625,0),0)=0,BG636,INDEX(Spielauswertung!$AB625:$AE625,MATCH(Tabelle11[[#Headers],[Spalte46]],Spielauswertung!$B625:$E625,0))+BG636)</f>
        <v>100</v>
      </c>
      <c r="BH637" s="1">
        <f>IF(IFERROR(MATCH(Tabelle11[[#Headers],[Spalte47]],Spielauswertung!$B625:$E625,0),0)=0,BH636,INDEX(Spielauswertung!$AB625:$AE625,MATCH(Tabelle11[[#Headers],[Spalte47]],Spielauswertung!$B625:$E625,0))+BH636)</f>
        <v>100</v>
      </c>
    </row>
    <row r="638" spans="1:60" x14ac:dyDescent="0.25">
      <c r="A638">
        <f t="shared" si="10"/>
        <v>625</v>
      </c>
      <c r="B638" s="1">
        <f>IF(IFERROR(MATCH(Tabelle11[[#Headers],[Aleix_V]],Spielauswertung!$B626:$E626,0),0)=0,B637,INDEX(Spielauswertung!$AB626:$AE626,MATCH(Tabelle11[[#Headers],[Aleix_V]],Spielauswertung!$B626:$E626,0))+B637)</f>
        <v>102.47318019444646</v>
      </c>
      <c r="C638" s="1">
        <f>IF(IFERROR(MATCH(Tabelle11[[#Headers],[Andres_H]],Spielauswertung!$B626:$E626,0),0)=0,C637,INDEX(Spielauswertung!$AB626:$AE626,MATCH(Tabelle11[[#Headers],[Andres_H]],Spielauswertung!$B626:$E626,0))+C637)</f>
        <v>95.535732339111306</v>
      </c>
      <c r="D638" s="1">
        <f>IF(IFERROR(MATCH(Tabelle11[[#Headers],[Anton_K]],Spielauswertung!$B626:$E626,0),0)=0,D637,INDEX(Spielauswertung!$AB626:$AE626,MATCH(Tabelle11[[#Headers],[Anton_K]],Spielauswertung!$B626:$E626,0))+D637)</f>
        <v>99.287728777054667</v>
      </c>
      <c r="E638" s="1">
        <f>IF(IFERROR(MATCH(Tabelle11[[#Headers],[Bastian_G]],Spielauswertung!$B626:$E626,0),0)=0,E637,INDEX(Spielauswertung!$AB626:$AE626,MATCH(Tabelle11[[#Headers],[Bastian_G]],Spielauswertung!$B626:$E626,0))+E637)</f>
        <v>117.49978695184252</v>
      </c>
      <c r="F638" s="1">
        <f>IF(IFERROR(MATCH(Tabelle11[[#Headers],[Ben_S]],Spielauswertung!$B626:$E626,0),0)=0,F637,INDEX(Spielauswertung!$AB626:$AE626,MATCH(Tabelle11[[#Headers],[Ben_S]],Spielauswertung!$B626:$E626,0))+F637)</f>
        <v>95.932799101521084</v>
      </c>
      <c r="G638" s="1">
        <f>IF(IFERROR(MATCH(Tabelle11[[#Headers],[Benedikt_K]],Spielauswertung!$B626:$E626,0),0)=0,G637,INDEX(Spielauswertung!$AB626:$AE626,MATCH(Tabelle11[[#Headers],[Benedikt_K]],Spielauswertung!$B626:$E626,0))+G637)</f>
        <v>101.20264176422626</v>
      </c>
      <c r="H638" s="1">
        <f>IF(IFERROR(MATCH(Tabelle11[[#Headers],[Benedikt_R]],Spielauswertung!$B626:$E626,0),0)=0,H637,INDEX(Spielauswertung!$AB626:$AE626,MATCH(Tabelle11[[#Headers],[Benedikt_R]],Spielauswertung!$B626:$E626,0))+H637)</f>
        <v>102.6264770510757</v>
      </c>
      <c r="I638" s="1">
        <f>IF(IFERROR(MATCH(Tabelle11[[#Headers],[Carsten_H]],Spielauswertung!$B626:$E626,0),0)=0,I637,INDEX(Spielauswertung!$AB626:$AE626,MATCH(Tabelle11[[#Headers],[Carsten_H]],Spielauswertung!$B626:$E626,0))+I637)</f>
        <v>90.817185094326874</v>
      </c>
      <c r="J638" s="1">
        <f>IF(IFERROR(MATCH(Tabelle11[[#Headers],[Christoph_R]],Spielauswertung!$B626:$E626,0),0)=0,J637,INDEX(Spielauswertung!$AB626:$AE626,MATCH(Tabelle11[[#Headers],[Christoph_R]],Spielauswertung!$B626:$E626,0))+J637)</f>
        <v>109.73261611443155</v>
      </c>
      <c r="K638" s="1">
        <f>IF(IFERROR(MATCH(Tabelle11[[#Headers],[Claudius_J]],Spielauswertung!$B626:$E626,0),0)=0,K637,INDEX(Spielauswertung!$AB626:$AE626,MATCH(Tabelle11[[#Headers],[Claudius_J]],Spielauswertung!$B626:$E626,0))+K637)</f>
        <v>106.16590636000029</v>
      </c>
      <c r="L638" s="1">
        <f>IF(IFERROR(MATCH(Tabelle11[[#Headers],[Daniel_D]],Spielauswertung!$B626:$E626,0),0)=0,L637,INDEX(Spielauswertung!$AB626:$AE626,MATCH(Tabelle11[[#Headers],[Daniel_D]],Spielauswertung!$B626:$E626,0))+L637)</f>
        <v>99.990299180470089</v>
      </c>
      <c r="M638" s="1">
        <f>IF(IFERROR(MATCH(Tabelle11[[#Headers],[David_R]],Spielauswertung!$B626:$E626,0),0)=0,M637,INDEX(Spielauswertung!$AB626:$AE626,MATCH(Tabelle11[[#Headers],[David_R]],Spielauswertung!$B626:$E626,0))+M637)</f>
        <v>96.715943522481638</v>
      </c>
      <c r="N638" s="1">
        <f>IF(IFERROR(MATCH(Tabelle11[[#Headers],[Dennis_P]],Spielauswertung!$B626:$E626,0),0)=0,N637,INDEX(Spielauswertung!$AB626:$AE626,MATCH(Tabelle11[[#Headers],[Dennis_P]],Spielauswertung!$B626:$E626,0))+N637)</f>
        <v>100.04773223105254</v>
      </c>
      <c r="O638" s="1">
        <f>IF(IFERROR(MATCH(Tabelle11[[#Headers],[Dennis_R]],Spielauswertung!$B626:$E626,0),0)=0,O637,INDEX(Spielauswertung!$AB626:$AE626,MATCH(Tabelle11[[#Headers],[Dennis_R]],Spielauswertung!$B626:$E626,0))+O637)</f>
        <v>75.131680864937195</v>
      </c>
      <c r="P638" s="1">
        <f>IF(IFERROR(MATCH(Tabelle11[[#Headers],[Detlef_R]],Spielauswertung!$B626:$E626,0),0)=0,P637,INDEX(Spielauswertung!$AB626:$AE626,MATCH(Tabelle11[[#Headers],[Detlef_R]],Spielauswertung!$B626:$E626,0))+P637)</f>
        <v>87.984671797367014</v>
      </c>
      <c r="Q638" s="1">
        <f>IF(IFERROR(MATCH(Tabelle11[[#Headers],[Dmitrij_M]],Spielauswertung!$B626:$E626,0),0)=0,Q637,INDEX(Spielauswertung!$AB626:$AE626,MATCH(Tabelle11[[#Headers],[Dmitrij_M]],Spielauswertung!$B626:$E626,0))+Q637)</f>
        <v>100.69975721846207</v>
      </c>
      <c r="R638" s="1">
        <f>IF(IFERROR(MATCH(Tabelle11[[#Headers],[Fabian_M]],Spielauswertung!$B626:$E626,0),0)=0,R637,INDEX(Spielauswertung!$AB626:$AE626,MATCH(Tabelle11[[#Headers],[Fabian_M]],Spielauswertung!$B626:$E626,0))+R637)</f>
        <v>95.805387841610738</v>
      </c>
      <c r="S638" s="1">
        <f>IF(IFERROR(MATCH(Tabelle11[[#Headers],[Hannes_S]],Spielauswertung!$B626:$E626,0),0)=0,S637,INDEX(Spielauswertung!$AB626:$AE626,MATCH(Tabelle11[[#Headers],[Hannes_S]],Spielauswertung!$B626:$E626,0))+S637)</f>
        <v>104.83899184012799</v>
      </c>
      <c r="T638" s="1">
        <f>IF(IFERROR(MATCH(Tabelle11[[#Headers],[Jan_B]],Spielauswertung!$B626:$E626,0),0)=0,T637,INDEX(Spielauswertung!$AB626:$AE626,MATCH(Tabelle11[[#Headers],[Jan_B]],Spielauswertung!$B626:$E626,0))+T637)</f>
        <v>100.2794420429173</v>
      </c>
      <c r="U638" s="1">
        <f>IF(IFERROR(MATCH(Tabelle11[[#Headers],[Jan_Hendrik_B]],Spielauswertung!$B626:$E626,0),0)=0,U637,INDEX(Spielauswertung!$AB626:$AE626,MATCH(Tabelle11[[#Headers],[Jan_Hendrik_B]],Spielauswertung!$B626:$E626,0))+U637)</f>
        <v>100.75492416935522</v>
      </c>
      <c r="V638" s="1">
        <f>IF(IFERROR(MATCH(Tabelle11[[#Headers],[Jens_N]],Spielauswertung!$B626:$E626,0),0)=0,V637,INDEX(Spielauswertung!$AB626:$AE626,MATCH(Tabelle11[[#Headers],[Jens_N]],Spielauswertung!$B626:$E626,0))+V637)</f>
        <v>99.643534710196832</v>
      </c>
      <c r="W638" s="1">
        <f>IF(IFERROR(MATCH(Tabelle11[[#Headers],[Johannes_S]],Spielauswertung!$B626:$E626,0),0)=0,W637,INDEX(Spielauswertung!$AB626:$AE626,MATCH(Tabelle11[[#Headers],[Johannes_S]],Spielauswertung!$B626:$E626,0))+W637)</f>
        <v>102.20284750979505</v>
      </c>
      <c r="X638" s="1">
        <f>IF(IFERROR(MATCH(Tabelle11[[#Headers],[Jonathan_F]],Spielauswertung!$B626:$E626,0),0)=0,X637,INDEX(Spielauswertung!$AB626:$AE626,MATCH(Tabelle11[[#Headers],[Jonathan_F]],Spielauswertung!$B626:$E626,0))+X637)</f>
        <v>98.938308797866256</v>
      </c>
      <c r="Y638" s="1">
        <f>IF(IFERROR(MATCH(Tabelle11[[#Headers],[Julius_P]],Spielauswertung!$B626:$E626,0),0)=0,Y637,INDEX(Spielauswertung!$AB626:$AE626,MATCH(Tabelle11[[#Headers],[Julius_P]],Spielauswertung!$B626:$E626,0))+Y637)</f>
        <v>96.540305101873642</v>
      </c>
      <c r="Z638" s="1">
        <f>IF(IFERROR(MATCH(Tabelle11[[#Headers],[Louis_W]],Spielauswertung!$B626:$E626,0),0)=0,Z637,INDEX(Spielauswertung!$AB626:$AE626,MATCH(Tabelle11[[#Headers],[Louis_W]],Spielauswertung!$B626:$E626,0))+Z637)</f>
        <v>87.497452285475362</v>
      </c>
      <c r="AA638" s="1">
        <f>IF(IFERROR(MATCH(Tabelle11[[#Headers],[Lukas_L]],Spielauswertung!$B626:$E626,0),0)=0,AA637,INDEX(Spielauswertung!$AB626:$AE626,MATCH(Tabelle11[[#Headers],[Lukas_L]],Spielauswertung!$B626:$E626,0))+AA637)</f>
        <v>98.447931341404143</v>
      </c>
      <c r="AB638" s="1">
        <f>IF(IFERROR(MATCH(Tabelle11[[#Headers],[Marcin_S]],Spielauswertung!$B626:$E626,0),0)=0,AB637,INDEX(Spielauswertung!$AB626:$AE626,MATCH(Tabelle11[[#Headers],[Marcin_S]],Spielauswertung!$B626:$E626,0))+AB637)</f>
        <v>85.463329105556824</v>
      </c>
      <c r="AC638" s="1">
        <f>IF(IFERROR(MATCH(Tabelle11[[#Headers],[Marco_K]],Spielauswertung!$B626:$E626,0),0)=0,AC637,INDEX(Spielauswertung!$AB626:$AE626,MATCH(Tabelle11[[#Headers],[Marco_K]],Spielauswertung!$B626:$E626,0))+AC637)</f>
        <v>102.12169819441469</v>
      </c>
      <c r="AD638" s="1">
        <f>IF(IFERROR(MATCH(Tabelle11[[#Headers],[Marius_M]],Spielauswertung!$B626:$E626,0),0)=0,AD637,INDEX(Spielauswertung!$AB626:$AE626,MATCH(Tabelle11[[#Headers],[Marius_M]],Spielauswertung!$B626:$E626,0))+AD637)</f>
        <v>124.54012374585781</v>
      </c>
      <c r="AE638" s="1">
        <f>IF(IFERROR(MATCH(Tabelle11[[#Headers],[Marvin_W]],Spielauswertung!$B626:$E626,0),0)=0,AE637,INDEX(Spielauswertung!$AB626:$AE626,MATCH(Tabelle11[[#Headers],[Marvin_W]],Spielauswertung!$B626:$E626,0))+AE637)</f>
        <v>96.700266280577438</v>
      </c>
      <c r="AF638" s="1">
        <f>IF(IFERROR(MATCH(Tabelle11[[#Headers],[Matthias_H]],Spielauswertung!$B626:$E626,0),0)=0,AF637,INDEX(Spielauswertung!$AB626:$AE626,MATCH(Tabelle11[[#Headers],[Matthias_H]],Spielauswertung!$B626:$E626,0))+AF637)</f>
        <v>105.42130178599372</v>
      </c>
      <c r="AG638" s="1">
        <f>IF(IFERROR(MATCH(Tabelle11[[#Headers],[Michael_D]],Spielauswertung!$B626:$E626,0),0)=0,AG637,INDEX(Spielauswertung!$AB626:$AE626,MATCH(Tabelle11[[#Headers],[Michael_D]],Spielauswertung!$B626:$E626,0))+AG637)</f>
        <v>96.436276170375336</v>
      </c>
      <c r="AH638" s="1">
        <f>IF(IFERROR(MATCH(Tabelle11[[#Headers],[Patrick_S]],Spielauswertung!$B626:$E626,0),0)=0,AH637,INDEX(Spielauswertung!$AB626:$AE626,MATCH(Tabelle11[[#Headers],[Patrick_S]],Spielauswertung!$B626:$E626,0))+AH637)</f>
        <v>98.975330692053802</v>
      </c>
      <c r="AI638" s="1">
        <f>IF(IFERROR(MATCH(Tabelle11[[#Headers],[Rano_M]],Spielauswertung!$B626:$E626,0),0)=0,AI637,INDEX(Spielauswertung!$AB626:$AE626,MATCH(Tabelle11[[#Headers],[Rano_M]],Spielauswertung!$B626:$E626,0))+AI637)</f>
        <v>109.38890657420265</v>
      </c>
      <c r="AJ638" s="1">
        <f>IF(IFERROR(MATCH(Tabelle11[[#Headers],[Rene_N]],Spielauswertung!$B626:$E626,0),0)=0,AJ637,INDEX(Spielauswertung!$AB626:$AE626,MATCH(Tabelle11[[#Headers],[Rene_N]],Spielauswertung!$B626:$E626,0))+AJ637)</f>
        <v>101.06482124619033</v>
      </c>
      <c r="AK638" s="1">
        <f>IF(IFERROR(MATCH(Tabelle11[[#Headers],[Rene_P]],Spielauswertung!$B626:$E626,0),0)=0,AK637,INDEX(Spielauswertung!$AB626:$AE626,MATCH(Tabelle11[[#Headers],[Rene_P]],Spielauswertung!$B626:$E626,0))+AK637)</f>
        <v>88.762543186332877</v>
      </c>
      <c r="AL638" s="1">
        <f>IF(IFERROR(MATCH(Tabelle11[[#Headers],[Richard_D]],Spielauswertung!$B626:$E626,0),0)=0,AL637,INDEX(Spielauswertung!$AB626:$AE626,MATCH(Tabelle11[[#Headers],[Richard_D]],Spielauswertung!$B626:$E626,0))+AL637)</f>
        <v>107.23233592026223</v>
      </c>
      <c r="AM638" s="1">
        <f>IF(IFERROR(MATCH(Tabelle11[[#Headers],[Rodrigo_R]],Spielauswertung!$B626:$E626,0),0)=0,AM637,INDEX(Spielauswertung!$AB626:$AE626,MATCH(Tabelle11[[#Headers],[Rodrigo_R]],Spielauswertung!$B626:$E626,0))+AM637)</f>
        <v>116.7028707921346</v>
      </c>
      <c r="AN638" s="1">
        <f>IF(IFERROR(MATCH(Tabelle11[[#Headers],[Sebastian_A]],Spielauswertung!$B626:$E626,0),0)=0,AN637,INDEX(Spielauswertung!$AB626:$AE626,MATCH(Tabelle11[[#Headers],[Sebastian_A]],Spielauswertung!$B626:$E626,0))+AN637)</f>
        <v>102.89457418671324</v>
      </c>
      <c r="AO638" s="1">
        <f>IF(IFERROR(MATCH(Tabelle11[[#Headers],[Sebastian_St]],Spielauswertung!$B626:$E626,0),0)=0,AO637,INDEX(Spielauswertung!$AB626:$AE626,MATCH(Tabelle11[[#Headers],[Sebastian_St]],Spielauswertung!$B626:$E626,0))+AO637)</f>
        <v>97.749574367408982</v>
      </c>
      <c r="AP638" s="1">
        <f>IF(IFERROR(MATCH(Tabelle11[[#Headers],[Simon_U]],Spielauswertung!$B626:$E626,0),0)=0,AP637,INDEX(Spielauswertung!$AB626:$AE626,MATCH(Tabelle11[[#Headers],[Simon_U]],Spielauswertung!$B626:$E626,0))+AP637)</f>
        <v>99.623054841470903</v>
      </c>
      <c r="AQ638" s="1">
        <f>IF(IFERROR(MATCH(Tabelle11[[#Headers],[Steffen_R]],Spielauswertung!$B626:$E626,0),0)=0,AQ637,INDEX(Spielauswertung!$AB626:$AE626,MATCH(Tabelle11[[#Headers],[Steffen_R]],Spielauswertung!$B626:$E626,0))+AQ637)</f>
        <v>93.247497067190949</v>
      </c>
      <c r="AR638" s="1">
        <f>IF(IFERROR(MATCH(Tabelle11[[#Headers],[Tim_R]],Spielauswertung!$B626:$E626,0),0)=0,AR637,INDEX(Spielauswertung!$AB626:$AE626,MATCH(Tabelle11[[#Headers],[Tim_R]],Spielauswertung!$B626:$E626,0))+AR637)</f>
        <v>103.07503787023374</v>
      </c>
      <c r="AS638" s="1">
        <f>IF(IFERROR(MATCH(Tabelle11[[#Headers],[Tobias_S]],Spielauswertung!$B626:$E626,0),0)=0,AS637,INDEX(Spielauswertung!$AB626:$AE626,MATCH(Tabelle11[[#Headers],[Tobias_S]],Spielauswertung!$B626:$E626,0))+AS637)</f>
        <v>98.6003422659997</v>
      </c>
      <c r="AT638" s="1">
        <f>IF(IFERROR(MATCH(Tabelle11[[#Headers],[Tom_R]],Spielauswertung!$B626:$E626,0),0)=0,AT637,INDEX(Spielauswertung!$AB626:$AE626,MATCH(Tabelle11[[#Headers],[Tom_R]],Spielauswertung!$B626:$E626,0))+AT637)</f>
        <v>112.62344492949197</v>
      </c>
      <c r="AU638" s="1">
        <f>IF(IFERROR(MATCH(Tabelle11[[#Headers],[Ton_L]],Spielauswertung!$B626:$E626,0),0)=0,AU637,INDEX(Spielauswertung!$AB626:$AE626,MATCH(Tabelle11[[#Headers],[Ton_L]],Spielauswertung!$B626:$E626,0))+AU637)</f>
        <v>92.683083360025861</v>
      </c>
      <c r="AV638" s="1">
        <f>IF(IFERROR(MATCH(Tabelle11[[#Headers],[Yixin_G]],Spielauswertung!$B626:$E626,0),0)=0,AV637,INDEX(Spielauswertung!$AB626:$AE626,MATCH(Tabelle11[[#Headers],[Yixin_G]],Spielauswertung!$B626:$E626,0))+AV637)</f>
        <v>99.900323214082661</v>
      </c>
      <c r="AW638" s="1">
        <f>IF(IFERROR(MATCH(Tabelle11[[#Headers],[Spalte36]],Spielauswertung!$B626:$E626,0),0)=0,AW637,INDEX(Spielauswertung!$AB626:$AE626,MATCH(Tabelle11[[#Headers],[Spalte36]],Spielauswertung!$B626:$E626,0))+AW637)</f>
        <v>100</v>
      </c>
      <c r="AX638" s="1">
        <f>IF(IFERROR(MATCH(Tabelle11[[#Headers],[Spalte37]],Spielauswertung!$B626:$E626,0),0)=0,AX637,INDEX(Spielauswertung!$AB626:$AE626,MATCH(Tabelle11[[#Headers],[Spalte37]],Spielauswertung!$B626:$E626,0))+AX637)</f>
        <v>100</v>
      </c>
      <c r="AY638" s="1">
        <f>IF(IFERROR(MATCH(Tabelle11[[#Headers],[Spalte38]],Spielauswertung!$B626:$E626,0),0)=0,AY637,INDEX(Spielauswertung!$AB626:$AE626,MATCH(Tabelle11[[#Headers],[Spalte38]],Spielauswertung!$B626:$E626,0))+AY637)</f>
        <v>100</v>
      </c>
      <c r="AZ638" s="1">
        <f>IF(IFERROR(MATCH(Tabelle11[[#Headers],[Spalte39]],Spielauswertung!$B626:$E626,0),0)=0,AZ637,INDEX(Spielauswertung!$AB626:$AE626,MATCH(Tabelle11[[#Headers],[Spalte39]],Spielauswertung!$B626:$E626,0))+AZ637)</f>
        <v>100</v>
      </c>
      <c r="BA638" s="1">
        <f>IF(IFERROR(MATCH(Tabelle11[[#Headers],[Spalte40]],Spielauswertung!$B626:$E626,0),0)=0,BA637,INDEX(Spielauswertung!$AB626:$AE626,MATCH(Tabelle11[[#Headers],[Spalte40]],Spielauswertung!$B626:$E626,0))+BA637)</f>
        <v>100</v>
      </c>
      <c r="BB638" s="1">
        <f>IF(IFERROR(MATCH(Tabelle11[[#Headers],[Spalte41]],Spielauswertung!$B626:$E626,0),0)=0,BB637,INDEX(Spielauswertung!$AB626:$AE626,MATCH(Tabelle11[[#Headers],[Spalte41]],Spielauswertung!$B626:$E626,0))+BB637)</f>
        <v>100</v>
      </c>
      <c r="BC638" s="1">
        <f>IF(IFERROR(MATCH(Tabelle11[[#Headers],[Spalte42]],Spielauswertung!$B626:$E626,0),0)=0,BC637,INDEX(Spielauswertung!$AB626:$AE626,MATCH(Tabelle11[[#Headers],[Spalte42]],Spielauswertung!$B626:$E626,0))+BC637)</f>
        <v>100</v>
      </c>
      <c r="BD638" s="1">
        <f>IF(IFERROR(MATCH(Tabelle11[[#Headers],[Spalte43]],Spielauswertung!$B626:$E626,0),0)=0,BD637,INDEX(Spielauswertung!$AB626:$AE626,MATCH(Tabelle11[[#Headers],[Spalte43]],Spielauswertung!$B626:$E626,0))+BD637)</f>
        <v>100</v>
      </c>
      <c r="BE638" s="1">
        <f>IF(IFERROR(MATCH(Tabelle11[[#Headers],[Spalte44]],Spielauswertung!$B626:$E626,0),0)=0,BE637,INDEX(Spielauswertung!$AB626:$AE626,MATCH(Tabelle11[[#Headers],[Spalte44]],Spielauswertung!$B626:$E626,0))+BE637)</f>
        <v>100</v>
      </c>
      <c r="BF638" s="1">
        <f>IF(IFERROR(MATCH(Tabelle11[[#Headers],[Spalte45]],Spielauswertung!$B626:$E626,0),0)=0,BF637,INDEX(Spielauswertung!$AB626:$AE626,MATCH(Tabelle11[[#Headers],[Spalte45]],Spielauswertung!$B626:$E626,0))+BF637)</f>
        <v>100</v>
      </c>
      <c r="BG638" s="1">
        <f>IF(IFERROR(MATCH(Tabelle11[[#Headers],[Spalte46]],Spielauswertung!$B626:$E626,0),0)=0,BG637,INDEX(Spielauswertung!$AB626:$AE626,MATCH(Tabelle11[[#Headers],[Spalte46]],Spielauswertung!$B626:$E626,0))+BG637)</f>
        <v>100</v>
      </c>
      <c r="BH638" s="1">
        <f>IF(IFERROR(MATCH(Tabelle11[[#Headers],[Spalte47]],Spielauswertung!$B626:$E626,0),0)=0,BH637,INDEX(Spielauswertung!$AB626:$AE626,MATCH(Tabelle11[[#Headers],[Spalte47]],Spielauswertung!$B626:$E626,0))+BH637)</f>
        <v>100</v>
      </c>
    </row>
    <row r="639" spans="1:60" x14ac:dyDescent="0.25">
      <c r="A639">
        <f t="shared" si="10"/>
        <v>626</v>
      </c>
      <c r="B639" s="1">
        <f>IF(IFERROR(MATCH(Tabelle11[[#Headers],[Aleix_V]],Spielauswertung!$B627:$E627,0),0)=0,B638,INDEX(Spielauswertung!$AB627:$AE627,MATCH(Tabelle11[[#Headers],[Aleix_V]],Spielauswertung!$B627:$E627,0))+B638)</f>
        <v>102.47318019444646</v>
      </c>
      <c r="C639" s="1">
        <f>IF(IFERROR(MATCH(Tabelle11[[#Headers],[Andres_H]],Spielauswertung!$B627:$E627,0),0)=0,C638,INDEX(Spielauswertung!$AB627:$AE627,MATCH(Tabelle11[[#Headers],[Andres_H]],Spielauswertung!$B627:$E627,0))+C638)</f>
        <v>95.535732339111306</v>
      </c>
      <c r="D639" s="1">
        <f>IF(IFERROR(MATCH(Tabelle11[[#Headers],[Anton_K]],Spielauswertung!$B627:$E627,0),0)=0,D638,INDEX(Spielauswertung!$AB627:$AE627,MATCH(Tabelle11[[#Headers],[Anton_K]],Spielauswertung!$B627:$E627,0))+D638)</f>
        <v>99.287728777054667</v>
      </c>
      <c r="E639" s="1">
        <f>IF(IFERROR(MATCH(Tabelle11[[#Headers],[Bastian_G]],Spielauswertung!$B627:$E627,0),0)=0,E638,INDEX(Spielauswertung!$AB627:$AE627,MATCH(Tabelle11[[#Headers],[Bastian_G]],Spielauswertung!$B627:$E627,0))+E638)</f>
        <v>117.49978695184252</v>
      </c>
      <c r="F639" s="1">
        <f>IF(IFERROR(MATCH(Tabelle11[[#Headers],[Ben_S]],Spielauswertung!$B627:$E627,0),0)=0,F638,INDEX(Spielauswertung!$AB627:$AE627,MATCH(Tabelle11[[#Headers],[Ben_S]],Spielauswertung!$B627:$E627,0))+F638)</f>
        <v>95.932799101521084</v>
      </c>
      <c r="G639" s="1">
        <f>IF(IFERROR(MATCH(Tabelle11[[#Headers],[Benedikt_K]],Spielauswertung!$B627:$E627,0),0)=0,G638,INDEX(Spielauswertung!$AB627:$AE627,MATCH(Tabelle11[[#Headers],[Benedikt_K]],Spielauswertung!$B627:$E627,0))+G638)</f>
        <v>101.20264176422626</v>
      </c>
      <c r="H639" s="1">
        <f>IF(IFERROR(MATCH(Tabelle11[[#Headers],[Benedikt_R]],Spielauswertung!$B627:$E627,0),0)=0,H638,INDEX(Spielauswertung!$AB627:$AE627,MATCH(Tabelle11[[#Headers],[Benedikt_R]],Spielauswertung!$B627:$E627,0))+H638)</f>
        <v>102.6264770510757</v>
      </c>
      <c r="I639" s="1">
        <f>IF(IFERROR(MATCH(Tabelle11[[#Headers],[Carsten_H]],Spielauswertung!$B627:$E627,0),0)=0,I638,INDEX(Spielauswertung!$AB627:$AE627,MATCH(Tabelle11[[#Headers],[Carsten_H]],Spielauswertung!$B627:$E627,0))+I638)</f>
        <v>90.817185094326874</v>
      </c>
      <c r="J639" s="1">
        <f>IF(IFERROR(MATCH(Tabelle11[[#Headers],[Christoph_R]],Spielauswertung!$B627:$E627,0),0)=0,J638,INDEX(Spielauswertung!$AB627:$AE627,MATCH(Tabelle11[[#Headers],[Christoph_R]],Spielauswertung!$B627:$E627,0))+J638)</f>
        <v>109.73261611443155</v>
      </c>
      <c r="K639" s="1">
        <f>IF(IFERROR(MATCH(Tabelle11[[#Headers],[Claudius_J]],Spielauswertung!$B627:$E627,0),0)=0,K638,INDEX(Spielauswertung!$AB627:$AE627,MATCH(Tabelle11[[#Headers],[Claudius_J]],Spielauswertung!$B627:$E627,0))+K638)</f>
        <v>106.16590636000029</v>
      </c>
      <c r="L639" s="1">
        <f>IF(IFERROR(MATCH(Tabelle11[[#Headers],[Daniel_D]],Spielauswertung!$B627:$E627,0),0)=0,L638,INDEX(Spielauswertung!$AB627:$AE627,MATCH(Tabelle11[[#Headers],[Daniel_D]],Spielauswertung!$B627:$E627,0))+L638)</f>
        <v>99.990299180470089</v>
      </c>
      <c r="M639" s="1">
        <f>IF(IFERROR(MATCH(Tabelle11[[#Headers],[David_R]],Spielauswertung!$B627:$E627,0),0)=0,M638,INDEX(Spielauswertung!$AB627:$AE627,MATCH(Tabelle11[[#Headers],[David_R]],Spielauswertung!$B627:$E627,0))+M638)</f>
        <v>96.715943522481638</v>
      </c>
      <c r="N639" s="1">
        <f>IF(IFERROR(MATCH(Tabelle11[[#Headers],[Dennis_P]],Spielauswertung!$B627:$E627,0),0)=0,N638,INDEX(Spielauswertung!$AB627:$AE627,MATCH(Tabelle11[[#Headers],[Dennis_P]],Spielauswertung!$B627:$E627,0))+N638)</f>
        <v>100.04773223105254</v>
      </c>
      <c r="O639" s="1">
        <f>IF(IFERROR(MATCH(Tabelle11[[#Headers],[Dennis_R]],Spielauswertung!$B627:$E627,0),0)=0,O638,INDEX(Spielauswertung!$AB627:$AE627,MATCH(Tabelle11[[#Headers],[Dennis_R]],Spielauswertung!$B627:$E627,0))+O638)</f>
        <v>75.131680864937195</v>
      </c>
      <c r="P639" s="1">
        <f>IF(IFERROR(MATCH(Tabelle11[[#Headers],[Detlef_R]],Spielauswertung!$B627:$E627,0),0)=0,P638,INDEX(Spielauswertung!$AB627:$AE627,MATCH(Tabelle11[[#Headers],[Detlef_R]],Spielauswertung!$B627:$E627,0))+P638)</f>
        <v>87.984671797367014</v>
      </c>
      <c r="Q639" s="1">
        <f>IF(IFERROR(MATCH(Tabelle11[[#Headers],[Dmitrij_M]],Spielauswertung!$B627:$E627,0),0)=0,Q638,INDEX(Spielauswertung!$AB627:$AE627,MATCH(Tabelle11[[#Headers],[Dmitrij_M]],Spielauswertung!$B627:$E627,0))+Q638)</f>
        <v>100.69975721846207</v>
      </c>
      <c r="R639" s="1">
        <f>IF(IFERROR(MATCH(Tabelle11[[#Headers],[Fabian_M]],Spielauswertung!$B627:$E627,0),0)=0,R638,INDEX(Spielauswertung!$AB627:$AE627,MATCH(Tabelle11[[#Headers],[Fabian_M]],Spielauswertung!$B627:$E627,0))+R638)</f>
        <v>95.805387841610738</v>
      </c>
      <c r="S639" s="1">
        <f>IF(IFERROR(MATCH(Tabelle11[[#Headers],[Hannes_S]],Spielauswertung!$B627:$E627,0),0)=0,S638,INDEX(Spielauswertung!$AB627:$AE627,MATCH(Tabelle11[[#Headers],[Hannes_S]],Spielauswertung!$B627:$E627,0))+S638)</f>
        <v>104.83899184012799</v>
      </c>
      <c r="T639" s="1">
        <f>IF(IFERROR(MATCH(Tabelle11[[#Headers],[Jan_B]],Spielauswertung!$B627:$E627,0),0)=0,T638,INDEX(Spielauswertung!$AB627:$AE627,MATCH(Tabelle11[[#Headers],[Jan_B]],Spielauswertung!$B627:$E627,0))+T638)</f>
        <v>100.2794420429173</v>
      </c>
      <c r="U639" s="1">
        <f>IF(IFERROR(MATCH(Tabelle11[[#Headers],[Jan_Hendrik_B]],Spielauswertung!$B627:$E627,0),0)=0,U638,INDEX(Spielauswertung!$AB627:$AE627,MATCH(Tabelle11[[#Headers],[Jan_Hendrik_B]],Spielauswertung!$B627:$E627,0))+U638)</f>
        <v>100.75492416935522</v>
      </c>
      <c r="V639" s="1">
        <f>IF(IFERROR(MATCH(Tabelle11[[#Headers],[Jens_N]],Spielauswertung!$B627:$E627,0),0)=0,V638,INDEX(Spielauswertung!$AB627:$AE627,MATCH(Tabelle11[[#Headers],[Jens_N]],Spielauswertung!$B627:$E627,0))+V638)</f>
        <v>99.643534710196832</v>
      </c>
      <c r="W639" s="1">
        <f>IF(IFERROR(MATCH(Tabelle11[[#Headers],[Johannes_S]],Spielauswertung!$B627:$E627,0),0)=0,W638,INDEX(Spielauswertung!$AB627:$AE627,MATCH(Tabelle11[[#Headers],[Johannes_S]],Spielauswertung!$B627:$E627,0))+W638)</f>
        <v>102.20284750979505</v>
      </c>
      <c r="X639" s="1">
        <f>IF(IFERROR(MATCH(Tabelle11[[#Headers],[Jonathan_F]],Spielauswertung!$B627:$E627,0),0)=0,X638,INDEX(Spielauswertung!$AB627:$AE627,MATCH(Tabelle11[[#Headers],[Jonathan_F]],Spielauswertung!$B627:$E627,0))+X638)</f>
        <v>98.938308797866256</v>
      </c>
      <c r="Y639" s="1">
        <f>IF(IFERROR(MATCH(Tabelle11[[#Headers],[Julius_P]],Spielauswertung!$B627:$E627,0),0)=0,Y638,INDEX(Spielauswertung!$AB627:$AE627,MATCH(Tabelle11[[#Headers],[Julius_P]],Spielauswertung!$B627:$E627,0))+Y638)</f>
        <v>96.540305101873642</v>
      </c>
      <c r="Z639" s="1">
        <f>IF(IFERROR(MATCH(Tabelle11[[#Headers],[Louis_W]],Spielauswertung!$B627:$E627,0),0)=0,Z638,INDEX(Spielauswertung!$AB627:$AE627,MATCH(Tabelle11[[#Headers],[Louis_W]],Spielauswertung!$B627:$E627,0))+Z638)</f>
        <v>87.497452285475362</v>
      </c>
      <c r="AA639" s="1">
        <f>IF(IFERROR(MATCH(Tabelle11[[#Headers],[Lukas_L]],Spielauswertung!$B627:$E627,0),0)=0,AA638,INDEX(Spielauswertung!$AB627:$AE627,MATCH(Tabelle11[[#Headers],[Lukas_L]],Spielauswertung!$B627:$E627,0))+AA638)</f>
        <v>98.447931341404143</v>
      </c>
      <c r="AB639" s="1">
        <f>IF(IFERROR(MATCH(Tabelle11[[#Headers],[Marcin_S]],Spielauswertung!$B627:$E627,0),0)=0,AB638,INDEX(Spielauswertung!$AB627:$AE627,MATCH(Tabelle11[[#Headers],[Marcin_S]],Spielauswertung!$B627:$E627,0))+AB638)</f>
        <v>85.463329105556824</v>
      </c>
      <c r="AC639" s="1">
        <f>IF(IFERROR(MATCH(Tabelle11[[#Headers],[Marco_K]],Spielauswertung!$B627:$E627,0),0)=0,AC638,INDEX(Spielauswertung!$AB627:$AE627,MATCH(Tabelle11[[#Headers],[Marco_K]],Spielauswertung!$B627:$E627,0))+AC638)</f>
        <v>102.12169819441469</v>
      </c>
      <c r="AD639" s="1">
        <f>IF(IFERROR(MATCH(Tabelle11[[#Headers],[Marius_M]],Spielauswertung!$B627:$E627,0),0)=0,AD638,INDEX(Spielauswertung!$AB627:$AE627,MATCH(Tabelle11[[#Headers],[Marius_M]],Spielauswertung!$B627:$E627,0))+AD638)</f>
        <v>124.54012374585781</v>
      </c>
      <c r="AE639" s="1">
        <f>IF(IFERROR(MATCH(Tabelle11[[#Headers],[Marvin_W]],Spielauswertung!$B627:$E627,0),0)=0,AE638,INDEX(Spielauswertung!$AB627:$AE627,MATCH(Tabelle11[[#Headers],[Marvin_W]],Spielauswertung!$B627:$E627,0))+AE638)</f>
        <v>96.700266280577438</v>
      </c>
      <c r="AF639" s="1">
        <f>IF(IFERROR(MATCH(Tabelle11[[#Headers],[Matthias_H]],Spielauswertung!$B627:$E627,0),0)=0,AF638,INDEX(Spielauswertung!$AB627:$AE627,MATCH(Tabelle11[[#Headers],[Matthias_H]],Spielauswertung!$B627:$E627,0))+AF638)</f>
        <v>105.42130178599372</v>
      </c>
      <c r="AG639" s="1">
        <f>IF(IFERROR(MATCH(Tabelle11[[#Headers],[Michael_D]],Spielauswertung!$B627:$E627,0),0)=0,AG638,INDEX(Spielauswertung!$AB627:$AE627,MATCH(Tabelle11[[#Headers],[Michael_D]],Spielauswertung!$B627:$E627,0))+AG638)</f>
        <v>96.436276170375336</v>
      </c>
      <c r="AH639" s="1">
        <f>IF(IFERROR(MATCH(Tabelle11[[#Headers],[Patrick_S]],Spielauswertung!$B627:$E627,0),0)=0,AH638,INDEX(Spielauswertung!$AB627:$AE627,MATCH(Tabelle11[[#Headers],[Patrick_S]],Spielauswertung!$B627:$E627,0))+AH638)</f>
        <v>98.975330692053802</v>
      </c>
      <c r="AI639" s="1">
        <f>IF(IFERROR(MATCH(Tabelle11[[#Headers],[Rano_M]],Spielauswertung!$B627:$E627,0),0)=0,AI638,INDEX(Spielauswertung!$AB627:$AE627,MATCH(Tabelle11[[#Headers],[Rano_M]],Spielauswertung!$B627:$E627,0))+AI638)</f>
        <v>109.38890657420265</v>
      </c>
      <c r="AJ639" s="1">
        <f>IF(IFERROR(MATCH(Tabelle11[[#Headers],[Rene_N]],Spielauswertung!$B627:$E627,0),0)=0,AJ638,INDEX(Spielauswertung!$AB627:$AE627,MATCH(Tabelle11[[#Headers],[Rene_N]],Spielauswertung!$B627:$E627,0))+AJ638)</f>
        <v>101.06482124619033</v>
      </c>
      <c r="AK639" s="1">
        <f>IF(IFERROR(MATCH(Tabelle11[[#Headers],[Rene_P]],Spielauswertung!$B627:$E627,0),0)=0,AK638,INDEX(Spielauswertung!$AB627:$AE627,MATCH(Tabelle11[[#Headers],[Rene_P]],Spielauswertung!$B627:$E627,0))+AK638)</f>
        <v>88.762543186332877</v>
      </c>
      <c r="AL639" s="1">
        <f>IF(IFERROR(MATCH(Tabelle11[[#Headers],[Richard_D]],Spielauswertung!$B627:$E627,0),0)=0,AL638,INDEX(Spielauswertung!$AB627:$AE627,MATCH(Tabelle11[[#Headers],[Richard_D]],Spielauswertung!$B627:$E627,0))+AL638)</f>
        <v>107.23233592026223</v>
      </c>
      <c r="AM639" s="1">
        <f>IF(IFERROR(MATCH(Tabelle11[[#Headers],[Rodrigo_R]],Spielauswertung!$B627:$E627,0),0)=0,AM638,INDEX(Spielauswertung!$AB627:$AE627,MATCH(Tabelle11[[#Headers],[Rodrigo_R]],Spielauswertung!$B627:$E627,0))+AM638)</f>
        <v>116.7028707921346</v>
      </c>
      <c r="AN639" s="1">
        <f>IF(IFERROR(MATCH(Tabelle11[[#Headers],[Sebastian_A]],Spielauswertung!$B627:$E627,0),0)=0,AN638,INDEX(Spielauswertung!$AB627:$AE627,MATCH(Tabelle11[[#Headers],[Sebastian_A]],Spielauswertung!$B627:$E627,0))+AN638)</f>
        <v>102.89457418671324</v>
      </c>
      <c r="AO639" s="1">
        <f>IF(IFERROR(MATCH(Tabelle11[[#Headers],[Sebastian_St]],Spielauswertung!$B627:$E627,0),0)=0,AO638,INDEX(Spielauswertung!$AB627:$AE627,MATCH(Tabelle11[[#Headers],[Sebastian_St]],Spielauswertung!$B627:$E627,0))+AO638)</f>
        <v>97.749574367408982</v>
      </c>
      <c r="AP639" s="1">
        <f>IF(IFERROR(MATCH(Tabelle11[[#Headers],[Simon_U]],Spielauswertung!$B627:$E627,0),0)=0,AP638,INDEX(Spielauswertung!$AB627:$AE627,MATCH(Tabelle11[[#Headers],[Simon_U]],Spielauswertung!$B627:$E627,0))+AP638)</f>
        <v>99.623054841470903</v>
      </c>
      <c r="AQ639" s="1">
        <f>IF(IFERROR(MATCH(Tabelle11[[#Headers],[Steffen_R]],Spielauswertung!$B627:$E627,0),0)=0,AQ638,INDEX(Spielauswertung!$AB627:$AE627,MATCH(Tabelle11[[#Headers],[Steffen_R]],Spielauswertung!$B627:$E627,0))+AQ638)</f>
        <v>93.247497067190949</v>
      </c>
      <c r="AR639" s="1">
        <f>IF(IFERROR(MATCH(Tabelle11[[#Headers],[Tim_R]],Spielauswertung!$B627:$E627,0),0)=0,AR638,INDEX(Spielauswertung!$AB627:$AE627,MATCH(Tabelle11[[#Headers],[Tim_R]],Spielauswertung!$B627:$E627,0))+AR638)</f>
        <v>103.07503787023374</v>
      </c>
      <c r="AS639" s="1">
        <f>IF(IFERROR(MATCH(Tabelle11[[#Headers],[Tobias_S]],Spielauswertung!$B627:$E627,0),0)=0,AS638,INDEX(Spielauswertung!$AB627:$AE627,MATCH(Tabelle11[[#Headers],[Tobias_S]],Spielauswertung!$B627:$E627,0))+AS638)</f>
        <v>98.6003422659997</v>
      </c>
      <c r="AT639" s="1">
        <f>IF(IFERROR(MATCH(Tabelle11[[#Headers],[Tom_R]],Spielauswertung!$B627:$E627,0),0)=0,AT638,INDEX(Spielauswertung!$AB627:$AE627,MATCH(Tabelle11[[#Headers],[Tom_R]],Spielauswertung!$B627:$E627,0))+AT638)</f>
        <v>112.62344492949197</v>
      </c>
      <c r="AU639" s="1">
        <f>IF(IFERROR(MATCH(Tabelle11[[#Headers],[Ton_L]],Spielauswertung!$B627:$E627,0),0)=0,AU638,INDEX(Spielauswertung!$AB627:$AE627,MATCH(Tabelle11[[#Headers],[Ton_L]],Spielauswertung!$B627:$E627,0))+AU638)</f>
        <v>92.683083360025861</v>
      </c>
      <c r="AV639" s="1">
        <f>IF(IFERROR(MATCH(Tabelle11[[#Headers],[Yixin_G]],Spielauswertung!$B627:$E627,0),0)=0,AV638,INDEX(Spielauswertung!$AB627:$AE627,MATCH(Tabelle11[[#Headers],[Yixin_G]],Spielauswertung!$B627:$E627,0))+AV638)</f>
        <v>99.900323214082661</v>
      </c>
      <c r="AW639" s="1">
        <f>IF(IFERROR(MATCH(Tabelle11[[#Headers],[Spalte36]],Spielauswertung!$B627:$E627,0),0)=0,AW638,INDEX(Spielauswertung!$AB627:$AE627,MATCH(Tabelle11[[#Headers],[Spalte36]],Spielauswertung!$B627:$E627,0))+AW638)</f>
        <v>100</v>
      </c>
      <c r="AX639" s="1">
        <f>IF(IFERROR(MATCH(Tabelle11[[#Headers],[Spalte37]],Spielauswertung!$B627:$E627,0),0)=0,AX638,INDEX(Spielauswertung!$AB627:$AE627,MATCH(Tabelle11[[#Headers],[Spalte37]],Spielauswertung!$B627:$E627,0))+AX638)</f>
        <v>100</v>
      </c>
      <c r="AY639" s="1">
        <f>IF(IFERROR(MATCH(Tabelle11[[#Headers],[Spalte38]],Spielauswertung!$B627:$E627,0),0)=0,AY638,INDEX(Spielauswertung!$AB627:$AE627,MATCH(Tabelle11[[#Headers],[Spalte38]],Spielauswertung!$B627:$E627,0))+AY638)</f>
        <v>100</v>
      </c>
      <c r="AZ639" s="1">
        <f>IF(IFERROR(MATCH(Tabelle11[[#Headers],[Spalte39]],Spielauswertung!$B627:$E627,0),0)=0,AZ638,INDEX(Spielauswertung!$AB627:$AE627,MATCH(Tabelle11[[#Headers],[Spalte39]],Spielauswertung!$B627:$E627,0))+AZ638)</f>
        <v>100</v>
      </c>
      <c r="BA639" s="1">
        <f>IF(IFERROR(MATCH(Tabelle11[[#Headers],[Spalte40]],Spielauswertung!$B627:$E627,0),0)=0,BA638,INDEX(Spielauswertung!$AB627:$AE627,MATCH(Tabelle11[[#Headers],[Spalte40]],Spielauswertung!$B627:$E627,0))+BA638)</f>
        <v>100</v>
      </c>
      <c r="BB639" s="1">
        <f>IF(IFERROR(MATCH(Tabelle11[[#Headers],[Spalte41]],Spielauswertung!$B627:$E627,0),0)=0,BB638,INDEX(Spielauswertung!$AB627:$AE627,MATCH(Tabelle11[[#Headers],[Spalte41]],Spielauswertung!$B627:$E627,0))+BB638)</f>
        <v>100</v>
      </c>
      <c r="BC639" s="1">
        <f>IF(IFERROR(MATCH(Tabelle11[[#Headers],[Spalte42]],Spielauswertung!$B627:$E627,0),0)=0,BC638,INDEX(Spielauswertung!$AB627:$AE627,MATCH(Tabelle11[[#Headers],[Spalte42]],Spielauswertung!$B627:$E627,0))+BC638)</f>
        <v>100</v>
      </c>
      <c r="BD639" s="1">
        <f>IF(IFERROR(MATCH(Tabelle11[[#Headers],[Spalte43]],Spielauswertung!$B627:$E627,0),0)=0,BD638,INDEX(Spielauswertung!$AB627:$AE627,MATCH(Tabelle11[[#Headers],[Spalte43]],Spielauswertung!$B627:$E627,0))+BD638)</f>
        <v>100</v>
      </c>
      <c r="BE639" s="1">
        <f>IF(IFERROR(MATCH(Tabelle11[[#Headers],[Spalte44]],Spielauswertung!$B627:$E627,0),0)=0,BE638,INDEX(Spielauswertung!$AB627:$AE627,MATCH(Tabelle11[[#Headers],[Spalte44]],Spielauswertung!$B627:$E627,0))+BE638)</f>
        <v>100</v>
      </c>
      <c r="BF639" s="1">
        <f>IF(IFERROR(MATCH(Tabelle11[[#Headers],[Spalte45]],Spielauswertung!$B627:$E627,0),0)=0,BF638,INDEX(Spielauswertung!$AB627:$AE627,MATCH(Tabelle11[[#Headers],[Spalte45]],Spielauswertung!$B627:$E627,0))+BF638)</f>
        <v>100</v>
      </c>
      <c r="BG639" s="1">
        <f>IF(IFERROR(MATCH(Tabelle11[[#Headers],[Spalte46]],Spielauswertung!$B627:$E627,0),0)=0,BG638,INDEX(Spielauswertung!$AB627:$AE627,MATCH(Tabelle11[[#Headers],[Spalte46]],Spielauswertung!$B627:$E627,0))+BG638)</f>
        <v>100</v>
      </c>
      <c r="BH639" s="1">
        <f>IF(IFERROR(MATCH(Tabelle11[[#Headers],[Spalte47]],Spielauswertung!$B627:$E627,0),0)=0,BH638,INDEX(Spielauswertung!$AB627:$AE627,MATCH(Tabelle11[[#Headers],[Spalte47]],Spielauswertung!$B627:$E627,0))+BH638)</f>
        <v>100</v>
      </c>
    </row>
    <row r="640" spans="1:60" x14ac:dyDescent="0.25">
      <c r="A640">
        <f t="shared" si="10"/>
        <v>627</v>
      </c>
      <c r="B640" s="1">
        <f>IF(IFERROR(MATCH(Tabelle11[[#Headers],[Aleix_V]],Spielauswertung!$B628:$E628,0),0)=0,B639,INDEX(Spielauswertung!$AB628:$AE628,MATCH(Tabelle11[[#Headers],[Aleix_V]],Spielauswertung!$B628:$E628,0))+B639)</f>
        <v>102.47318019444646</v>
      </c>
      <c r="C640" s="1">
        <f>IF(IFERROR(MATCH(Tabelle11[[#Headers],[Andres_H]],Spielauswertung!$B628:$E628,0),0)=0,C639,INDEX(Spielauswertung!$AB628:$AE628,MATCH(Tabelle11[[#Headers],[Andres_H]],Spielauswertung!$B628:$E628,0))+C639)</f>
        <v>95.535732339111306</v>
      </c>
      <c r="D640" s="1">
        <f>IF(IFERROR(MATCH(Tabelle11[[#Headers],[Anton_K]],Spielauswertung!$B628:$E628,0),0)=0,D639,INDEX(Spielauswertung!$AB628:$AE628,MATCH(Tabelle11[[#Headers],[Anton_K]],Spielauswertung!$B628:$E628,0))+D639)</f>
        <v>99.287728777054667</v>
      </c>
      <c r="E640" s="1">
        <f>IF(IFERROR(MATCH(Tabelle11[[#Headers],[Bastian_G]],Spielauswertung!$B628:$E628,0),0)=0,E639,INDEX(Spielauswertung!$AB628:$AE628,MATCH(Tabelle11[[#Headers],[Bastian_G]],Spielauswertung!$B628:$E628,0))+E639)</f>
        <v>117.49978695184252</v>
      </c>
      <c r="F640" s="1">
        <f>IF(IFERROR(MATCH(Tabelle11[[#Headers],[Ben_S]],Spielauswertung!$B628:$E628,0),0)=0,F639,INDEX(Spielauswertung!$AB628:$AE628,MATCH(Tabelle11[[#Headers],[Ben_S]],Spielauswertung!$B628:$E628,0))+F639)</f>
        <v>95.932799101521084</v>
      </c>
      <c r="G640" s="1">
        <f>IF(IFERROR(MATCH(Tabelle11[[#Headers],[Benedikt_K]],Spielauswertung!$B628:$E628,0),0)=0,G639,INDEX(Spielauswertung!$AB628:$AE628,MATCH(Tabelle11[[#Headers],[Benedikt_K]],Spielauswertung!$B628:$E628,0))+G639)</f>
        <v>101.20264176422626</v>
      </c>
      <c r="H640" s="1">
        <f>IF(IFERROR(MATCH(Tabelle11[[#Headers],[Benedikt_R]],Spielauswertung!$B628:$E628,0),0)=0,H639,INDEX(Spielauswertung!$AB628:$AE628,MATCH(Tabelle11[[#Headers],[Benedikt_R]],Spielauswertung!$B628:$E628,0))+H639)</f>
        <v>102.6264770510757</v>
      </c>
      <c r="I640" s="1">
        <f>IF(IFERROR(MATCH(Tabelle11[[#Headers],[Carsten_H]],Spielauswertung!$B628:$E628,0),0)=0,I639,INDEX(Spielauswertung!$AB628:$AE628,MATCH(Tabelle11[[#Headers],[Carsten_H]],Spielauswertung!$B628:$E628,0))+I639)</f>
        <v>90.817185094326874</v>
      </c>
      <c r="J640" s="1">
        <f>IF(IFERROR(MATCH(Tabelle11[[#Headers],[Christoph_R]],Spielauswertung!$B628:$E628,0),0)=0,J639,INDEX(Spielauswertung!$AB628:$AE628,MATCH(Tabelle11[[#Headers],[Christoph_R]],Spielauswertung!$B628:$E628,0))+J639)</f>
        <v>109.73261611443155</v>
      </c>
      <c r="K640" s="1">
        <f>IF(IFERROR(MATCH(Tabelle11[[#Headers],[Claudius_J]],Spielauswertung!$B628:$E628,0),0)=0,K639,INDEX(Spielauswertung!$AB628:$AE628,MATCH(Tabelle11[[#Headers],[Claudius_J]],Spielauswertung!$B628:$E628,0))+K639)</f>
        <v>106.16590636000029</v>
      </c>
      <c r="L640" s="1">
        <f>IF(IFERROR(MATCH(Tabelle11[[#Headers],[Daniel_D]],Spielauswertung!$B628:$E628,0),0)=0,L639,INDEX(Spielauswertung!$AB628:$AE628,MATCH(Tabelle11[[#Headers],[Daniel_D]],Spielauswertung!$B628:$E628,0))+L639)</f>
        <v>99.990299180470089</v>
      </c>
      <c r="M640" s="1">
        <f>IF(IFERROR(MATCH(Tabelle11[[#Headers],[David_R]],Spielauswertung!$B628:$E628,0),0)=0,M639,INDEX(Spielauswertung!$AB628:$AE628,MATCH(Tabelle11[[#Headers],[David_R]],Spielauswertung!$B628:$E628,0))+M639)</f>
        <v>96.715943522481638</v>
      </c>
      <c r="N640" s="1">
        <f>IF(IFERROR(MATCH(Tabelle11[[#Headers],[Dennis_P]],Spielauswertung!$B628:$E628,0),0)=0,N639,INDEX(Spielauswertung!$AB628:$AE628,MATCH(Tabelle11[[#Headers],[Dennis_P]],Spielauswertung!$B628:$E628,0))+N639)</f>
        <v>100.04773223105254</v>
      </c>
      <c r="O640" s="1">
        <f>IF(IFERROR(MATCH(Tabelle11[[#Headers],[Dennis_R]],Spielauswertung!$B628:$E628,0),0)=0,O639,INDEX(Spielauswertung!$AB628:$AE628,MATCH(Tabelle11[[#Headers],[Dennis_R]],Spielauswertung!$B628:$E628,0))+O639)</f>
        <v>75.131680864937195</v>
      </c>
      <c r="P640" s="1">
        <f>IF(IFERROR(MATCH(Tabelle11[[#Headers],[Detlef_R]],Spielauswertung!$B628:$E628,0),0)=0,P639,INDEX(Spielauswertung!$AB628:$AE628,MATCH(Tabelle11[[#Headers],[Detlef_R]],Spielauswertung!$B628:$E628,0))+P639)</f>
        <v>87.984671797367014</v>
      </c>
      <c r="Q640" s="1">
        <f>IF(IFERROR(MATCH(Tabelle11[[#Headers],[Dmitrij_M]],Spielauswertung!$B628:$E628,0),0)=0,Q639,INDEX(Spielauswertung!$AB628:$AE628,MATCH(Tabelle11[[#Headers],[Dmitrij_M]],Spielauswertung!$B628:$E628,0))+Q639)</f>
        <v>100.69975721846207</v>
      </c>
      <c r="R640" s="1">
        <f>IF(IFERROR(MATCH(Tabelle11[[#Headers],[Fabian_M]],Spielauswertung!$B628:$E628,0),0)=0,R639,INDEX(Spielauswertung!$AB628:$AE628,MATCH(Tabelle11[[#Headers],[Fabian_M]],Spielauswertung!$B628:$E628,0))+R639)</f>
        <v>95.805387841610738</v>
      </c>
      <c r="S640" s="1">
        <f>IF(IFERROR(MATCH(Tabelle11[[#Headers],[Hannes_S]],Spielauswertung!$B628:$E628,0),0)=0,S639,INDEX(Spielauswertung!$AB628:$AE628,MATCH(Tabelle11[[#Headers],[Hannes_S]],Spielauswertung!$B628:$E628,0))+S639)</f>
        <v>104.83899184012799</v>
      </c>
      <c r="T640" s="1">
        <f>IF(IFERROR(MATCH(Tabelle11[[#Headers],[Jan_B]],Spielauswertung!$B628:$E628,0),0)=0,T639,INDEX(Spielauswertung!$AB628:$AE628,MATCH(Tabelle11[[#Headers],[Jan_B]],Spielauswertung!$B628:$E628,0))+T639)</f>
        <v>100.2794420429173</v>
      </c>
      <c r="U640" s="1">
        <f>IF(IFERROR(MATCH(Tabelle11[[#Headers],[Jan_Hendrik_B]],Spielauswertung!$B628:$E628,0),0)=0,U639,INDEX(Spielauswertung!$AB628:$AE628,MATCH(Tabelle11[[#Headers],[Jan_Hendrik_B]],Spielauswertung!$B628:$E628,0))+U639)</f>
        <v>100.75492416935522</v>
      </c>
      <c r="V640" s="1">
        <f>IF(IFERROR(MATCH(Tabelle11[[#Headers],[Jens_N]],Spielauswertung!$B628:$E628,0),0)=0,V639,INDEX(Spielauswertung!$AB628:$AE628,MATCH(Tabelle11[[#Headers],[Jens_N]],Spielauswertung!$B628:$E628,0))+V639)</f>
        <v>99.643534710196832</v>
      </c>
      <c r="W640" s="1">
        <f>IF(IFERROR(MATCH(Tabelle11[[#Headers],[Johannes_S]],Spielauswertung!$B628:$E628,0),0)=0,W639,INDEX(Spielauswertung!$AB628:$AE628,MATCH(Tabelle11[[#Headers],[Johannes_S]],Spielauswertung!$B628:$E628,0))+W639)</f>
        <v>102.20284750979505</v>
      </c>
      <c r="X640" s="1">
        <f>IF(IFERROR(MATCH(Tabelle11[[#Headers],[Jonathan_F]],Spielauswertung!$B628:$E628,0),0)=0,X639,INDEX(Spielauswertung!$AB628:$AE628,MATCH(Tabelle11[[#Headers],[Jonathan_F]],Spielauswertung!$B628:$E628,0))+X639)</f>
        <v>98.938308797866256</v>
      </c>
      <c r="Y640" s="1">
        <f>IF(IFERROR(MATCH(Tabelle11[[#Headers],[Julius_P]],Spielauswertung!$B628:$E628,0),0)=0,Y639,INDEX(Spielauswertung!$AB628:$AE628,MATCH(Tabelle11[[#Headers],[Julius_P]],Spielauswertung!$B628:$E628,0))+Y639)</f>
        <v>96.540305101873642</v>
      </c>
      <c r="Z640" s="1">
        <f>IF(IFERROR(MATCH(Tabelle11[[#Headers],[Louis_W]],Spielauswertung!$B628:$E628,0),0)=0,Z639,INDEX(Spielauswertung!$AB628:$AE628,MATCH(Tabelle11[[#Headers],[Louis_W]],Spielauswertung!$B628:$E628,0))+Z639)</f>
        <v>87.497452285475362</v>
      </c>
      <c r="AA640" s="1">
        <f>IF(IFERROR(MATCH(Tabelle11[[#Headers],[Lukas_L]],Spielauswertung!$B628:$E628,0),0)=0,AA639,INDEX(Spielauswertung!$AB628:$AE628,MATCH(Tabelle11[[#Headers],[Lukas_L]],Spielauswertung!$B628:$E628,0))+AA639)</f>
        <v>98.447931341404143</v>
      </c>
      <c r="AB640" s="1">
        <f>IF(IFERROR(MATCH(Tabelle11[[#Headers],[Marcin_S]],Spielauswertung!$B628:$E628,0),0)=0,AB639,INDEX(Spielauswertung!$AB628:$AE628,MATCH(Tabelle11[[#Headers],[Marcin_S]],Spielauswertung!$B628:$E628,0))+AB639)</f>
        <v>85.463329105556824</v>
      </c>
      <c r="AC640" s="1">
        <f>IF(IFERROR(MATCH(Tabelle11[[#Headers],[Marco_K]],Spielauswertung!$B628:$E628,0),0)=0,AC639,INDEX(Spielauswertung!$AB628:$AE628,MATCH(Tabelle11[[#Headers],[Marco_K]],Spielauswertung!$B628:$E628,0))+AC639)</f>
        <v>102.12169819441469</v>
      </c>
      <c r="AD640" s="1">
        <f>IF(IFERROR(MATCH(Tabelle11[[#Headers],[Marius_M]],Spielauswertung!$B628:$E628,0),0)=0,AD639,INDEX(Spielauswertung!$AB628:$AE628,MATCH(Tabelle11[[#Headers],[Marius_M]],Spielauswertung!$B628:$E628,0))+AD639)</f>
        <v>124.54012374585781</v>
      </c>
      <c r="AE640" s="1">
        <f>IF(IFERROR(MATCH(Tabelle11[[#Headers],[Marvin_W]],Spielauswertung!$B628:$E628,0),0)=0,AE639,INDEX(Spielauswertung!$AB628:$AE628,MATCH(Tabelle11[[#Headers],[Marvin_W]],Spielauswertung!$B628:$E628,0))+AE639)</f>
        <v>96.700266280577438</v>
      </c>
      <c r="AF640" s="1">
        <f>IF(IFERROR(MATCH(Tabelle11[[#Headers],[Matthias_H]],Spielauswertung!$B628:$E628,0),0)=0,AF639,INDEX(Spielauswertung!$AB628:$AE628,MATCH(Tabelle11[[#Headers],[Matthias_H]],Spielauswertung!$B628:$E628,0))+AF639)</f>
        <v>105.42130178599372</v>
      </c>
      <c r="AG640" s="1">
        <f>IF(IFERROR(MATCH(Tabelle11[[#Headers],[Michael_D]],Spielauswertung!$B628:$E628,0),0)=0,AG639,INDEX(Spielauswertung!$AB628:$AE628,MATCH(Tabelle11[[#Headers],[Michael_D]],Spielauswertung!$B628:$E628,0))+AG639)</f>
        <v>96.436276170375336</v>
      </c>
      <c r="AH640" s="1">
        <f>IF(IFERROR(MATCH(Tabelle11[[#Headers],[Patrick_S]],Spielauswertung!$B628:$E628,0),0)=0,AH639,INDEX(Spielauswertung!$AB628:$AE628,MATCH(Tabelle11[[#Headers],[Patrick_S]],Spielauswertung!$B628:$E628,0))+AH639)</f>
        <v>98.975330692053802</v>
      </c>
      <c r="AI640" s="1">
        <f>IF(IFERROR(MATCH(Tabelle11[[#Headers],[Rano_M]],Spielauswertung!$B628:$E628,0),0)=0,AI639,INDEX(Spielauswertung!$AB628:$AE628,MATCH(Tabelle11[[#Headers],[Rano_M]],Spielauswertung!$B628:$E628,0))+AI639)</f>
        <v>109.38890657420265</v>
      </c>
      <c r="AJ640" s="1">
        <f>IF(IFERROR(MATCH(Tabelle11[[#Headers],[Rene_N]],Spielauswertung!$B628:$E628,0),0)=0,AJ639,INDEX(Spielauswertung!$AB628:$AE628,MATCH(Tabelle11[[#Headers],[Rene_N]],Spielauswertung!$B628:$E628,0))+AJ639)</f>
        <v>101.06482124619033</v>
      </c>
      <c r="AK640" s="1">
        <f>IF(IFERROR(MATCH(Tabelle11[[#Headers],[Rene_P]],Spielauswertung!$B628:$E628,0),0)=0,AK639,INDEX(Spielauswertung!$AB628:$AE628,MATCH(Tabelle11[[#Headers],[Rene_P]],Spielauswertung!$B628:$E628,0))+AK639)</f>
        <v>88.762543186332877</v>
      </c>
      <c r="AL640" s="1">
        <f>IF(IFERROR(MATCH(Tabelle11[[#Headers],[Richard_D]],Spielauswertung!$B628:$E628,0),0)=0,AL639,INDEX(Spielauswertung!$AB628:$AE628,MATCH(Tabelle11[[#Headers],[Richard_D]],Spielauswertung!$B628:$E628,0))+AL639)</f>
        <v>107.23233592026223</v>
      </c>
      <c r="AM640" s="1">
        <f>IF(IFERROR(MATCH(Tabelle11[[#Headers],[Rodrigo_R]],Spielauswertung!$B628:$E628,0),0)=0,AM639,INDEX(Spielauswertung!$AB628:$AE628,MATCH(Tabelle11[[#Headers],[Rodrigo_R]],Spielauswertung!$B628:$E628,0))+AM639)</f>
        <v>116.7028707921346</v>
      </c>
      <c r="AN640" s="1">
        <f>IF(IFERROR(MATCH(Tabelle11[[#Headers],[Sebastian_A]],Spielauswertung!$B628:$E628,0),0)=0,AN639,INDEX(Spielauswertung!$AB628:$AE628,MATCH(Tabelle11[[#Headers],[Sebastian_A]],Spielauswertung!$B628:$E628,0))+AN639)</f>
        <v>102.89457418671324</v>
      </c>
      <c r="AO640" s="1">
        <f>IF(IFERROR(MATCH(Tabelle11[[#Headers],[Sebastian_St]],Spielauswertung!$B628:$E628,0),0)=0,AO639,INDEX(Spielauswertung!$AB628:$AE628,MATCH(Tabelle11[[#Headers],[Sebastian_St]],Spielauswertung!$B628:$E628,0))+AO639)</f>
        <v>97.749574367408982</v>
      </c>
      <c r="AP640" s="1">
        <f>IF(IFERROR(MATCH(Tabelle11[[#Headers],[Simon_U]],Spielauswertung!$B628:$E628,0),0)=0,AP639,INDEX(Spielauswertung!$AB628:$AE628,MATCH(Tabelle11[[#Headers],[Simon_U]],Spielauswertung!$B628:$E628,0))+AP639)</f>
        <v>99.623054841470903</v>
      </c>
      <c r="AQ640" s="1">
        <f>IF(IFERROR(MATCH(Tabelle11[[#Headers],[Steffen_R]],Spielauswertung!$B628:$E628,0),0)=0,AQ639,INDEX(Spielauswertung!$AB628:$AE628,MATCH(Tabelle11[[#Headers],[Steffen_R]],Spielauswertung!$B628:$E628,0))+AQ639)</f>
        <v>93.247497067190949</v>
      </c>
      <c r="AR640" s="1">
        <f>IF(IFERROR(MATCH(Tabelle11[[#Headers],[Tim_R]],Spielauswertung!$B628:$E628,0),0)=0,AR639,INDEX(Spielauswertung!$AB628:$AE628,MATCH(Tabelle11[[#Headers],[Tim_R]],Spielauswertung!$B628:$E628,0))+AR639)</f>
        <v>103.07503787023374</v>
      </c>
      <c r="AS640" s="1">
        <f>IF(IFERROR(MATCH(Tabelle11[[#Headers],[Tobias_S]],Spielauswertung!$B628:$E628,0),0)=0,AS639,INDEX(Spielauswertung!$AB628:$AE628,MATCH(Tabelle11[[#Headers],[Tobias_S]],Spielauswertung!$B628:$E628,0))+AS639)</f>
        <v>98.6003422659997</v>
      </c>
      <c r="AT640" s="1">
        <f>IF(IFERROR(MATCH(Tabelle11[[#Headers],[Tom_R]],Spielauswertung!$B628:$E628,0),0)=0,AT639,INDEX(Spielauswertung!$AB628:$AE628,MATCH(Tabelle11[[#Headers],[Tom_R]],Spielauswertung!$B628:$E628,0))+AT639)</f>
        <v>112.62344492949197</v>
      </c>
      <c r="AU640" s="1">
        <f>IF(IFERROR(MATCH(Tabelle11[[#Headers],[Ton_L]],Spielauswertung!$B628:$E628,0),0)=0,AU639,INDEX(Spielauswertung!$AB628:$AE628,MATCH(Tabelle11[[#Headers],[Ton_L]],Spielauswertung!$B628:$E628,0))+AU639)</f>
        <v>92.683083360025861</v>
      </c>
      <c r="AV640" s="1">
        <f>IF(IFERROR(MATCH(Tabelle11[[#Headers],[Yixin_G]],Spielauswertung!$B628:$E628,0),0)=0,AV639,INDEX(Spielauswertung!$AB628:$AE628,MATCH(Tabelle11[[#Headers],[Yixin_G]],Spielauswertung!$B628:$E628,0))+AV639)</f>
        <v>99.900323214082661</v>
      </c>
      <c r="AW640" s="1">
        <f>IF(IFERROR(MATCH(Tabelle11[[#Headers],[Spalte36]],Spielauswertung!$B628:$E628,0),0)=0,AW639,INDEX(Spielauswertung!$AB628:$AE628,MATCH(Tabelle11[[#Headers],[Spalte36]],Spielauswertung!$B628:$E628,0))+AW639)</f>
        <v>100</v>
      </c>
      <c r="AX640" s="1">
        <f>IF(IFERROR(MATCH(Tabelle11[[#Headers],[Spalte37]],Spielauswertung!$B628:$E628,0),0)=0,AX639,INDEX(Spielauswertung!$AB628:$AE628,MATCH(Tabelle11[[#Headers],[Spalte37]],Spielauswertung!$B628:$E628,0))+AX639)</f>
        <v>100</v>
      </c>
      <c r="AY640" s="1">
        <f>IF(IFERROR(MATCH(Tabelle11[[#Headers],[Spalte38]],Spielauswertung!$B628:$E628,0),0)=0,AY639,INDEX(Spielauswertung!$AB628:$AE628,MATCH(Tabelle11[[#Headers],[Spalte38]],Spielauswertung!$B628:$E628,0))+AY639)</f>
        <v>100</v>
      </c>
      <c r="AZ640" s="1">
        <f>IF(IFERROR(MATCH(Tabelle11[[#Headers],[Spalte39]],Spielauswertung!$B628:$E628,0),0)=0,AZ639,INDEX(Spielauswertung!$AB628:$AE628,MATCH(Tabelle11[[#Headers],[Spalte39]],Spielauswertung!$B628:$E628,0))+AZ639)</f>
        <v>100</v>
      </c>
      <c r="BA640" s="1">
        <f>IF(IFERROR(MATCH(Tabelle11[[#Headers],[Spalte40]],Spielauswertung!$B628:$E628,0),0)=0,BA639,INDEX(Spielauswertung!$AB628:$AE628,MATCH(Tabelle11[[#Headers],[Spalte40]],Spielauswertung!$B628:$E628,0))+BA639)</f>
        <v>100</v>
      </c>
      <c r="BB640" s="1">
        <f>IF(IFERROR(MATCH(Tabelle11[[#Headers],[Spalte41]],Spielauswertung!$B628:$E628,0),0)=0,BB639,INDEX(Spielauswertung!$AB628:$AE628,MATCH(Tabelle11[[#Headers],[Spalte41]],Spielauswertung!$B628:$E628,0))+BB639)</f>
        <v>100</v>
      </c>
      <c r="BC640" s="1">
        <f>IF(IFERROR(MATCH(Tabelle11[[#Headers],[Spalte42]],Spielauswertung!$B628:$E628,0),0)=0,BC639,INDEX(Spielauswertung!$AB628:$AE628,MATCH(Tabelle11[[#Headers],[Spalte42]],Spielauswertung!$B628:$E628,0))+BC639)</f>
        <v>100</v>
      </c>
      <c r="BD640" s="1">
        <f>IF(IFERROR(MATCH(Tabelle11[[#Headers],[Spalte43]],Spielauswertung!$B628:$E628,0),0)=0,BD639,INDEX(Spielauswertung!$AB628:$AE628,MATCH(Tabelle11[[#Headers],[Spalte43]],Spielauswertung!$B628:$E628,0))+BD639)</f>
        <v>100</v>
      </c>
      <c r="BE640" s="1">
        <f>IF(IFERROR(MATCH(Tabelle11[[#Headers],[Spalte44]],Spielauswertung!$B628:$E628,0),0)=0,BE639,INDEX(Spielauswertung!$AB628:$AE628,MATCH(Tabelle11[[#Headers],[Spalte44]],Spielauswertung!$B628:$E628,0))+BE639)</f>
        <v>100</v>
      </c>
      <c r="BF640" s="1">
        <f>IF(IFERROR(MATCH(Tabelle11[[#Headers],[Spalte45]],Spielauswertung!$B628:$E628,0),0)=0,BF639,INDEX(Spielauswertung!$AB628:$AE628,MATCH(Tabelle11[[#Headers],[Spalte45]],Spielauswertung!$B628:$E628,0))+BF639)</f>
        <v>100</v>
      </c>
      <c r="BG640" s="1">
        <f>IF(IFERROR(MATCH(Tabelle11[[#Headers],[Spalte46]],Spielauswertung!$B628:$E628,0),0)=0,BG639,INDEX(Spielauswertung!$AB628:$AE628,MATCH(Tabelle11[[#Headers],[Spalte46]],Spielauswertung!$B628:$E628,0))+BG639)</f>
        <v>100</v>
      </c>
      <c r="BH640" s="1">
        <f>IF(IFERROR(MATCH(Tabelle11[[#Headers],[Spalte47]],Spielauswertung!$B628:$E628,0),0)=0,BH639,INDEX(Spielauswertung!$AB628:$AE628,MATCH(Tabelle11[[#Headers],[Spalte47]],Spielauswertung!$B628:$E628,0))+BH639)</f>
        <v>100</v>
      </c>
    </row>
    <row r="641" spans="1:60" x14ac:dyDescent="0.25">
      <c r="A641">
        <f t="shared" si="10"/>
        <v>628</v>
      </c>
      <c r="B641" s="1">
        <f>IF(IFERROR(MATCH(Tabelle11[[#Headers],[Aleix_V]],Spielauswertung!$B629:$E629,0),0)=0,B640,INDEX(Spielauswertung!$AB629:$AE629,MATCH(Tabelle11[[#Headers],[Aleix_V]],Spielauswertung!$B629:$E629,0))+B640)</f>
        <v>102.47318019444646</v>
      </c>
      <c r="C641" s="1">
        <f>IF(IFERROR(MATCH(Tabelle11[[#Headers],[Andres_H]],Spielauswertung!$B629:$E629,0),0)=0,C640,INDEX(Spielauswertung!$AB629:$AE629,MATCH(Tabelle11[[#Headers],[Andres_H]],Spielauswertung!$B629:$E629,0))+C640)</f>
        <v>95.535732339111306</v>
      </c>
      <c r="D641" s="1">
        <f>IF(IFERROR(MATCH(Tabelle11[[#Headers],[Anton_K]],Spielauswertung!$B629:$E629,0),0)=0,D640,INDEX(Spielauswertung!$AB629:$AE629,MATCH(Tabelle11[[#Headers],[Anton_K]],Spielauswertung!$B629:$E629,0))+D640)</f>
        <v>99.287728777054667</v>
      </c>
      <c r="E641" s="1">
        <f>IF(IFERROR(MATCH(Tabelle11[[#Headers],[Bastian_G]],Spielauswertung!$B629:$E629,0),0)=0,E640,INDEX(Spielauswertung!$AB629:$AE629,MATCH(Tabelle11[[#Headers],[Bastian_G]],Spielauswertung!$B629:$E629,0))+E640)</f>
        <v>117.49978695184252</v>
      </c>
      <c r="F641" s="1">
        <f>IF(IFERROR(MATCH(Tabelle11[[#Headers],[Ben_S]],Spielauswertung!$B629:$E629,0),0)=0,F640,INDEX(Spielauswertung!$AB629:$AE629,MATCH(Tabelle11[[#Headers],[Ben_S]],Spielauswertung!$B629:$E629,0))+F640)</f>
        <v>95.932799101521084</v>
      </c>
      <c r="G641" s="1">
        <f>IF(IFERROR(MATCH(Tabelle11[[#Headers],[Benedikt_K]],Spielauswertung!$B629:$E629,0),0)=0,G640,INDEX(Spielauswertung!$AB629:$AE629,MATCH(Tabelle11[[#Headers],[Benedikt_K]],Spielauswertung!$B629:$E629,0))+G640)</f>
        <v>101.20264176422626</v>
      </c>
      <c r="H641" s="1">
        <f>IF(IFERROR(MATCH(Tabelle11[[#Headers],[Benedikt_R]],Spielauswertung!$B629:$E629,0),0)=0,H640,INDEX(Spielauswertung!$AB629:$AE629,MATCH(Tabelle11[[#Headers],[Benedikt_R]],Spielauswertung!$B629:$E629,0))+H640)</f>
        <v>102.6264770510757</v>
      </c>
      <c r="I641" s="1">
        <f>IF(IFERROR(MATCH(Tabelle11[[#Headers],[Carsten_H]],Spielauswertung!$B629:$E629,0),0)=0,I640,INDEX(Spielauswertung!$AB629:$AE629,MATCH(Tabelle11[[#Headers],[Carsten_H]],Spielauswertung!$B629:$E629,0))+I640)</f>
        <v>90.817185094326874</v>
      </c>
      <c r="J641" s="1">
        <f>IF(IFERROR(MATCH(Tabelle11[[#Headers],[Christoph_R]],Spielauswertung!$B629:$E629,0),0)=0,J640,INDEX(Spielauswertung!$AB629:$AE629,MATCH(Tabelle11[[#Headers],[Christoph_R]],Spielauswertung!$B629:$E629,0))+J640)</f>
        <v>109.73261611443155</v>
      </c>
      <c r="K641" s="1">
        <f>IF(IFERROR(MATCH(Tabelle11[[#Headers],[Claudius_J]],Spielauswertung!$B629:$E629,0),0)=0,K640,INDEX(Spielauswertung!$AB629:$AE629,MATCH(Tabelle11[[#Headers],[Claudius_J]],Spielauswertung!$B629:$E629,0))+K640)</f>
        <v>106.16590636000029</v>
      </c>
      <c r="L641" s="1">
        <f>IF(IFERROR(MATCH(Tabelle11[[#Headers],[Daniel_D]],Spielauswertung!$B629:$E629,0),0)=0,L640,INDEX(Spielauswertung!$AB629:$AE629,MATCH(Tabelle11[[#Headers],[Daniel_D]],Spielauswertung!$B629:$E629,0))+L640)</f>
        <v>99.990299180470089</v>
      </c>
      <c r="M641" s="1">
        <f>IF(IFERROR(MATCH(Tabelle11[[#Headers],[David_R]],Spielauswertung!$B629:$E629,0),0)=0,M640,INDEX(Spielauswertung!$AB629:$AE629,MATCH(Tabelle11[[#Headers],[David_R]],Spielauswertung!$B629:$E629,0))+M640)</f>
        <v>96.715943522481638</v>
      </c>
      <c r="N641" s="1">
        <f>IF(IFERROR(MATCH(Tabelle11[[#Headers],[Dennis_P]],Spielauswertung!$B629:$E629,0),0)=0,N640,INDEX(Spielauswertung!$AB629:$AE629,MATCH(Tabelle11[[#Headers],[Dennis_P]],Spielauswertung!$B629:$E629,0))+N640)</f>
        <v>100.04773223105254</v>
      </c>
      <c r="O641" s="1">
        <f>IF(IFERROR(MATCH(Tabelle11[[#Headers],[Dennis_R]],Spielauswertung!$B629:$E629,0),0)=0,O640,INDEX(Spielauswertung!$AB629:$AE629,MATCH(Tabelle11[[#Headers],[Dennis_R]],Spielauswertung!$B629:$E629,0))+O640)</f>
        <v>75.131680864937195</v>
      </c>
      <c r="P641" s="1">
        <f>IF(IFERROR(MATCH(Tabelle11[[#Headers],[Detlef_R]],Spielauswertung!$B629:$E629,0),0)=0,P640,INDEX(Spielauswertung!$AB629:$AE629,MATCH(Tabelle11[[#Headers],[Detlef_R]],Spielauswertung!$B629:$E629,0))+P640)</f>
        <v>87.984671797367014</v>
      </c>
      <c r="Q641" s="1">
        <f>IF(IFERROR(MATCH(Tabelle11[[#Headers],[Dmitrij_M]],Spielauswertung!$B629:$E629,0),0)=0,Q640,INDEX(Spielauswertung!$AB629:$AE629,MATCH(Tabelle11[[#Headers],[Dmitrij_M]],Spielauswertung!$B629:$E629,0))+Q640)</f>
        <v>100.69975721846207</v>
      </c>
      <c r="R641" s="1">
        <f>IF(IFERROR(MATCH(Tabelle11[[#Headers],[Fabian_M]],Spielauswertung!$B629:$E629,0),0)=0,R640,INDEX(Spielauswertung!$AB629:$AE629,MATCH(Tabelle11[[#Headers],[Fabian_M]],Spielauswertung!$B629:$E629,0))+R640)</f>
        <v>95.805387841610738</v>
      </c>
      <c r="S641" s="1">
        <f>IF(IFERROR(MATCH(Tabelle11[[#Headers],[Hannes_S]],Spielauswertung!$B629:$E629,0),0)=0,S640,INDEX(Spielauswertung!$AB629:$AE629,MATCH(Tabelle11[[#Headers],[Hannes_S]],Spielauswertung!$B629:$E629,0))+S640)</f>
        <v>104.83899184012799</v>
      </c>
      <c r="T641" s="1">
        <f>IF(IFERROR(MATCH(Tabelle11[[#Headers],[Jan_B]],Spielauswertung!$B629:$E629,0),0)=0,T640,INDEX(Spielauswertung!$AB629:$AE629,MATCH(Tabelle11[[#Headers],[Jan_B]],Spielauswertung!$B629:$E629,0))+T640)</f>
        <v>100.2794420429173</v>
      </c>
      <c r="U641" s="1">
        <f>IF(IFERROR(MATCH(Tabelle11[[#Headers],[Jan_Hendrik_B]],Spielauswertung!$B629:$E629,0),0)=0,U640,INDEX(Spielauswertung!$AB629:$AE629,MATCH(Tabelle11[[#Headers],[Jan_Hendrik_B]],Spielauswertung!$B629:$E629,0))+U640)</f>
        <v>100.75492416935522</v>
      </c>
      <c r="V641" s="1">
        <f>IF(IFERROR(MATCH(Tabelle11[[#Headers],[Jens_N]],Spielauswertung!$B629:$E629,0),0)=0,V640,INDEX(Spielauswertung!$AB629:$AE629,MATCH(Tabelle11[[#Headers],[Jens_N]],Spielauswertung!$B629:$E629,0))+V640)</f>
        <v>99.643534710196832</v>
      </c>
      <c r="W641" s="1">
        <f>IF(IFERROR(MATCH(Tabelle11[[#Headers],[Johannes_S]],Spielauswertung!$B629:$E629,0),0)=0,W640,INDEX(Spielauswertung!$AB629:$AE629,MATCH(Tabelle11[[#Headers],[Johannes_S]],Spielauswertung!$B629:$E629,0))+W640)</f>
        <v>102.20284750979505</v>
      </c>
      <c r="X641" s="1">
        <f>IF(IFERROR(MATCH(Tabelle11[[#Headers],[Jonathan_F]],Spielauswertung!$B629:$E629,0),0)=0,X640,INDEX(Spielauswertung!$AB629:$AE629,MATCH(Tabelle11[[#Headers],[Jonathan_F]],Spielauswertung!$B629:$E629,0))+X640)</f>
        <v>98.938308797866256</v>
      </c>
      <c r="Y641" s="1">
        <f>IF(IFERROR(MATCH(Tabelle11[[#Headers],[Julius_P]],Spielauswertung!$B629:$E629,0),0)=0,Y640,INDEX(Spielauswertung!$AB629:$AE629,MATCH(Tabelle11[[#Headers],[Julius_P]],Spielauswertung!$B629:$E629,0))+Y640)</f>
        <v>96.540305101873642</v>
      </c>
      <c r="Z641" s="1">
        <f>IF(IFERROR(MATCH(Tabelle11[[#Headers],[Louis_W]],Spielauswertung!$B629:$E629,0),0)=0,Z640,INDEX(Spielauswertung!$AB629:$AE629,MATCH(Tabelle11[[#Headers],[Louis_W]],Spielauswertung!$B629:$E629,0))+Z640)</f>
        <v>87.497452285475362</v>
      </c>
      <c r="AA641" s="1">
        <f>IF(IFERROR(MATCH(Tabelle11[[#Headers],[Lukas_L]],Spielauswertung!$B629:$E629,0),0)=0,AA640,INDEX(Spielauswertung!$AB629:$AE629,MATCH(Tabelle11[[#Headers],[Lukas_L]],Spielauswertung!$B629:$E629,0))+AA640)</f>
        <v>98.447931341404143</v>
      </c>
      <c r="AB641" s="1">
        <f>IF(IFERROR(MATCH(Tabelle11[[#Headers],[Marcin_S]],Spielauswertung!$B629:$E629,0),0)=0,AB640,INDEX(Spielauswertung!$AB629:$AE629,MATCH(Tabelle11[[#Headers],[Marcin_S]],Spielauswertung!$B629:$E629,0))+AB640)</f>
        <v>85.463329105556824</v>
      </c>
      <c r="AC641" s="1">
        <f>IF(IFERROR(MATCH(Tabelle11[[#Headers],[Marco_K]],Spielauswertung!$B629:$E629,0),0)=0,AC640,INDEX(Spielauswertung!$AB629:$AE629,MATCH(Tabelle11[[#Headers],[Marco_K]],Spielauswertung!$B629:$E629,0))+AC640)</f>
        <v>102.12169819441469</v>
      </c>
      <c r="AD641" s="1">
        <f>IF(IFERROR(MATCH(Tabelle11[[#Headers],[Marius_M]],Spielauswertung!$B629:$E629,0),0)=0,AD640,INDEX(Spielauswertung!$AB629:$AE629,MATCH(Tabelle11[[#Headers],[Marius_M]],Spielauswertung!$B629:$E629,0))+AD640)</f>
        <v>124.54012374585781</v>
      </c>
      <c r="AE641" s="1">
        <f>IF(IFERROR(MATCH(Tabelle11[[#Headers],[Marvin_W]],Spielauswertung!$B629:$E629,0),0)=0,AE640,INDEX(Spielauswertung!$AB629:$AE629,MATCH(Tabelle11[[#Headers],[Marvin_W]],Spielauswertung!$B629:$E629,0))+AE640)</f>
        <v>96.700266280577438</v>
      </c>
      <c r="AF641" s="1">
        <f>IF(IFERROR(MATCH(Tabelle11[[#Headers],[Matthias_H]],Spielauswertung!$B629:$E629,0),0)=0,AF640,INDEX(Spielauswertung!$AB629:$AE629,MATCH(Tabelle11[[#Headers],[Matthias_H]],Spielauswertung!$B629:$E629,0))+AF640)</f>
        <v>105.42130178599372</v>
      </c>
      <c r="AG641" s="1">
        <f>IF(IFERROR(MATCH(Tabelle11[[#Headers],[Michael_D]],Spielauswertung!$B629:$E629,0),0)=0,AG640,INDEX(Spielauswertung!$AB629:$AE629,MATCH(Tabelle11[[#Headers],[Michael_D]],Spielauswertung!$B629:$E629,0))+AG640)</f>
        <v>96.436276170375336</v>
      </c>
      <c r="AH641" s="1">
        <f>IF(IFERROR(MATCH(Tabelle11[[#Headers],[Patrick_S]],Spielauswertung!$B629:$E629,0),0)=0,AH640,INDEX(Spielauswertung!$AB629:$AE629,MATCH(Tabelle11[[#Headers],[Patrick_S]],Spielauswertung!$B629:$E629,0))+AH640)</f>
        <v>98.975330692053802</v>
      </c>
      <c r="AI641" s="1">
        <f>IF(IFERROR(MATCH(Tabelle11[[#Headers],[Rano_M]],Spielauswertung!$B629:$E629,0),0)=0,AI640,INDEX(Spielauswertung!$AB629:$AE629,MATCH(Tabelle11[[#Headers],[Rano_M]],Spielauswertung!$B629:$E629,0))+AI640)</f>
        <v>109.38890657420265</v>
      </c>
      <c r="AJ641" s="1">
        <f>IF(IFERROR(MATCH(Tabelle11[[#Headers],[Rene_N]],Spielauswertung!$B629:$E629,0),0)=0,AJ640,INDEX(Spielauswertung!$AB629:$AE629,MATCH(Tabelle11[[#Headers],[Rene_N]],Spielauswertung!$B629:$E629,0))+AJ640)</f>
        <v>101.06482124619033</v>
      </c>
      <c r="AK641" s="1">
        <f>IF(IFERROR(MATCH(Tabelle11[[#Headers],[Rene_P]],Spielauswertung!$B629:$E629,0),0)=0,AK640,INDEX(Spielauswertung!$AB629:$AE629,MATCH(Tabelle11[[#Headers],[Rene_P]],Spielauswertung!$B629:$E629,0))+AK640)</f>
        <v>88.762543186332877</v>
      </c>
      <c r="AL641" s="1">
        <f>IF(IFERROR(MATCH(Tabelle11[[#Headers],[Richard_D]],Spielauswertung!$B629:$E629,0),0)=0,AL640,INDEX(Spielauswertung!$AB629:$AE629,MATCH(Tabelle11[[#Headers],[Richard_D]],Spielauswertung!$B629:$E629,0))+AL640)</f>
        <v>107.23233592026223</v>
      </c>
      <c r="AM641" s="1">
        <f>IF(IFERROR(MATCH(Tabelle11[[#Headers],[Rodrigo_R]],Spielauswertung!$B629:$E629,0),0)=0,AM640,INDEX(Spielauswertung!$AB629:$AE629,MATCH(Tabelle11[[#Headers],[Rodrigo_R]],Spielauswertung!$B629:$E629,0))+AM640)</f>
        <v>116.7028707921346</v>
      </c>
      <c r="AN641" s="1">
        <f>IF(IFERROR(MATCH(Tabelle11[[#Headers],[Sebastian_A]],Spielauswertung!$B629:$E629,0),0)=0,AN640,INDEX(Spielauswertung!$AB629:$AE629,MATCH(Tabelle11[[#Headers],[Sebastian_A]],Spielauswertung!$B629:$E629,0))+AN640)</f>
        <v>102.89457418671324</v>
      </c>
      <c r="AO641" s="1">
        <f>IF(IFERROR(MATCH(Tabelle11[[#Headers],[Sebastian_St]],Spielauswertung!$B629:$E629,0),0)=0,AO640,INDEX(Spielauswertung!$AB629:$AE629,MATCH(Tabelle11[[#Headers],[Sebastian_St]],Spielauswertung!$B629:$E629,0))+AO640)</f>
        <v>97.749574367408982</v>
      </c>
      <c r="AP641" s="1">
        <f>IF(IFERROR(MATCH(Tabelle11[[#Headers],[Simon_U]],Spielauswertung!$B629:$E629,0),0)=0,AP640,INDEX(Spielauswertung!$AB629:$AE629,MATCH(Tabelle11[[#Headers],[Simon_U]],Spielauswertung!$B629:$E629,0))+AP640)</f>
        <v>99.623054841470903</v>
      </c>
      <c r="AQ641" s="1">
        <f>IF(IFERROR(MATCH(Tabelle11[[#Headers],[Steffen_R]],Spielauswertung!$B629:$E629,0),0)=0,AQ640,INDEX(Spielauswertung!$AB629:$AE629,MATCH(Tabelle11[[#Headers],[Steffen_R]],Spielauswertung!$B629:$E629,0))+AQ640)</f>
        <v>93.247497067190949</v>
      </c>
      <c r="AR641" s="1">
        <f>IF(IFERROR(MATCH(Tabelle11[[#Headers],[Tim_R]],Spielauswertung!$B629:$E629,0),0)=0,AR640,INDEX(Spielauswertung!$AB629:$AE629,MATCH(Tabelle11[[#Headers],[Tim_R]],Spielauswertung!$B629:$E629,0))+AR640)</f>
        <v>103.07503787023374</v>
      </c>
      <c r="AS641" s="1">
        <f>IF(IFERROR(MATCH(Tabelle11[[#Headers],[Tobias_S]],Spielauswertung!$B629:$E629,0),0)=0,AS640,INDEX(Spielauswertung!$AB629:$AE629,MATCH(Tabelle11[[#Headers],[Tobias_S]],Spielauswertung!$B629:$E629,0))+AS640)</f>
        <v>98.6003422659997</v>
      </c>
      <c r="AT641" s="1">
        <f>IF(IFERROR(MATCH(Tabelle11[[#Headers],[Tom_R]],Spielauswertung!$B629:$E629,0),0)=0,AT640,INDEX(Spielauswertung!$AB629:$AE629,MATCH(Tabelle11[[#Headers],[Tom_R]],Spielauswertung!$B629:$E629,0))+AT640)</f>
        <v>112.62344492949197</v>
      </c>
      <c r="AU641" s="1">
        <f>IF(IFERROR(MATCH(Tabelle11[[#Headers],[Ton_L]],Spielauswertung!$B629:$E629,0),0)=0,AU640,INDEX(Spielauswertung!$AB629:$AE629,MATCH(Tabelle11[[#Headers],[Ton_L]],Spielauswertung!$B629:$E629,0))+AU640)</f>
        <v>92.683083360025861</v>
      </c>
      <c r="AV641" s="1">
        <f>IF(IFERROR(MATCH(Tabelle11[[#Headers],[Yixin_G]],Spielauswertung!$B629:$E629,0),0)=0,AV640,INDEX(Spielauswertung!$AB629:$AE629,MATCH(Tabelle11[[#Headers],[Yixin_G]],Spielauswertung!$B629:$E629,0))+AV640)</f>
        <v>99.900323214082661</v>
      </c>
      <c r="AW641" s="1">
        <f>IF(IFERROR(MATCH(Tabelle11[[#Headers],[Spalte36]],Spielauswertung!$B629:$E629,0),0)=0,AW640,INDEX(Spielauswertung!$AB629:$AE629,MATCH(Tabelle11[[#Headers],[Spalte36]],Spielauswertung!$B629:$E629,0))+AW640)</f>
        <v>100</v>
      </c>
      <c r="AX641" s="1">
        <f>IF(IFERROR(MATCH(Tabelle11[[#Headers],[Spalte37]],Spielauswertung!$B629:$E629,0),0)=0,AX640,INDEX(Spielauswertung!$AB629:$AE629,MATCH(Tabelle11[[#Headers],[Spalte37]],Spielauswertung!$B629:$E629,0))+AX640)</f>
        <v>100</v>
      </c>
      <c r="AY641" s="1">
        <f>IF(IFERROR(MATCH(Tabelle11[[#Headers],[Spalte38]],Spielauswertung!$B629:$E629,0),0)=0,AY640,INDEX(Spielauswertung!$AB629:$AE629,MATCH(Tabelle11[[#Headers],[Spalte38]],Spielauswertung!$B629:$E629,0))+AY640)</f>
        <v>100</v>
      </c>
      <c r="AZ641" s="1">
        <f>IF(IFERROR(MATCH(Tabelle11[[#Headers],[Spalte39]],Spielauswertung!$B629:$E629,0),0)=0,AZ640,INDEX(Spielauswertung!$AB629:$AE629,MATCH(Tabelle11[[#Headers],[Spalte39]],Spielauswertung!$B629:$E629,0))+AZ640)</f>
        <v>100</v>
      </c>
      <c r="BA641" s="1">
        <f>IF(IFERROR(MATCH(Tabelle11[[#Headers],[Spalte40]],Spielauswertung!$B629:$E629,0),0)=0,BA640,INDEX(Spielauswertung!$AB629:$AE629,MATCH(Tabelle11[[#Headers],[Spalte40]],Spielauswertung!$B629:$E629,0))+BA640)</f>
        <v>100</v>
      </c>
      <c r="BB641" s="1">
        <f>IF(IFERROR(MATCH(Tabelle11[[#Headers],[Spalte41]],Spielauswertung!$B629:$E629,0),0)=0,BB640,INDEX(Spielauswertung!$AB629:$AE629,MATCH(Tabelle11[[#Headers],[Spalte41]],Spielauswertung!$B629:$E629,0))+BB640)</f>
        <v>100</v>
      </c>
      <c r="BC641" s="1">
        <f>IF(IFERROR(MATCH(Tabelle11[[#Headers],[Spalte42]],Spielauswertung!$B629:$E629,0),0)=0,BC640,INDEX(Spielauswertung!$AB629:$AE629,MATCH(Tabelle11[[#Headers],[Spalte42]],Spielauswertung!$B629:$E629,0))+BC640)</f>
        <v>100</v>
      </c>
      <c r="BD641" s="1">
        <f>IF(IFERROR(MATCH(Tabelle11[[#Headers],[Spalte43]],Spielauswertung!$B629:$E629,0),0)=0,BD640,INDEX(Spielauswertung!$AB629:$AE629,MATCH(Tabelle11[[#Headers],[Spalte43]],Spielauswertung!$B629:$E629,0))+BD640)</f>
        <v>100</v>
      </c>
      <c r="BE641" s="1">
        <f>IF(IFERROR(MATCH(Tabelle11[[#Headers],[Spalte44]],Spielauswertung!$B629:$E629,0),0)=0,BE640,INDEX(Spielauswertung!$AB629:$AE629,MATCH(Tabelle11[[#Headers],[Spalte44]],Spielauswertung!$B629:$E629,0))+BE640)</f>
        <v>100</v>
      </c>
      <c r="BF641" s="1">
        <f>IF(IFERROR(MATCH(Tabelle11[[#Headers],[Spalte45]],Spielauswertung!$B629:$E629,0),0)=0,BF640,INDEX(Spielauswertung!$AB629:$AE629,MATCH(Tabelle11[[#Headers],[Spalte45]],Spielauswertung!$B629:$E629,0))+BF640)</f>
        <v>100</v>
      </c>
      <c r="BG641" s="1">
        <f>IF(IFERROR(MATCH(Tabelle11[[#Headers],[Spalte46]],Spielauswertung!$B629:$E629,0),0)=0,BG640,INDEX(Spielauswertung!$AB629:$AE629,MATCH(Tabelle11[[#Headers],[Spalte46]],Spielauswertung!$B629:$E629,0))+BG640)</f>
        <v>100</v>
      </c>
      <c r="BH641" s="1">
        <f>IF(IFERROR(MATCH(Tabelle11[[#Headers],[Spalte47]],Spielauswertung!$B629:$E629,0),0)=0,BH640,INDEX(Spielauswertung!$AB629:$AE629,MATCH(Tabelle11[[#Headers],[Spalte47]],Spielauswertung!$B629:$E629,0))+BH640)</f>
        <v>100</v>
      </c>
    </row>
    <row r="642" spans="1:60" x14ac:dyDescent="0.25">
      <c r="A642">
        <f t="shared" si="10"/>
        <v>629</v>
      </c>
      <c r="B642" s="1">
        <f>IF(IFERROR(MATCH(Tabelle11[[#Headers],[Aleix_V]],Spielauswertung!$B630:$E630,0),0)=0,B641,INDEX(Spielauswertung!$AB630:$AE630,MATCH(Tabelle11[[#Headers],[Aleix_V]],Spielauswertung!$B630:$E630,0))+B641)</f>
        <v>102.47318019444646</v>
      </c>
      <c r="C642" s="1">
        <f>IF(IFERROR(MATCH(Tabelle11[[#Headers],[Andres_H]],Spielauswertung!$B630:$E630,0),0)=0,C641,INDEX(Spielauswertung!$AB630:$AE630,MATCH(Tabelle11[[#Headers],[Andres_H]],Spielauswertung!$B630:$E630,0))+C641)</f>
        <v>95.535732339111306</v>
      </c>
      <c r="D642" s="1">
        <f>IF(IFERROR(MATCH(Tabelle11[[#Headers],[Anton_K]],Spielauswertung!$B630:$E630,0),0)=0,D641,INDEX(Spielauswertung!$AB630:$AE630,MATCH(Tabelle11[[#Headers],[Anton_K]],Spielauswertung!$B630:$E630,0))+D641)</f>
        <v>99.287728777054667</v>
      </c>
      <c r="E642" s="1">
        <f>IF(IFERROR(MATCH(Tabelle11[[#Headers],[Bastian_G]],Spielauswertung!$B630:$E630,0),0)=0,E641,INDEX(Spielauswertung!$AB630:$AE630,MATCH(Tabelle11[[#Headers],[Bastian_G]],Spielauswertung!$B630:$E630,0))+E641)</f>
        <v>117.49978695184252</v>
      </c>
      <c r="F642" s="1">
        <f>IF(IFERROR(MATCH(Tabelle11[[#Headers],[Ben_S]],Spielauswertung!$B630:$E630,0),0)=0,F641,INDEX(Spielauswertung!$AB630:$AE630,MATCH(Tabelle11[[#Headers],[Ben_S]],Spielauswertung!$B630:$E630,0))+F641)</f>
        <v>95.932799101521084</v>
      </c>
      <c r="G642" s="1">
        <f>IF(IFERROR(MATCH(Tabelle11[[#Headers],[Benedikt_K]],Spielauswertung!$B630:$E630,0),0)=0,G641,INDEX(Spielauswertung!$AB630:$AE630,MATCH(Tabelle11[[#Headers],[Benedikt_K]],Spielauswertung!$B630:$E630,0))+G641)</f>
        <v>101.20264176422626</v>
      </c>
      <c r="H642" s="1">
        <f>IF(IFERROR(MATCH(Tabelle11[[#Headers],[Benedikt_R]],Spielauswertung!$B630:$E630,0),0)=0,H641,INDEX(Spielauswertung!$AB630:$AE630,MATCH(Tabelle11[[#Headers],[Benedikt_R]],Spielauswertung!$B630:$E630,0))+H641)</f>
        <v>102.6264770510757</v>
      </c>
      <c r="I642" s="1">
        <f>IF(IFERROR(MATCH(Tabelle11[[#Headers],[Carsten_H]],Spielauswertung!$B630:$E630,0),0)=0,I641,INDEX(Spielauswertung!$AB630:$AE630,MATCH(Tabelle11[[#Headers],[Carsten_H]],Spielauswertung!$B630:$E630,0))+I641)</f>
        <v>90.817185094326874</v>
      </c>
      <c r="J642" s="1">
        <f>IF(IFERROR(MATCH(Tabelle11[[#Headers],[Christoph_R]],Spielauswertung!$B630:$E630,0),0)=0,J641,INDEX(Spielauswertung!$AB630:$AE630,MATCH(Tabelle11[[#Headers],[Christoph_R]],Spielauswertung!$B630:$E630,0))+J641)</f>
        <v>109.73261611443155</v>
      </c>
      <c r="K642" s="1">
        <f>IF(IFERROR(MATCH(Tabelle11[[#Headers],[Claudius_J]],Spielauswertung!$B630:$E630,0),0)=0,K641,INDEX(Spielauswertung!$AB630:$AE630,MATCH(Tabelle11[[#Headers],[Claudius_J]],Spielauswertung!$B630:$E630,0))+K641)</f>
        <v>106.16590636000029</v>
      </c>
      <c r="L642" s="1">
        <f>IF(IFERROR(MATCH(Tabelle11[[#Headers],[Daniel_D]],Spielauswertung!$B630:$E630,0),0)=0,L641,INDEX(Spielauswertung!$AB630:$AE630,MATCH(Tabelle11[[#Headers],[Daniel_D]],Spielauswertung!$B630:$E630,0))+L641)</f>
        <v>99.990299180470089</v>
      </c>
      <c r="M642" s="1">
        <f>IF(IFERROR(MATCH(Tabelle11[[#Headers],[David_R]],Spielauswertung!$B630:$E630,0),0)=0,M641,INDEX(Spielauswertung!$AB630:$AE630,MATCH(Tabelle11[[#Headers],[David_R]],Spielauswertung!$B630:$E630,0))+M641)</f>
        <v>96.715943522481638</v>
      </c>
      <c r="N642" s="1">
        <f>IF(IFERROR(MATCH(Tabelle11[[#Headers],[Dennis_P]],Spielauswertung!$B630:$E630,0),0)=0,N641,INDEX(Spielauswertung!$AB630:$AE630,MATCH(Tabelle11[[#Headers],[Dennis_P]],Spielauswertung!$B630:$E630,0))+N641)</f>
        <v>100.04773223105254</v>
      </c>
      <c r="O642" s="1">
        <f>IF(IFERROR(MATCH(Tabelle11[[#Headers],[Dennis_R]],Spielauswertung!$B630:$E630,0),0)=0,O641,INDEX(Spielauswertung!$AB630:$AE630,MATCH(Tabelle11[[#Headers],[Dennis_R]],Spielauswertung!$B630:$E630,0))+O641)</f>
        <v>75.131680864937195</v>
      </c>
      <c r="P642" s="1">
        <f>IF(IFERROR(MATCH(Tabelle11[[#Headers],[Detlef_R]],Spielauswertung!$B630:$E630,0),0)=0,P641,INDEX(Spielauswertung!$AB630:$AE630,MATCH(Tabelle11[[#Headers],[Detlef_R]],Spielauswertung!$B630:$E630,0))+P641)</f>
        <v>87.984671797367014</v>
      </c>
      <c r="Q642" s="1">
        <f>IF(IFERROR(MATCH(Tabelle11[[#Headers],[Dmitrij_M]],Spielauswertung!$B630:$E630,0),0)=0,Q641,INDEX(Spielauswertung!$AB630:$AE630,MATCH(Tabelle11[[#Headers],[Dmitrij_M]],Spielauswertung!$B630:$E630,0))+Q641)</f>
        <v>100.69975721846207</v>
      </c>
      <c r="R642" s="1">
        <f>IF(IFERROR(MATCH(Tabelle11[[#Headers],[Fabian_M]],Spielauswertung!$B630:$E630,0),0)=0,R641,INDEX(Spielauswertung!$AB630:$AE630,MATCH(Tabelle11[[#Headers],[Fabian_M]],Spielauswertung!$B630:$E630,0))+R641)</f>
        <v>95.805387841610738</v>
      </c>
      <c r="S642" s="1">
        <f>IF(IFERROR(MATCH(Tabelle11[[#Headers],[Hannes_S]],Spielauswertung!$B630:$E630,0),0)=0,S641,INDEX(Spielauswertung!$AB630:$AE630,MATCH(Tabelle11[[#Headers],[Hannes_S]],Spielauswertung!$B630:$E630,0))+S641)</f>
        <v>104.83899184012799</v>
      </c>
      <c r="T642" s="1">
        <f>IF(IFERROR(MATCH(Tabelle11[[#Headers],[Jan_B]],Spielauswertung!$B630:$E630,0),0)=0,T641,INDEX(Spielauswertung!$AB630:$AE630,MATCH(Tabelle11[[#Headers],[Jan_B]],Spielauswertung!$B630:$E630,0))+T641)</f>
        <v>100.2794420429173</v>
      </c>
      <c r="U642" s="1">
        <f>IF(IFERROR(MATCH(Tabelle11[[#Headers],[Jan_Hendrik_B]],Spielauswertung!$B630:$E630,0),0)=0,U641,INDEX(Spielauswertung!$AB630:$AE630,MATCH(Tabelle11[[#Headers],[Jan_Hendrik_B]],Spielauswertung!$B630:$E630,0))+U641)</f>
        <v>100.75492416935522</v>
      </c>
      <c r="V642" s="1">
        <f>IF(IFERROR(MATCH(Tabelle11[[#Headers],[Jens_N]],Spielauswertung!$B630:$E630,0),0)=0,V641,INDEX(Spielauswertung!$AB630:$AE630,MATCH(Tabelle11[[#Headers],[Jens_N]],Spielauswertung!$B630:$E630,0))+V641)</f>
        <v>99.643534710196832</v>
      </c>
      <c r="W642" s="1">
        <f>IF(IFERROR(MATCH(Tabelle11[[#Headers],[Johannes_S]],Spielauswertung!$B630:$E630,0),0)=0,W641,INDEX(Spielauswertung!$AB630:$AE630,MATCH(Tabelle11[[#Headers],[Johannes_S]],Spielauswertung!$B630:$E630,0))+W641)</f>
        <v>102.20284750979505</v>
      </c>
      <c r="X642" s="1">
        <f>IF(IFERROR(MATCH(Tabelle11[[#Headers],[Jonathan_F]],Spielauswertung!$B630:$E630,0),0)=0,X641,INDEX(Spielauswertung!$AB630:$AE630,MATCH(Tabelle11[[#Headers],[Jonathan_F]],Spielauswertung!$B630:$E630,0))+X641)</f>
        <v>98.938308797866256</v>
      </c>
      <c r="Y642" s="1">
        <f>IF(IFERROR(MATCH(Tabelle11[[#Headers],[Julius_P]],Spielauswertung!$B630:$E630,0),0)=0,Y641,INDEX(Spielauswertung!$AB630:$AE630,MATCH(Tabelle11[[#Headers],[Julius_P]],Spielauswertung!$B630:$E630,0))+Y641)</f>
        <v>96.540305101873642</v>
      </c>
      <c r="Z642" s="1">
        <f>IF(IFERROR(MATCH(Tabelle11[[#Headers],[Louis_W]],Spielauswertung!$B630:$E630,0),0)=0,Z641,INDEX(Spielauswertung!$AB630:$AE630,MATCH(Tabelle11[[#Headers],[Louis_W]],Spielauswertung!$B630:$E630,0))+Z641)</f>
        <v>87.497452285475362</v>
      </c>
      <c r="AA642" s="1">
        <f>IF(IFERROR(MATCH(Tabelle11[[#Headers],[Lukas_L]],Spielauswertung!$B630:$E630,0),0)=0,AA641,INDEX(Spielauswertung!$AB630:$AE630,MATCH(Tabelle11[[#Headers],[Lukas_L]],Spielauswertung!$B630:$E630,0))+AA641)</f>
        <v>98.447931341404143</v>
      </c>
      <c r="AB642" s="1">
        <f>IF(IFERROR(MATCH(Tabelle11[[#Headers],[Marcin_S]],Spielauswertung!$B630:$E630,0),0)=0,AB641,INDEX(Spielauswertung!$AB630:$AE630,MATCH(Tabelle11[[#Headers],[Marcin_S]],Spielauswertung!$B630:$E630,0))+AB641)</f>
        <v>85.463329105556824</v>
      </c>
      <c r="AC642" s="1">
        <f>IF(IFERROR(MATCH(Tabelle11[[#Headers],[Marco_K]],Spielauswertung!$B630:$E630,0),0)=0,AC641,INDEX(Spielauswertung!$AB630:$AE630,MATCH(Tabelle11[[#Headers],[Marco_K]],Spielauswertung!$B630:$E630,0))+AC641)</f>
        <v>102.12169819441469</v>
      </c>
      <c r="AD642" s="1">
        <f>IF(IFERROR(MATCH(Tabelle11[[#Headers],[Marius_M]],Spielauswertung!$B630:$E630,0),0)=0,AD641,INDEX(Spielauswertung!$AB630:$AE630,MATCH(Tabelle11[[#Headers],[Marius_M]],Spielauswertung!$B630:$E630,0))+AD641)</f>
        <v>124.54012374585781</v>
      </c>
      <c r="AE642" s="1">
        <f>IF(IFERROR(MATCH(Tabelle11[[#Headers],[Marvin_W]],Spielauswertung!$B630:$E630,0),0)=0,AE641,INDEX(Spielauswertung!$AB630:$AE630,MATCH(Tabelle11[[#Headers],[Marvin_W]],Spielauswertung!$B630:$E630,0))+AE641)</f>
        <v>96.700266280577438</v>
      </c>
      <c r="AF642" s="1">
        <f>IF(IFERROR(MATCH(Tabelle11[[#Headers],[Matthias_H]],Spielauswertung!$B630:$E630,0),0)=0,AF641,INDEX(Spielauswertung!$AB630:$AE630,MATCH(Tabelle11[[#Headers],[Matthias_H]],Spielauswertung!$B630:$E630,0))+AF641)</f>
        <v>105.42130178599372</v>
      </c>
      <c r="AG642" s="1">
        <f>IF(IFERROR(MATCH(Tabelle11[[#Headers],[Michael_D]],Spielauswertung!$B630:$E630,0),0)=0,AG641,INDEX(Spielauswertung!$AB630:$AE630,MATCH(Tabelle11[[#Headers],[Michael_D]],Spielauswertung!$B630:$E630,0))+AG641)</f>
        <v>96.436276170375336</v>
      </c>
      <c r="AH642" s="1">
        <f>IF(IFERROR(MATCH(Tabelle11[[#Headers],[Patrick_S]],Spielauswertung!$B630:$E630,0),0)=0,AH641,INDEX(Spielauswertung!$AB630:$AE630,MATCH(Tabelle11[[#Headers],[Patrick_S]],Spielauswertung!$B630:$E630,0))+AH641)</f>
        <v>98.975330692053802</v>
      </c>
      <c r="AI642" s="1">
        <f>IF(IFERROR(MATCH(Tabelle11[[#Headers],[Rano_M]],Spielauswertung!$B630:$E630,0),0)=0,AI641,INDEX(Spielauswertung!$AB630:$AE630,MATCH(Tabelle11[[#Headers],[Rano_M]],Spielauswertung!$B630:$E630,0))+AI641)</f>
        <v>109.38890657420265</v>
      </c>
      <c r="AJ642" s="1">
        <f>IF(IFERROR(MATCH(Tabelle11[[#Headers],[Rene_N]],Spielauswertung!$B630:$E630,0),0)=0,AJ641,INDEX(Spielauswertung!$AB630:$AE630,MATCH(Tabelle11[[#Headers],[Rene_N]],Spielauswertung!$B630:$E630,0))+AJ641)</f>
        <v>101.06482124619033</v>
      </c>
      <c r="AK642" s="1">
        <f>IF(IFERROR(MATCH(Tabelle11[[#Headers],[Rene_P]],Spielauswertung!$B630:$E630,0),0)=0,AK641,INDEX(Spielauswertung!$AB630:$AE630,MATCH(Tabelle11[[#Headers],[Rene_P]],Spielauswertung!$B630:$E630,0))+AK641)</f>
        <v>88.762543186332877</v>
      </c>
      <c r="AL642" s="1">
        <f>IF(IFERROR(MATCH(Tabelle11[[#Headers],[Richard_D]],Spielauswertung!$B630:$E630,0),0)=0,AL641,INDEX(Spielauswertung!$AB630:$AE630,MATCH(Tabelle11[[#Headers],[Richard_D]],Spielauswertung!$B630:$E630,0))+AL641)</f>
        <v>107.23233592026223</v>
      </c>
      <c r="AM642" s="1">
        <f>IF(IFERROR(MATCH(Tabelle11[[#Headers],[Rodrigo_R]],Spielauswertung!$B630:$E630,0),0)=0,AM641,INDEX(Spielauswertung!$AB630:$AE630,MATCH(Tabelle11[[#Headers],[Rodrigo_R]],Spielauswertung!$B630:$E630,0))+AM641)</f>
        <v>116.7028707921346</v>
      </c>
      <c r="AN642" s="1">
        <f>IF(IFERROR(MATCH(Tabelle11[[#Headers],[Sebastian_A]],Spielauswertung!$B630:$E630,0),0)=0,AN641,INDEX(Spielauswertung!$AB630:$AE630,MATCH(Tabelle11[[#Headers],[Sebastian_A]],Spielauswertung!$B630:$E630,0))+AN641)</f>
        <v>102.89457418671324</v>
      </c>
      <c r="AO642" s="1">
        <f>IF(IFERROR(MATCH(Tabelle11[[#Headers],[Sebastian_St]],Spielauswertung!$B630:$E630,0),0)=0,AO641,INDEX(Spielauswertung!$AB630:$AE630,MATCH(Tabelle11[[#Headers],[Sebastian_St]],Spielauswertung!$B630:$E630,0))+AO641)</f>
        <v>97.749574367408982</v>
      </c>
      <c r="AP642" s="1">
        <f>IF(IFERROR(MATCH(Tabelle11[[#Headers],[Simon_U]],Spielauswertung!$B630:$E630,0),0)=0,AP641,INDEX(Spielauswertung!$AB630:$AE630,MATCH(Tabelle11[[#Headers],[Simon_U]],Spielauswertung!$B630:$E630,0))+AP641)</f>
        <v>99.623054841470903</v>
      </c>
      <c r="AQ642" s="1">
        <f>IF(IFERROR(MATCH(Tabelle11[[#Headers],[Steffen_R]],Spielauswertung!$B630:$E630,0),0)=0,AQ641,INDEX(Spielauswertung!$AB630:$AE630,MATCH(Tabelle11[[#Headers],[Steffen_R]],Spielauswertung!$B630:$E630,0))+AQ641)</f>
        <v>93.247497067190949</v>
      </c>
      <c r="AR642" s="1">
        <f>IF(IFERROR(MATCH(Tabelle11[[#Headers],[Tim_R]],Spielauswertung!$B630:$E630,0),0)=0,AR641,INDEX(Spielauswertung!$AB630:$AE630,MATCH(Tabelle11[[#Headers],[Tim_R]],Spielauswertung!$B630:$E630,0))+AR641)</f>
        <v>103.07503787023374</v>
      </c>
      <c r="AS642" s="1">
        <f>IF(IFERROR(MATCH(Tabelle11[[#Headers],[Tobias_S]],Spielauswertung!$B630:$E630,0),0)=0,AS641,INDEX(Spielauswertung!$AB630:$AE630,MATCH(Tabelle11[[#Headers],[Tobias_S]],Spielauswertung!$B630:$E630,0))+AS641)</f>
        <v>98.6003422659997</v>
      </c>
      <c r="AT642" s="1">
        <f>IF(IFERROR(MATCH(Tabelle11[[#Headers],[Tom_R]],Spielauswertung!$B630:$E630,0),0)=0,AT641,INDEX(Spielauswertung!$AB630:$AE630,MATCH(Tabelle11[[#Headers],[Tom_R]],Spielauswertung!$B630:$E630,0))+AT641)</f>
        <v>112.62344492949197</v>
      </c>
      <c r="AU642" s="1">
        <f>IF(IFERROR(MATCH(Tabelle11[[#Headers],[Ton_L]],Spielauswertung!$B630:$E630,0),0)=0,AU641,INDEX(Spielauswertung!$AB630:$AE630,MATCH(Tabelle11[[#Headers],[Ton_L]],Spielauswertung!$B630:$E630,0))+AU641)</f>
        <v>92.683083360025861</v>
      </c>
      <c r="AV642" s="1">
        <f>IF(IFERROR(MATCH(Tabelle11[[#Headers],[Yixin_G]],Spielauswertung!$B630:$E630,0),0)=0,AV641,INDEX(Spielauswertung!$AB630:$AE630,MATCH(Tabelle11[[#Headers],[Yixin_G]],Spielauswertung!$B630:$E630,0))+AV641)</f>
        <v>99.900323214082661</v>
      </c>
      <c r="AW642" s="1">
        <f>IF(IFERROR(MATCH(Tabelle11[[#Headers],[Spalte36]],Spielauswertung!$B630:$E630,0),0)=0,AW641,INDEX(Spielauswertung!$AB630:$AE630,MATCH(Tabelle11[[#Headers],[Spalte36]],Spielauswertung!$B630:$E630,0))+AW641)</f>
        <v>100</v>
      </c>
      <c r="AX642" s="1">
        <f>IF(IFERROR(MATCH(Tabelle11[[#Headers],[Spalte37]],Spielauswertung!$B630:$E630,0),0)=0,AX641,INDEX(Spielauswertung!$AB630:$AE630,MATCH(Tabelle11[[#Headers],[Spalte37]],Spielauswertung!$B630:$E630,0))+AX641)</f>
        <v>100</v>
      </c>
      <c r="AY642" s="1">
        <f>IF(IFERROR(MATCH(Tabelle11[[#Headers],[Spalte38]],Spielauswertung!$B630:$E630,0),0)=0,AY641,INDEX(Spielauswertung!$AB630:$AE630,MATCH(Tabelle11[[#Headers],[Spalte38]],Spielauswertung!$B630:$E630,0))+AY641)</f>
        <v>100</v>
      </c>
      <c r="AZ642" s="1">
        <f>IF(IFERROR(MATCH(Tabelle11[[#Headers],[Spalte39]],Spielauswertung!$B630:$E630,0),0)=0,AZ641,INDEX(Spielauswertung!$AB630:$AE630,MATCH(Tabelle11[[#Headers],[Spalte39]],Spielauswertung!$B630:$E630,0))+AZ641)</f>
        <v>100</v>
      </c>
      <c r="BA642" s="1">
        <f>IF(IFERROR(MATCH(Tabelle11[[#Headers],[Spalte40]],Spielauswertung!$B630:$E630,0),0)=0,BA641,INDEX(Spielauswertung!$AB630:$AE630,MATCH(Tabelle11[[#Headers],[Spalte40]],Spielauswertung!$B630:$E630,0))+BA641)</f>
        <v>100</v>
      </c>
      <c r="BB642" s="1">
        <f>IF(IFERROR(MATCH(Tabelle11[[#Headers],[Spalte41]],Spielauswertung!$B630:$E630,0),0)=0,BB641,INDEX(Spielauswertung!$AB630:$AE630,MATCH(Tabelle11[[#Headers],[Spalte41]],Spielauswertung!$B630:$E630,0))+BB641)</f>
        <v>100</v>
      </c>
      <c r="BC642" s="1">
        <f>IF(IFERROR(MATCH(Tabelle11[[#Headers],[Spalte42]],Spielauswertung!$B630:$E630,0),0)=0,BC641,INDEX(Spielauswertung!$AB630:$AE630,MATCH(Tabelle11[[#Headers],[Spalte42]],Spielauswertung!$B630:$E630,0))+BC641)</f>
        <v>100</v>
      </c>
      <c r="BD642" s="1">
        <f>IF(IFERROR(MATCH(Tabelle11[[#Headers],[Spalte43]],Spielauswertung!$B630:$E630,0),0)=0,BD641,INDEX(Spielauswertung!$AB630:$AE630,MATCH(Tabelle11[[#Headers],[Spalte43]],Spielauswertung!$B630:$E630,0))+BD641)</f>
        <v>100</v>
      </c>
      <c r="BE642" s="1">
        <f>IF(IFERROR(MATCH(Tabelle11[[#Headers],[Spalte44]],Spielauswertung!$B630:$E630,0),0)=0,BE641,INDEX(Spielauswertung!$AB630:$AE630,MATCH(Tabelle11[[#Headers],[Spalte44]],Spielauswertung!$B630:$E630,0))+BE641)</f>
        <v>100</v>
      </c>
      <c r="BF642" s="1">
        <f>IF(IFERROR(MATCH(Tabelle11[[#Headers],[Spalte45]],Spielauswertung!$B630:$E630,0),0)=0,BF641,INDEX(Spielauswertung!$AB630:$AE630,MATCH(Tabelle11[[#Headers],[Spalte45]],Spielauswertung!$B630:$E630,0))+BF641)</f>
        <v>100</v>
      </c>
      <c r="BG642" s="1">
        <f>IF(IFERROR(MATCH(Tabelle11[[#Headers],[Spalte46]],Spielauswertung!$B630:$E630,0),0)=0,BG641,INDEX(Spielauswertung!$AB630:$AE630,MATCH(Tabelle11[[#Headers],[Spalte46]],Spielauswertung!$B630:$E630,0))+BG641)</f>
        <v>100</v>
      </c>
      <c r="BH642" s="1">
        <f>IF(IFERROR(MATCH(Tabelle11[[#Headers],[Spalte47]],Spielauswertung!$B630:$E630,0),0)=0,BH641,INDEX(Spielauswertung!$AB630:$AE630,MATCH(Tabelle11[[#Headers],[Spalte47]],Spielauswertung!$B630:$E630,0))+BH641)</f>
        <v>100</v>
      </c>
    </row>
    <row r="643" spans="1:60" x14ac:dyDescent="0.25">
      <c r="A643">
        <f t="shared" si="10"/>
        <v>630</v>
      </c>
      <c r="B643" s="1">
        <f>IF(IFERROR(MATCH(Tabelle11[[#Headers],[Aleix_V]],Spielauswertung!$B631:$E631,0),0)=0,B642,INDEX(Spielauswertung!$AB631:$AE631,MATCH(Tabelle11[[#Headers],[Aleix_V]],Spielauswertung!$B631:$E631,0))+B642)</f>
        <v>102.47318019444646</v>
      </c>
      <c r="C643" s="1">
        <f>IF(IFERROR(MATCH(Tabelle11[[#Headers],[Andres_H]],Spielauswertung!$B631:$E631,0),0)=0,C642,INDEX(Spielauswertung!$AB631:$AE631,MATCH(Tabelle11[[#Headers],[Andres_H]],Spielauswertung!$B631:$E631,0))+C642)</f>
        <v>95.535732339111306</v>
      </c>
      <c r="D643" s="1">
        <f>IF(IFERROR(MATCH(Tabelle11[[#Headers],[Anton_K]],Spielauswertung!$B631:$E631,0),0)=0,D642,INDEX(Spielauswertung!$AB631:$AE631,MATCH(Tabelle11[[#Headers],[Anton_K]],Spielauswertung!$B631:$E631,0))+D642)</f>
        <v>99.287728777054667</v>
      </c>
      <c r="E643" s="1">
        <f>IF(IFERROR(MATCH(Tabelle11[[#Headers],[Bastian_G]],Spielauswertung!$B631:$E631,0),0)=0,E642,INDEX(Spielauswertung!$AB631:$AE631,MATCH(Tabelle11[[#Headers],[Bastian_G]],Spielauswertung!$B631:$E631,0))+E642)</f>
        <v>117.49978695184252</v>
      </c>
      <c r="F643" s="1">
        <f>IF(IFERROR(MATCH(Tabelle11[[#Headers],[Ben_S]],Spielauswertung!$B631:$E631,0),0)=0,F642,INDEX(Spielauswertung!$AB631:$AE631,MATCH(Tabelle11[[#Headers],[Ben_S]],Spielauswertung!$B631:$E631,0))+F642)</f>
        <v>95.932799101521084</v>
      </c>
      <c r="G643" s="1">
        <f>IF(IFERROR(MATCH(Tabelle11[[#Headers],[Benedikt_K]],Spielauswertung!$B631:$E631,0),0)=0,G642,INDEX(Spielauswertung!$AB631:$AE631,MATCH(Tabelle11[[#Headers],[Benedikt_K]],Spielauswertung!$B631:$E631,0))+G642)</f>
        <v>101.20264176422626</v>
      </c>
      <c r="H643" s="1">
        <f>IF(IFERROR(MATCH(Tabelle11[[#Headers],[Benedikt_R]],Spielauswertung!$B631:$E631,0),0)=0,H642,INDEX(Spielauswertung!$AB631:$AE631,MATCH(Tabelle11[[#Headers],[Benedikt_R]],Spielauswertung!$B631:$E631,0))+H642)</f>
        <v>102.6264770510757</v>
      </c>
      <c r="I643" s="1">
        <f>IF(IFERROR(MATCH(Tabelle11[[#Headers],[Carsten_H]],Spielauswertung!$B631:$E631,0),0)=0,I642,INDEX(Spielauswertung!$AB631:$AE631,MATCH(Tabelle11[[#Headers],[Carsten_H]],Spielauswertung!$B631:$E631,0))+I642)</f>
        <v>90.817185094326874</v>
      </c>
      <c r="J643" s="1">
        <f>IF(IFERROR(MATCH(Tabelle11[[#Headers],[Christoph_R]],Spielauswertung!$B631:$E631,0),0)=0,J642,INDEX(Spielauswertung!$AB631:$AE631,MATCH(Tabelle11[[#Headers],[Christoph_R]],Spielauswertung!$B631:$E631,0))+J642)</f>
        <v>109.73261611443155</v>
      </c>
      <c r="K643" s="1">
        <f>IF(IFERROR(MATCH(Tabelle11[[#Headers],[Claudius_J]],Spielauswertung!$B631:$E631,0),0)=0,K642,INDEX(Spielauswertung!$AB631:$AE631,MATCH(Tabelle11[[#Headers],[Claudius_J]],Spielauswertung!$B631:$E631,0))+K642)</f>
        <v>106.16590636000029</v>
      </c>
      <c r="L643" s="1">
        <f>IF(IFERROR(MATCH(Tabelle11[[#Headers],[Daniel_D]],Spielauswertung!$B631:$E631,0),0)=0,L642,INDEX(Spielauswertung!$AB631:$AE631,MATCH(Tabelle11[[#Headers],[Daniel_D]],Spielauswertung!$B631:$E631,0))+L642)</f>
        <v>99.990299180470089</v>
      </c>
      <c r="M643" s="1">
        <f>IF(IFERROR(MATCH(Tabelle11[[#Headers],[David_R]],Spielauswertung!$B631:$E631,0),0)=0,M642,INDEX(Spielauswertung!$AB631:$AE631,MATCH(Tabelle11[[#Headers],[David_R]],Spielauswertung!$B631:$E631,0))+M642)</f>
        <v>96.715943522481638</v>
      </c>
      <c r="N643" s="1">
        <f>IF(IFERROR(MATCH(Tabelle11[[#Headers],[Dennis_P]],Spielauswertung!$B631:$E631,0),0)=0,N642,INDEX(Spielauswertung!$AB631:$AE631,MATCH(Tabelle11[[#Headers],[Dennis_P]],Spielauswertung!$B631:$E631,0))+N642)</f>
        <v>100.04773223105254</v>
      </c>
      <c r="O643" s="1">
        <f>IF(IFERROR(MATCH(Tabelle11[[#Headers],[Dennis_R]],Spielauswertung!$B631:$E631,0),0)=0,O642,INDEX(Spielauswertung!$AB631:$AE631,MATCH(Tabelle11[[#Headers],[Dennis_R]],Spielauswertung!$B631:$E631,0))+O642)</f>
        <v>75.131680864937195</v>
      </c>
      <c r="P643" s="1">
        <f>IF(IFERROR(MATCH(Tabelle11[[#Headers],[Detlef_R]],Spielauswertung!$B631:$E631,0),0)=0,P642,INDEX(Spielauswertung!$AB631:$AE631,MATCH(Tabelle11[[#Headers],[Detlef_R]],Spielauswertung!$B631:$E631,0))+P642)</f>
        <v>87.984671797367014</v>
      </c>
      <c r="Q643" s="1">
        <f>IF(IFERROR(MATCH(Tabelle11[[#Headers],[Dmitrij_M]],Spielauswertung!$B631:$E631,0),0)=0,Q642,INDEX(Spielauswertung!$AB631:$AE631,MATCH(Tabelle11[[#Headers],[Dmitrij_M]],Spielauswertung!$B631:$E631,0))+Q642)</f>
        <v>100.69975721846207</v>
      </c>
      <c r="R643" s="1">
        <f>IF(IFERROR(MATCH(Tabelle11[[#Headers],[Fabian_M]],Spielauswertung!$B631:$E631,0),0)=0,R642,INDEX(Spielauswertung!$AB631:$AE631,MATCH(Tabelle11[[#Headers],[Fabian_M]],Spielauswertung!$B631:$E631,0))+R642)</f>
        <v>95.805387841610738</v>
      </c>
      <c r="S643" s="1">
        <f>IF(IFERROR(MATCH(Tabelle11[[#Headers],[Hannes_S]],Spielauswertung!$B631:$E631,0),0)=0,S642,INDEX(Spielauswertung!$AB631:$AE631,MATCH(Tabelle11[[#Headers],[Hannes_S]],Spielauswertung!$B631:$E631,0))+S642)</f>
        <v>104.83899184012799</v>
      </c>
      <c r="T643" s="1">
        <f>IF(IFERROR(MATCH(Tabelle11[[#Headers],[Jan_B]],Spielauswertung!$B631:$E631,0),0)=0,T642,INDEX(Spielauswertung!$AB631:$AE631,MATCH(Tabelle11[[#Headers],[Jan_B]],Spielauswertung!$B631:$E631,0))+T642)</f>
        <v>100.2794420429173</v>
      </c>
      <c r="U643" s="1">
        <f>IF(IFERROR(MATCH(Tabelle11[[#Headers],[Jan_Hendrik_B]],Spielauswertung!$B631:$E631,0),0)=0,U642,INDEX(Spielauswertung!$AB631:$AE631,MATCH(Tabelle11[[#Headers],[Jan_Hendrik_B]],Spielauswertung!$B631:$E631,0))+U642)</f>
        <v>100.75492416935522</v>
      </c>
      <c r="V643" s="1">
        <f>IF(IFERROR(MATCH(Tabelle11[[#Headers],[Jens_N]],Spielauswertung!$B631:$E631,0),0)=0,V642,INDEX(Spielauswertung!$AB631:$AE631,MATCH(Tabelle11[[#Headers],[Jens_N]],Spielauswertung!$B631:$E631,0))+V642)</f>
        <v>99.643534710196832</v>
      </c>
      <c r="W643" s="1">
        <f>IF(IFERROR(MATCH(Tabelle11[[#Headers],[Johannes_S]],Spielauswertung!$B631:$E631,0),0)=0,W642,INDEX(Spielauswertung!$AB631:$AE631,MATCH(Tabelle11[[#Headers],[Johannes_S]],Spielauswertung!$B631:$E631,0))+W642)</f>
        <v>102.20284750979505</v>
      </c>
      <c r="X643" s="1">
        <f>IF(IFERROR(MATCH(Tabelle11[[#Headers],[Jonathan_F]],Spielauswertung!$B631:$E631,0),0)=0,X642,INDEX(Spielauswertung!$AB631:$AE631,MATCH(Tabelle11[[#Headers],[Jonathan_F]],Spielauswertung!$B631:$E631,0))+X642)</f>
        <v>98.938308797866256</v>
      </c>
      <c r="Y643" s="1">
        <f>IF(IFERROR(MATCH(Tabelle11[[#Headers],[Julius_P]],Spielauswertung!$B631:$E631,0),0)=0,Y642,INDEX(Spielauswertung!$AB631:$AE631,MATCH(Tabelle11[[#Headers],[Julius_P]],Spielauswertung!$B631:$E631,0))+Y642)</f>
        <v>96.540305101873642</v>
      </c>
      <c r="Z643" s="1">
        <f>IF(IFERROR(MATCH(Tabelle11[[#Headers],[Louis_W]],Spielauswertung!$B631:$E631,0),0)=0,Z642,INDEX(Spielauswertung!$AB631:$AE631,MATCH(Tabelle11[[#Headers],[Louis_W]],Spielauswertung!$B631:$E631,0))+Z642)</f>
        <v>87.497452285475362</v>
      </c>
      <c r="AA643" s="1">
        <f>IF(IFERROR(MATCH(Tabelle11[[#Headers],[Lukas_L]],Spielauswertung!$B631:$E631,0),0)=0,AA642,INDEX(Spielauswertung!$AB631:$AE631,MATCH(Tabelle11[[#Headers],[Lukas_L]],Spielauswertung!$B631:$E631,0))+AA642)</f>
        <v>98.447931341404143</v>
      </c>
      <c r="AB643" s="1">
        <f>IF(IFERROR(MATCH(Tabelle11[[#Headers],[Marcin_S]],Spielauswertung!$B631:$E631,0),0)=0,AB642,INDEX(Spielauswertung!$AB631:$AE631,MATCH(Tabelle11[[#Headers],[Marcin_S]],Spielauswertung!$B631:$E631,0))+AB642)</f>
        <v>85.463329105556824</v>
      </c>
      <c r="AC643" s="1">
        <f>IF(IFERROR(MATCH(Tabelle11[[#Headers],[Marco_K]],Spielauswertung!$B631:$E631,0),0)=0,AC642,INDEX(Spielauswertung!$AB631:$AE631,MATCH(Tabelle11[[#Headers],[Marco_K]],Spielauswertung!$B631:$E631,0))+AC642)</f>
        <v>102.12169819441469</v>
      </c>
      <c r="AD643" s="1">
        <f>IF(IFERROR(MATCH(Tabelle11[[#Headers],[Marius_M]],Spielauswertung!$B631:$E631,0),0)=0,AD642,INDEX(Spielauswertung!$AB631:$AE631,MATCH(Tabelle11[[#Headers],[Marius_M]],Spielauswertung!$B631:$E631,0))+AD642)</f>
        <v>124.54012374585781</v>
      </c>
      <c r="AE643" s="1">
        <f>IF(IFERROR(MATCH(Tabelle11[[#Headers],[Marvin_W]],Spielauswertung!$B631:$E631,0),0)=0,AE642,INDEX(Spielauswertung!$AB631:$AE631,MATCH(Tabelle11[[#Headers],[Marvin_W]],Spielauswertung!$B631:$E631,0))+AE642)</f>
        <v>96.700266280577438</v>
      </c>
      <c r="AF643" s="1">
        <f>IF(IFERROR(MATCH(Tabelle11[[#Headers],[Matthias_H]],Spielauswertung!$B631:$E631,0),0)=0,AF642,INDEX(Spielauswertung!$AB631:$AE631,MATCH(Tabelle11[[#Headers],[Matthias_H]],Spielauswertung!$B631:$E631,0))+AF642)</f>
        <v>105.42130178599372</v>
      </c>
      <c r="AG643" s="1">
        <f>IF(IFERROR(MATCH(Tabelle11[[#Headers],[Michael_D]],Spielauswertung!$B631:$E631,0),0)=0,AG642,INDEX(Spielauswertung!$AB631:$AE631,MATCH(Tabelle11[[#Headers],[Michael_D]],Spielauswertung!$B631:$E631,0))+AG642)</f>
        <v>96.436276170375336</v>
      </c>
      <c r="AH643" s="1">
        <f>IF(IFERROR(MATCH(Tabelle11[[#Headers],[Patrick_S]],Spielauswertung!$B631:$E631,0),0)=0,AH642,INDEX(Spielauswertung!$AB631:$AE631,MATCH(Tabelle11[[#Headers],[Patrick_S]],Spielauswertung!$B631:$E631,0))+AH642)</f>
        <v>98.975330692053802</v>
      </c>
      <c r="AI643" s="1">
        <f>IF(IFERROR(MATCH(Tabelle11[[#Headers],[Rano_M]],Spielauswertung!$B631:$E631,0),0)=0,AI642,INDEX(Spielauswertung!$AB631:$AE631,MATCH(Tabelle11[[#Headers],[Rano_M]],Spielauswertung!$B631:$E631,0))+AI642)</f>
        <v>109.38890657420265</v>
      </c>
      <c r="AJ643" s="1">
        <f>IF(IFERROR(MATCH(Tabelle11[[#Headers],[Rene_N]],Spielauswertung!$B631:$E631,0),0)=0,AJ642,INDEX(Spielauswertung!$AB631:$AE631,MATCH(Tabelle11[[#Headers],[Rene_N]],Spielauswertung!$B631:$E631,0))+AJ642)</f>
        <v>101.06482124619033</v>
      </c>
      <c r="AK643" s="1">
        <f>IF(IFERROR(MATCH(Tabelle11[[#Headers],[Rene_P]],Spielauswertung!$B631:$E631,0),0)=0,AK642,INDEX(Spielauswertung!$AB631:$AE631,MATCH(Tabelle11[[#Headers],[Rene_P]],Spielauswertung!$B631:$E631,0))+AK642)</f>
        <v>88.762543186332877</v>
      </c>
      <c r="AL643" s="1">
        <f>IF(IFERROR(MATCH(Tabelle11[[#Headers],[Richard_D]],Spielauswertung!$B631:$E631,0),0)=0,AL642,INDEX(Spielauswertung!$AB631:$AE631,MATCH(Tabelle11[[#Headers],[Richard_D]],Spielauswertung!$B631:$E631,0))+AL642)</f>
        <v>107.23233592026223</v>
      </c>
      <c r="AM643" s="1">
        <f>IF(IFERROR(MATCH(Tabelle11[[#Headers],[Rodrigo_R]],Spielauswertung!$B631:$E631,0),0)=0,AM642,INDEX(Spielauswertung!$AB631:$AE631,MATCH(Tabelle11[[#Headers],[Rodrigo_R]],Spielauswertung!$B631:$E631,0))+AM642)</f>
        <v>116.7028707921346</v>
      </c>
      <c r="AN643" s="1">
        <f>IF(IFERROR(MATCH(Tabelle11[[#Headers],[Sebastian_A]],Spielauswertung!$B631:$E631,0),0)=0,AN642,INDEX(Spielauswertung!$AB631:$AE631,MATCH(Tabelle11[[#Headers],[Sebastian_A]],Spielauswertung!$B631:$E631,0))+AN642)</f>
        <v>102.89457418671324</v>
      </c>
      <c r="AO643" s="1">
        <f>IF(IFERROR(MATCH(Tabelle11[[#Headers],[Sebastian_St]],Spielauswertung!$B631:$E631,0),0)=0,AO642,INDEX(Spielauswertung!$AB631:$AE631,MATCH(Tabelle11[[#Headers],[Sebastian_St]],Spielauswertung!$B631:$E631,0))+AO642)</f>
        <v>97.749574367408982</v>
      </c>
      <c r="AP643" s="1">
        <f>IF(IFERROR(MATCH(Tabelle11[[#Headers],[Simon_U]],Spielauswertung!$B631:$E631,0),0)=0,AP642,INDEX(Spielauswertung!$AB631:$AE631,MATCH(Tabelle11[[#Headers],[Simon_U]],Spielauswertung!$B631:$E631,0))+AP642)</f>
        <v>99.623054841470903</v>
      </c>
      <c r="AQ643" s="1">
        <f>IF(IFERROR(MATCH(Tabelle11[[#Headers],[Steffen_R]],Spielauswertung!$B631:$E631,0),0)=0,AQ642,INDEX(Spielauswertung!$AB631:$AE631,MATCH(Tabelle11[[#Headers],[Steffen_R]],Spielauswertung!$B631:$E631,0))+AQ642)</f>
        <v>93.247497067190949</v>
      </c>
      <c r="AR643" s="1">
        <f>IF(IFERROR(MATCH(Tabelle11[[#Headers],[Tim_R]],Spielauswertung!$B631:$E631,0),0)=0,AR642,INDEX(Spielauswertung!$AB631:$AE631,MATCH(Tabelle11[[#Headers],[Tim_R]],Spielauswertung!$B631:$E631,0))+AR642)</f>
        <v>103.07503787023374</v>
      </c>
      <c r="AS643" s="1">
        <f>IF(IFERROR(MATCH(Tabelle11[[#Headers],[Tobias_S]],Spielauswertung!$B631:$E631,0),0)=0,AS642,INDEX(Spielauswertung!$AB631:$AE631,MATCH(Tabelle11[[#Headers],[Tobias_S]],Spielauswertung!$B631:$E631,0))+AS642)</f>
        <v>98.6003422659997</v>
      </c>
      <c r="AT643" s="1">
        <f>IF(IFERROR(MATCH(Tabelle11[[#Headers],[Tom_R]],Spielauswertung!$B631:$E631,0),0)=0,AT642,INDEX(Spielauswertung!$AB631:$AE631,MATCH(Tabelle11[[#Headers],[Tom_R]],Spielauswertung!$B631:$E631,0))+AT642)</f>
        <v>112.62344492949197</v>
      </c>
      <c r="AU643" s="1">
        <f>IF(IFERROR(MATCH(Tabelle11[[#Headers],[Ton_L]],Spielauswertung!$B631:$E631,0),0)=0,AU642,INDEX(Spielauswertung!$AB631:$AE631,MATCH(Tabelle11[[#Headers],[Ton_L]],Spielauswertung!$B631:$E631,0))+AU642)</f>
        <v>92.683083360025861</v>
      </c>
      <c r="AV643" s="1">
        <f>IF(IFERROR(MATCH(Tabelle11[[#Headers],[Yixin_G]],Spielauswertung!$B631:$E631,0),0)=0,AV642,INDEX(Spielauswertung!$AB631:$AE631,MATCH(Tabelle11[[#Headers],[Yixin_G]],Spielauswertung!$B631:$E631,0))+AV642)</f>
        <v>99.900323214082661</v>
      </c>
      <c r="AW643" s="1">
        <f>IF(IFERROR(MATCH(Tabelle11[[#Headers],[Spalte36]],Spielauswertung!$B631:$E631,0),0)=0,AW642,INDEX(Spielauswertung!$AB631:$AE631,MATCH(Tabelle11[[#Headers],[Spalte36]],Spielauswertung!$B631:$E631,0))+AW642)</f>
        <v>100</v>
      </c>
      <c r="AX643" s="1">
        <f>IF(IFERROR(MATCH(Tabelle11[[#Headers],[Spalte37]],Spielauswertung!$B631:$E631,0),0)=0,AX642,INDEX(Spielauswertung!$AB631:$AE631,MATCH(Tabelle11[[#Headers],[Spalte37]],Spielauswertung!$B631:$E631,0))+AX642)</f>
        <v>100</v>
      </c>
      <c r="AY643" s="1">
        <f>IF(IFERROR(MATCH(Tabelle11[[#Headers],[Spalte38]],Spielauswertung!$B631:$E631,0),0)=0,AY642,INDEX(Spielauswertung!$AB631:$AE631,MATCH(Tabelle11[[#Headers],[Spalte38]],Spielauswertung!$B631:$E631,0))+AY642)</f>
        <v>100</v>
      </c>
      <c r="AZ643" s="1">
        <f>IF(IFERROR(MATCH(Tabelle11[[#Headers],[Spalte39]],Spielauswertung!$B631:$E631,0),0)=0,AZ642,INDEX(Spielauswertung!$AB631:$AE631,MATCH(Tabelle11[[#Headers],[Spalte39]],Spielauswertung!$B631:$E631,0))+AZ642)</f>
        <v>100</v>
      </c>
      <c r="BA643" s="1">
        <f>IF(IFERROR(MATCH(Tabelle11[[#Headers],[Spalte40]],Spielauswertung!$B631:$E631,0),0)=0,BA642,INDEX(Spielauswertung!$AB631:$AE631,MATCH(Tabelle11[[#Headers],[Spalte40]],Spielauswertung!$B631:$E631,0))+BA642)</f>
        <v>100</v>
      </c>
      <c r="BB643" s="1">
        <f>IF(IFERROR(MATCH(Tabelle11[[#Headers],[Spalte41]],Spielauswertung!$B631:$E631,0),0)=0,BB642,INDEX(Spielauswertung!$AB631:$AE631,MATCH(Tabelle11[[#Headers],[Spalte41]],Spielauswertung!$B631:$E631,0))+BB642)</f>
        <v>100</v>
      </c>
      <c r="BC643" s="1">
        <f>IF(IFERROR(MATCH(Tabelle11[[#Headers],[Spalte42]],Spielauswertung!$B631:$E631,0),0)=0,BC642,INDEX(Spielauswertung!$AB631:$AE631,MATCH(Tabelle11[[#Headers],[Spalte42]],Spielauswertung!$B631:$E631,0))+BC642)</f>
        <v>100</v>
      </c>
      <c r="BD643" s="1">
        <f>IF(IFERROR(MATCH(Tabelle11[[#Headers],[Spalte43]],Spielauswertung!$B631:$E631,0),0)=0,BD642,INDEX(Spielauswertung!$AB631:$AE631,MATCH(Tabelle11[[#Headers],[Spalte43]],Spielauswertung!$B631:$E631,0))+BD642)</f>
        <v>100</v>
      </c>
      <c r="BE643" s="1">
        <f>IF(IFERROR(MATCH(Tabelle11[[#Headers],[Spalte44]],Spielauswertung!$B631:$E631,0),0)=0,BE642,INDEX(Spielauswertung!$AB631:$AE631,MATCH(Tabelle11[[#Headers],[Spalte44]],Spielauswertung!$B631:$E631,0))+BE642)</f>
        <v>100</v>
      </c>
      <c r="BF643" s="1">
        <f>IF(IFERROR(MATCH(Tabelle11[[#Headers],[Spalte45]],Spielauswertung!$B631:$E631,0),0)=0,BF642,INDEX(Spielauswertung!$AB631:$AE631,MATCH(Tabelle11[[#Headers],[Spalte45]],Spielauswertung!$B631:$E631,0))+BF642)</f>
        <v>100</v>
      </c>
      <c r="BG643" s="1">
        <f>IF(IFERROR(MATCH(Tabelle11[[#Headers],[Spalte46]],Spielauswertung!$B631:$E631,0),0)=0,BG642,INDEX(Spielauswertung!$AB631:$AE631,MATCH(Tabelle11[[#Headers],[Spalte46]],Spielauswertung!$B631:$E631,0))+BG642)</f>
        <v>100</v>
      </c>
      <c r="BH643" s="1">
        <f>IF(IFERROR(MATCH(Tabelle11[[#Headers],[Spalte47]],Spielauswertung!$B631:$E631,0),0)=0,BH642,INDEX(Spielauswertung!$AB631:$AE631,MATCH(Tabelle11[[#Headers],[Spalte47]],Spielauswertung!$B631:$E631,0))+BH642)</f>
        <v>100</v>
      </c>
    </row>
    <row r="644" spans="1:60" x14ac:dyDescent="0.25">
      <c r="A644">
        <f t="shared" si="10"/>
        <v>631</v>
      </c>
      <c r="B644" s="1">
        <f>IF(IFERROR(MATCH(Tabelle11[[#Headers],[Aleix_V]],Spielauswertung!$B632:$E632,0),0)=0,B643,INDEX(Spielauswertung!$AB632:$AE632,MATCH(Tabelle11[[#Headers],[Aleix_V]],Spielauswertung!$B632:$E632,0))+B643)</f>
        <v>102.47318019444646</v>
      </c>
      <c r="C644" s="1">
        <f>IF(IFERROR(MATCH(Tabelle11[[#Headers],[Andres_H]],Spielauswertung!$B632:$E632,0),0)=0,C643,INDEX(Spielauswertung!$AB632:$AE632,MATCH(Tabelle11[[#Headers],[Andres_H]],Spielauswertung!$B632:$E632,0))+C643)</f>
        <v>95.535732339111306</v>
      </c>
      <c r="D644" s="1">
        <f>IF(IFERROR(MATCH(Tabelle11[[#Headers],[Anton_K]],Spielauswertung!$B632:$E632,0),0)=0,D643,INDEX(Spielauswertung!$AB632:$AE632,MATCH(Tabelle11[[#Headers],[Anton_K]],Spielauswertung!$B632:$E632,0))+D643)</f>
        <v>99.287728777054667</v>
      </c>
      <c r="E644" s="1">
        <f>IF(IFERROR(MATCH(Tabelle11[[#Headers],[Bastian_G]],Spielauswertung!$B632:$E632,0),0)=0,E643,INDEX(Spielauswertung!$AB632:$AE632,MATCH(Tabelle11[[#Headers],[Bastian_G]],Spielauswertung!$B632:$E632,0))+E643)</f>
        <v>117.49978695184252</v>
      </c>
      <c r="F644" s="1">
        <f>IF(IFERROR(MATCH(Tabelle11[[#Headers],[Ben_S]],Spielauswertung!$B632:$E632,0),0)=0,F643,INDEX(Spielauswertung!$AB632:$AE632,MATCH(Tabelle11[[#Headers],[Ben_S]],Spielauswertung!$B632:$E632,0))+F643)</f>
        <v>95.932799101521084</v>
      </c>
      <c r="G644" s="1">
        <f>IF(IFERROR(MATCH(Tabelle11[[#Headers],[Benedikt_K]],Spielauswertung!$B632:$E632,0),0)=0,G643,INDEX(Spielauswertung!$AB632:$AE632,MATCH(Tabelle11[[#Headers],[Benedikt_K]],Spielauswertung!$B632:$E632,0))+G643)</f>
        <v>101.20264176422626</v>
      </c>
      <c r="H644" s="1">
        <f>IF(IFERROR(MATCH(Tabelle11[[#Headers],[Benedikt_R]],Spielauswertung!$B632:$E632,0),0)=0,H643,INDEX(Spielauswertung!$AB632:$AE632,MATCH(Tabelle11[[#Headers],[Benedikt_R]],Spielauswertung!$B632:$E632,0))+H643)</f>
        <v>102.6264770510757</v>
      </c>
      <c r="I644" s="1">
        <f>IF(IFERROR(MATCH(Tabelle11[[#Headers],[Carsten_H]],Spielauswertung!$B632:$E632,0),0)=0,I643,INDEX(Spielauswertung!$AB632:$AE632,MATCH(Tabelle11[[#Headers],[Carsten_H]],Spielauswertung!$B632:$E632,0))+I643)</f>
        <v>90.817185094326874</v>
      </c>
      <c r="J644" s="1">
        <f>IF(IFERROR(MATCH(Tabelle11[[#Headers],[Christoph_R]],Spielauswertung!$B632:$E632,0),0)=0,J643,INDEX(Spielauswertung!$AB632:$AE632,MATCH(Tabelle11[[#Headers],[Christoph_R]],Spielauswertung!$B632:$E632,0))+J643)</f>
        <v>109.73261611443155</v>
      </c>
      <c r="K644" s="1">
        <f>IF(IFERROR(MATCH(Tabelle11[[#Headers],[Claudius_J]],Spielauswertung!$B632:$E632,0),0)=0,K643,INDEX(Spielauswertung!$AB632:$AE632,MATCH(Tabelle11[[#Headers],[Claudius_J]],Spielauswertung!$B632:$E632,0))+K643)</f>
        <v>106.16590636000029</v>
      </c>
      <c r="L644" s="1">
        <f>IF(IFERROR(MATCH(Tabelle11[[#Headers],[Daniel_D]],Spielauswertung!$B632:$E632,0),0)=0,L643,INDEX(Spielauswertung!$AB632:$AE632,MATCH(Tabelle11[[#Headers],[Daniel_D]],Spielauswertung!$B632:$E632,0))+L643)</f>
        <v>99.990299180470089</v>
      </c>
      <c r="M644" s="1">
        <f>IF(IFERROR(MATCH(Tabelle11[[#Headers],[David_R]],Spielauswertung!$B632:$E632,0),0)=0,M643,INDEX(Spielauswertung!$AB632:$AE632,MATCH(Tabelle11[[#Headers],[David_R]],Spielauswertung!$B632:$E632,0))+M643)</f>
        <v>96.715943522481638</v>
      </c>
      <c r="N644" s="1">
        <f>IF(IFERROR(MATCH(Tabelle11[[#Headers],[Dennis_P]],Spielauswertung!$B632:$E632,0),0)=0,N643,INDEX(Spielauswertung!$AB632:$AE632,MATCH(Tabelle11[[#Headers],[Dennis_P]],Spielauswertung!$B632:$E632,0))+N643)</f>
        <v>100.04773223105254</v>
      </c>
      <c r="O644" s="1">
        <f>IF(IFERROR(MATCH(Tabelle11[[#Headers],[Dennis_R]],Spielauswertung!$B632:$E632,0),0)=0,O643,INDEX(Spielauswertung!$AB632:$AE632,MATCH(Tabelle11[[#Headers],[Dennis_R]],Spielauswertung!$B632:$E632,0))+O643)</f>
        <v>75.131680864937195</v>
      </c>
      <c r="P644" s="1">
        <f>IF(IFERROR(MATCH(Tabelle11[[#Headers],[Detlef_R]],Spielauswertung!$B632:$E632,0),0)=0,P643,INDEX(Spielauswertung!$AB632:$AE632,MATCH(Tabelle11[[#Headers],[Detlef_R]],Spielauswertung!$B632:$E632,0))+P643)</f>
        <v>87.984671797367014</v>
      </c>
      <c r="Q644" s="1">
        <f>IF(IFERROR(MATCH(Tabelle11[[#Headers],[Dmitrij_M]],Spielauswertung!$B632:$E632,0),0)=0,Q643,INDEX(Spielauswertung!$AB632:$AE632,MATCH(Tabelle11[[#Headers],[Dmitrij_M]],Spielauswertung!$B632:$E632,0))+Q643)</f>
        <v>100.69975721846207</v>
      </c>
      <c r="R644" s="1">
        <f>IF(IFERROR(MATCH(Tabelle11[[#Headers],[Fabian_M]],Spielauswertung!$B632:$E632,0),0)=0,R643,INDEX(Spielauswertung!$AB632:$AE632,MATCH(Tabelle11[[#Headers],[Fabian_M]],Spielauswertung!$B632:$E632,0))+R643)</f>
        <v>95.805387841610738</v>
      </c>
      <c r="S644" s="1">
        <f>IF(IFERROR(MATCH(Tabelle11[[#Headers],[Hannes_S]],Spielauswertung!$B632:$E632,0),0)=0,S643,INDEX(Spielauswertung!$AB632:$AE632,MATCH(Tabelle11[[#Headers],[Hannes_S]],Spielauswertung!$B632:$E632,0))+S643)</f>
        <v>104.83899184012799</v>
      </c>
      <c r="T644" s="1">
        <f>IF(IFERROR(MATCH(Tabelle11[[#Headers],[Jan_B]],Spielauswertung!$B632:$E632,0),0)=0,T643,INDEX(Spielauswertung!$AB632:$AE632,MATCH(Tabelle11[[#Headers],[Jan_B]],Spielauswertung!$B632:$E632,0))+T643)</f>
        <v>100.2794420429173</v>
      </c>
      <c r="U644" s="1">
        <f>IF(IFERROR(MATCH(Tabelle11[[#Headers],[Jan_Hendrik_B]],Spielauswertung!$B632:$E632,0),0)=0,U643,INDEX(Spielauswertung!$AB632:$AE632,MATCH(Tabelle11[[#Headers],[Jan_Hendrik_B]],Spielauswertung!$B632:$E632,0))+U643)</f>
        <v>100.75492416935522</v>
      </c>
      <c r="V644" s="1">
        <f>IF(IFERROR(MATCH(Tabelle11[[#Headers],[Jens_N]],Spielauswertung!$B632:$E632,0),0)=0,V643,INDEX(Spielauswertung!$AB632:$AE632,MATCH(Tabelle11[[#Headers],[Jens_N]],Spielauswertung!$B632:$E632,0))+V643)</f>
        <v>99.643534710196832</v>
      </c>
      <c r="W644" s="1">
        <f>IF(IFERROR(MATCH(Tabelle11[[#Headers],[Johannes_S]],Spielauswertung!$B632:$E632,0),0)=0,W643,INDEX(Spielauswertung!$AB632:$AE632,MATCH(Tabelle11[[#Headers],[Johannes_S]],Spielauswertung!$B632:$E632,0))+W643)</f>
        <v>102.20284750979505</v>
      </c>
      <c r="X644" s="1">
        <f>IF(IFERROR(MATCH(Tabelle11[[#Headers],[Jonathan_F]],Spielauswertung!$B632:$E632,0),0)=0,X643,INDEX(Spielauswertung!$AB632:$AE632,MATCH(Tabelle11[[#Headers],[Jonathan_F]],Spielauswertung!$B632:$E632,0))+X643)</f>
        <v>98.938308797866256</v>
      </c>
      <c r="Y644" s="1">
        <f>IF(IFERROR(MATCH(Tabelle11[[#Headers],[Julius_P]],Spielauswertung!$B632:$E632,0),0)=0,Y643,INDEX(Spielauswertung!$AB632:$AE632,MATCH(Tabelle11[[#Headers],[Julius_P]],Spielauswertung!$B632:$E632,0))+Y643)</f>
        <v>96.540305101873642</v>
      </c>
      <c r="Z644" s="1">
        <f>IF(IFERROR(MATCH(Tabelle11[[#Headers],[Louis_W]],Spielauswertung!$B632:$E632,0),0)=0,Z643,INDEX(Spielauswertung!$AB632:$AE632,MATCH(Tabelle11[[#Headers],[Louis_W]],Spielauswertung!$B632:$E632,0))+Z643)</f>
        <v>87.497452285475362</v>
      </c>
      <c r="AA644" s="1">
        <f>IF(IFERROR(MATCH(Tabelle11[[#Headers],[Lukas_L]],Spielauswertung!$B632:$E632,0),0)=0,AA643,INDEX(Spielauswertung!$AB632:$AE632,MATCH(Tabelle11[[#Headers],[Lukas_L]],Spielauswertung!$B632:$E632,0))+AA643)</f>
        <v>98.447931341404143</v>
      </c>
      <c r="AB644" s="1">
        <f>IF(IFERROR(MATCH(Tabelle11[[#Headers],[Marcin_S]],Spielauswertung!$B632:$E632,0),0)=0,AB643,INDEX(Spielauswertung!$AB632:$AE632,MATCH(Tabelle11[[#Headers],[Marcin_S]],Spielauswertung!$B632:$E632,0))+AB643)</f>
        <v>85.463329105556824</v>
      </c>
      <c r="AC644" s="1">
        <f>IF(IFERROR(MATCH(Tabelle11[[#Headers],[Marco_K]],Spielauswertung!$B632:$E632,0),0)=0,AC643,INDEX(Spielauswertung!$AB632:$AE632,MATCH(Tabelle11[[#Headers],[Marco_K]],Spielauswertung!$B632:$E632,0))+AC643)</f>
        <v>102.12169819441469</v>
      </c>
      <c r="AD644" s="1">
        <f>IF(IFERROR(MATCH(Tabelle11[[#Headers],[Marius_M]],Spielauswertung!$B632:$E632,0),0)=0,AD643,INDEX(Spielauswertung!$AB632:$AE632,MATCH(Tabelle11[[#Headers],[Marius_M]],Spielauswertung!$B632:$E632,0))+AD643)</f>
        <v>124.54012374585781</v>
      </c>
      <c r="AE644" s="1">
        <f>IF(IFERROR(MATCH(Tabelle11[[#Headers],[Marvin_W]],Spielauswertung!$B632:$E632,0),0)=0,AE643,INDEX(Spielauswertung!$AB632:$AE632,MATCH(Tabelle11[[#Headers],[Marvin_W]],Spielauswertung!$B632:$E632,0))+AE643)</f>
        <v>96.700266280577438</v>
      </c>
      <c r="AF644" s="1">
        <f>IF(IFERROR(MATCH(Tabelle11[[#Headers],[Matthias_H]],Spielauswertung!$B632:$E632,0),0)=0,AF643,INDEX(Spielauswertung!$AB632:$AE632,MATCH(Tabelle11[[#Headers],[Matthias_H]],Spielauswertung!$B632:$E632,0))+AF643)</f>
        <v>105.42130178599372</v>
      </c>
      <c r="AG644" s="1">
        <f>IF(IFERROR(MATCH(Tabelle11[[#Headers],[Michael_D]],Spielauswertung!$B632:$E632,0),0)=0,AG643,INDEX(Spielauswertung!$AB632:$AE632,MATCH(Tabelle11[[#Headers],[Michael_D]],Spielauswertung!$B632:$E632,0))+AG643)</f>
        <v>96.436276170375336</v>
      </c>
      <c r="AH644" s="1">
        <f>IF(IFERROR(MATCH(Tabelle11[[#Headers],[Patrick_S]],Spielauswertung!$B632:$E632,0),0)=0,AH643,INDEX(Spielauswertung!$AB632:$AE632,MATCH(Tabelle11[[#Headers],[Patrick_S]],Spielauswertung!$B632:$E632,0))+AH643)</f>
        <v>98.975330692053802</v>
      </c>
      <c r="AI644" s="1">
        <f>IF(IFERROR(MATCH(Tabelle11[[#Headers],[Rano_M]],Spielauswertung!$B632:$E632,0),0)=0,AI643,INDEX(Spielauswertung!$AB632:$AE632,MATCH(Tabelle11[[#Headers],[Rano_M]],Spielauswertung!$B632:$E632,0))+AI643)</f>
        <v>109.38890657420265</v>
      </c>
      <c r="AJ644" s="1">
        <f>IF(IFERROR(MATCH(Tabelle11[[#Headers],[Rene_N]],Spielauswertung!$B632:$E632,0),0)=0,AJ643,INDEX(Spielauswertung!$AB632:$AE632,MATCH(Tabelle11[[#Headers],[Rene_N]],Spielauswertung!$B632:$E632,0))+AJ643)</f>
        <v>101.06482124619033</v>
      </c>
      <c r="AK644" s="1">
        <f>IF(IFERROR(MATCH(Tabelle11[[#Headers],[Rene_P]],Spielauswertung!$B632:$E632,0),0)=0,AK643,INDEX(Spielauswertung!$AB632:$AE632,MATCH(Tabelle11[[#Headers],[Rene_P]],Spielauswertung!$B632:$E632,0))+AK643)</f>
        <v>88.762543186332877</v>
      </c>
      <c r="AL644" s="1">
        <f>IF(IFERROR(MATCH(Tabelle11[[#Headers],[Richard_D]],Spielauswertung!$B632:$E632,0),0)=0,AL643,INDEX(Spielauswertung!$AB632:$AE632,MATCH(Tabelle11[[#Headers],[Richard_D]],Spielauswertung!$B632:$E632,0))+AL643)</f>
        <v>107.23233592026223</v>
      </c>
      <c r="AM644" s="1">
        <f>IF(IFERROR(MATCH(Tabelle11[[#Headers],[Rodrigo_R]],Spielauswertung!$B632:$E632,0),0)=0,AM643,INDEX(Spielauswertung!$AB632:$AE632,MATCH(Tabelle11[[#Headers],[Rodrigo_R]],Spielauswertung!$B632:$E632,0))+AM643)</f>
        <v>116.7028707921346</v>
      </c>
      <c r="AN644" s="1">
        <f>IF(IFERROR(MATCH(Tabelle11[[#Headers],[Sebastian_A]],Spielauswertung!$B632:$E632,0),0)=0,AN643,INDEX(Spielauswertung!$AB632:$AE632,MATCH(Tabelle11[[#Headers],[Sebastian_A]],Spielauswertung!$B632:$E632,0))+AN643)</f>
        <v>102.89457418671324</v>
      </c>
      <c r="AO644" s="1">
        <f>IF(IFERROR(MATCH(Tabelle11[[#Headers],[Sebastian_St]],Spielauswertung!$B632:$E632,0),0)=0,AO643,INDEX(Spielauswertung!$AB632:$AE632,MATCH(Tabelle11[[#Headers],[Sebastian_St]],Spielauswertung!$B632:$E632,0))+AO643)</f>
        <v>97.749574367408982</v>
      </c>
      <c r="AP644" s="1">
        <f>IF(IFERROR(MATCH(Tabelle11[[#Headers],[Simon_U]],Spielauswertung!$B632:$E632,0),0)=0,AP643,INDEX(Spielauswertung!$AB632:$AE632,MATCH(Tabelle11[[#Headers],[Simon_U]],Spielauswertung!$B632:$E632,0))+AP643)</f>
        <v>99.623054841470903</v>
      </c>
      <c r="AQ644" s="1">
        <f>IF(IFERROR(MATCH(Tabelle11[[#Headers],[Steffen_R]],Spielauswertung!$B632:$E632,0),0)=0,AQ643,INDEX(Spielauswertung!$AB632:$AE632,MATCH(Tabelle11[[#Headers],[Steffen_R]],Spielauswertung!$B632:$E632,0))+AQ643)</f>
        <v>93.247497067190949</v>
      </c>
      <c r="AR644" s="1">
        <f>IF(IFERROR(MATCH(Tabelle11[[#Headers],[Tim_R]],Spielauswertung!$B632:$E632,0),0)=0,AR643,INDEX(Spielauswertung!$AB632:$AE632,MATCH(Tabelle11[[#Headers],[Tim_R]],Spielauswertung!$B632:$E632,0))+AR643)</f>
        <v>103.07503787023374</v>
      </c>
      <c r="AS644" s="1">
        <f>IF(IFERROR(MATCH(Tabelle11[[#Headers],[Tobias_S]],Spielauswertung!$B632:$E632,0),0)=0,AS643,INDEX(Spielauswertung!$AB632:$AE632,MATCH(Tabelle11[[#Headers],[Tobias_S]],Spielauswertung!$B632:$E632,0))+AS643)</f>
        <v>98.6003422659997</v>
      </c>
      <c r="AT644" s="1">
        <f>IF(IFERROR(MATCH(Tabelle11[[#Headers],[Tom_R]],Spielauswertung!$B632:$E632,0),0)=0,AT643,INDEX(Spielauswertung!$AB632:$AE632,MATCH(Tabelle11[[#Headers],[Tom_R]],Spielauswertung!$B632:$E632,0))+AT643)</f>
        <v>112.62344492949197</v>
      </c>
      <c r="AU644" s="1">
        <f>IF(IFERROR(MATCH(Tabelle11[[#Headers],[Ton_L]],Spielauswertung!$B632:$E632,0),0)=0,AU643,INDEX(Spielauswertung!$AB632:$AE632,MATCH(Tabelle11[[#Headers],[Ton_L]],Spielauswertung!$B632:$E632,0))+AU643)</f>
        <v>92.683083360025861</v>
      </c>
      <c r="AV644" s="1">
        <f>IF(IFERROR(MATCH(Tabelle11[[#Headers],[Yixin_G]],Spielauswertung!$B632:$E632,0),0)=0,AV643,INDEX(Spielauswertung!$AB632:$AE632,MATCH(Tabelle11[[#Headers],[Yixin_G]],Spielauswertung!$B632:$E632,0))+AV643)</f>
        <v>99.900323214082661</v>
      </c>
      <c r="AW644" s="1">
        <f>IF(IFERROR(MATCH(Tabelle11[[#Headers],[Spalte36]],Spielauswertung!$B632:$E632,0),0)=0,AW643,INDEX(Spielauswertung!$AB632:$AE632,MATCH(Tabelle11[[#Headers],[Spalte36]],Spielauswertung!$B632:$E632,0))+AW643)</f>
        <v>100</v>
      </c>
      <c r="AX644" s="1">
        <f>IF(IFERROR(MATCH(Tabelle11[[#Headers],[Spalte37]],Spielauswertung!$B632:$E632,0),0)=0,AX643,INDEX(Spielauswertung!$AB632:$AE632,MATCH(Tabelle11[[#Headers],[Spalte37]],Spielauswertung!$B632:$E632,0))+AX643)</f>
        <v>100</v>
      </c>
      <c r="AY644" s="1">
        <f>IF(IFERROR(MATCH(Tabelle11[[#Headers],[Spalte38]],Spielauswertung!$B632:$E632,0),0)=0,AY643,INDEX(Spielauswertung!$AB632:$AE632,MATCH(Tabelle11[[#Headers],[Spalte38]],Spielauswertung!$B632:$E632,0))+AY643)</f>
        <v>100</v>
      </c>
      <c r="AZ644" s="1">
        <f>IF(IFERROR(MATCH(Tabelle11[[#Headers],[Spalte39]],Spielauswertung!$B632:$E632,0),0)=0,AZ643,INDEX(Spielauswertung!$AB632:$AE632,MATCH(Tabelle11[[#Headers],[Spalte39]],Spielauswertung!$B632:$E632,0))+AZ643)</f>
        <v>100</v>
      </c>
      <c r="BA644" s="1">
        <f>IF(IFERROR(MATCH(Tabelle11[[#Headers],[Spalte40]],Spielauswertung!$B632:$E632,0),0)=0,BA643,INDEX(Spielauswertung!$AB632:$AE632,MATCH(Tabelle11[[#Headers],[Spalte40]],Spielauswertung!$B632:$E632,0))+BA643)</f>
        <v>100</v>
      </c>
      <c r="BB644" s="1">
        <f>IF(IFERROR(MATCH(Tabelle11[[#Headers],[Spalte41]],Spielauswertung!$B632:$E632,0),0)=0,BB643,INDEX(Spielauswertung!$AB632:$AE632,MATCH(Tabelle11[[#Headers],[Spalte41]],Spielauswertung!$B632:$E632,0))+BB643)</f>
        <v>100</v>
      </c>
      <c r="BC644" s="1">
        <f>IF(IFERROR(MATCH(Tabelle11[[#Headers],[Spalte42]],Spielauswertung!$B632:$E632,0),0)=0,BC643,INDEX(Spielauswertung!$AB632:$AE632,MATCH(Tabelle11[[#Headers],[Spalte42]],Spielauswertung!$B632:$E632,0))+BC643)</f>
        <v>100</v>
      </c>
      <c r="BD644" s="1">
        <f>IF(IFERROR(MATCH(Tabelle11[[#Headers],[Spalte43]],Spielauswertung!$B632:$E632,0),0)=0,BD643,INDEX(Spielauswertung!$AB632:$AE632,MATCH(Tabelle11[[#Headers],[Spalte43]],Spielauswertung!$B632:$E632,0))+BD643)</f>
        <v>100</v>
      </c>
      <c r="BE644" s="1">
        <f>IF(IFERROR(MATCH(Tabelle11[[#Headers],[Spalte44]],Spielauswertung!$B632:$E632,0),0)=0,BE643,INDEX(Spielauswertung!$AB632:$AE632,MATCH(Tabelle11[[#Headers],[Spalte44]],Spielauswertung!$B632:$E632,0))+BE643)</f>
        <v>100</v>
      </c>
      <c r="BF644" s="1">
        <f>IF(IFERROR(MATCH(Tabelle11[[#Headers],[Spalte45]],Spielauswertung!$B632:$E632,0),0)=0,BF643,INDEX(Spielauswertung!$AB632:$AE632,MATCH(Tabelle11[[#Headers],[Spalte45]],Spielauswertung!$B632:$E632,0))+BF643)</f>
        <v>100</v>
      </c>
      <c r="BG644" s="1">
        <f>IF(IFERROR(MATCH(Tabelle11[[#Headers],[Spalte46]],Spielauswertung!$B632:$E632,0),0)=0,BG643,INDEX(Spielauswertung!$AB632:$AE632,MATCH(Tabelle11[[#Headers],[Spalte46]],Spielauswertung!$B632:$E632,0))+BG643)</f>
        <v>100</v>
      </c>
      <c r="BH644" s="1">
        <f>IF(IFERROR(MATCH(Tabelle11[[#Headers],[Spalte47]],Spielauswertung!$B632:$E632,0),0)=0,BH643,INDEX(Spielauswertung!$AB632:$AE632,MATCH(Tabelle11[[#Headers],[Spalte47]],Spielauswertung!$B632:$E632,0))+BH643)</f>
        <v>100</v>
      </c>
    </row>
    <row r="645" spans="1:60" x14ac:dyDescent="0.25">
      <c r="A645">
        <f t="shared" si="10"/>
        <v>632</v>
      </c>
      <c r="B645" s="1">
        <f>IF(IFERROR(MATCH(Tabelle11[[#Headers],[Aleix_V]],Spielauswertung!$B633:$E633,0),0)=0,B644,INDEX(Spielauswertung!$AB633:$AE633,MATCH(Tabelle11[[#Headers],[Aleix_V]],Spielauswertung!$B633:$E633,0))+B644)</f>
        <v>102.47318019444646</v>
      </c>
      <c r="C645" s="1">
        <f>IF(IFERROR(MATCH(Tabelle11[[#Headers],[Andres_H]],Spielauswertung!$B633:$E633,0),0)=0,C644,INDEX(Spielauswertung!$AB633:$AE633,MATCH(Tabelle11[[#Headers],[Andres_H]],Spielauswertung!$B633:$E633,0))+C644)</f>
        <v>95.535732339111306</v>
      </c>
      <c r="D645" s="1">
        <f>IF(IFERROR(MATCH(Tabelle11[[#Headers],[Anton_K]],Spielauswertung!$B633:$E633,0),0)=0,D644,INDEX(Spielauswertung!$AB633:$AE633,MATCH(Tabelle11[[#Headers],[Anton_K]],Spielauswertung!$B633:$E633,0))+D644)</f>
        <v>99.287728777054667</v>
      </c>
      <c r="E645" s="1">
        <f>IF(IFERROR(MATCH(Tabelle11[[#Headers],[Bastian_G]],Spielauswertung!$B633:$E633,0),0)=0,E644,INDEX(Spielauswertung!$AB633:$AE633,MATCH(Tabelle11[[#Headers],[Bastian_G]],Spielauswertung!$B633:$E633,0))+E644)</f>
        <v>117.49978695184252</v>
      </c>
      <c r="F645" s="1">
        <f>IF(IFERROR(MATCH(Tabelle11[[#Headers],[Ben_S]],Spielauswertung!$B633:$E633,0),0)=0,F644,INDEX(Spielauswertung!$AB633:$AE633,MATCH(Tabelle11[[#Headers],[Ben_S]],Spielauswertung!$B633:$E633,0))+F644)</f>
        <v>95.932799101521084</v>
      </c>
      <c r="G645" s="1">
        <f>IF(IFERROR(MATCH(Tabelle11[[#Headers],[Benedikt_K]],Spielauswertung!$B633:$E633,0),0)=0,G644,INDEX(Spielauswertung!$AB633:$AE633,MATCH(Tabelle11[[#Headers],[Benedikt_K]],Spielauswertung!$B633:$E633,0))+G644)</f>
        <v>101.20264176422626</v>
      </c>
      <c r="H645" s="1">
        <f>IF(IFERROR(MATCH(Tabelle11[[#Headers],[Benedikt_R]],Spielauswertung!$B633:$E633,0),0)=0,H644,INDEX(Spielauswertung!$AB633:$AE633,MATCH(Tabelle11[[#Headers],[Benedikt_R]],Spielauswertung!$B633:$E633,0))+H644)</f>
        <v>102.6264770510757</v>
      </c>
      <c r="I645" s="1">
        <f>IF(IFERROR(MATCH(Tabelle11[[#Headers],[Carsten_H]],Spielauswertung!$B633:$E633,0),0)=0,I644,INDEX(Spielauswertung!$AB633:$AE633,MATCH(Tabelle11[[#Headers],[Carsten_H]],Spielauswertung!$B633:$E633,0))+I644)</f>
        <v>90.817185094326874</v>
      </c>
      <c r="J645" s="1">
        <f>IF(IFERROR(MATCH(Tabelle11[[#Headers],[Christoph_R]],Spielauswertung!$B633:$E633,0),0)=0,J644,INDEX(Spielauswertung!$AB633:$AE633,MATCH(Tabelle11[[#Headers],[Christoph_R]],Spielauswertung!$B633:$E633,0))+J644)</f>
        <v>109.73261611443155</v>
      </c>
      <c r="K645" s="1">
        <f>IF(IFERROR(MATCH(Tabelle11[[#Headers],[Claudius_J]],Spielauswertung!$B633:$E633,0),0)=0,K644,INDEX(Spielauswertung!$AB633:$AE633,MATCH(Tabelle11[[#Headers],[Claudius_J]],Spielauswertung!$B633:$E633,0))+K644)</f>
        <v>106.16590636000029</v>
      </c>
      <c r="L645" s="1">
        <f>IF(IFERROR(MATCH(Tabelle11[[#Headers],[Daniel_D]],Spielauswertung!$B633:$E633,0),0)=0,L644,INDEX(Spielauswertung!$AB633:$AE633,MATCH(Tabelle11[[#Headers],[Daniel_D]],Spielauswertung!$B633:$E633,0))+L644)</f>
        <v>99.990299180470089</v>
      </c>
      <c r="M645" s="1">
        <f>IF(IFERROR(MATCH(Tabelle11[[#Headers],[David_R]],Spielauswertung!$B633:$E633,0),0)=0,M644,INDEX(Spielauswertung!$AB633:$AE633,MATCH(Tabelle11[[#Headers],[David_R]],Spielauswertung!$B633:$E633,0))+M644)</f>
        <v>96.715943522481638</v>
      </c>
      <c r="N645" s="1">
        <f>IF(IFERROR(MATCH(Tabelle11[[#Headers],[Dennis_P]],Spielauswertung!$B633:$E633,0),0)=0,N644,INDEX(Spielauswertung!$AB633:$AE633,MATCH(Tabelle11[[#Headers],[Dennis_P]],Spielauswertung!$B633:$E633,0))+N644)</f>
        <v>100.04773223105254</v>
      </c>
      <c r="O645" s="1">
        <f>IF(IFERROR(MATCH(Tabelle11[[#Headers],[Dennis_R]],Spielauswertung!$B633:$E633,0),0)=0,O644,INDEX(Spielauswertung!$AB633:$AE633,MATCH(Tabelle11[[#Headers],[Dennis_R]],Spielauswertung!$B633:$E633,0))+O644)</f>
        <v>75.131680864937195</v>
      </c>
      <c r="P645" s="1">
        <f>IF(IFERROR(MATCH(Tabelle11[[#Headers],[Detlef_R]],Spielauswertung!$B633:$E633,0),0)=0,P644,INDEX(Spielauswertung!$AB633:$AE633,MATCH(Tabelle11[[#Headers],[Detlef_R]],Spielauswertung!$B633:$E633,0))+P644)</f>
        <v>87.984671797367014</v>
      </c>
      <c r="Q645" s="1">
        <f>IF(IFERROR(MATCH(Tabelle11[[#Headers],[Dmitrij_M]],Spielauswertung!$B633:$E633,0),0)=0,Q644,INDEX(Spielauswertung!$AB633:$AE633,MATCH(Tabelle11[[#Headers],[Dmitrij_M]],Spielauswertung!$B633:$E633,0))+Q644)</f>
        <v>100.69975721846207</v>
      </c>
      <c r="R645" s="1">
        <f>IF(IFERROR(MATCH(Tabelle11[[#Headers],[Fabian_M]],Spielauswertung!$B633:$E633,0),0)=0,R644,INDEX(Spielauswertung!$AB633:$AE633,MATCH(Tabelle11[[#Headers],[Fabian_M]],Spielauswertung!$B633:$E633,0))+R644)</f>
        <v>95.805387841610738</v>
      </c>
      <c r="S645" s="1">
        <f>IF(IFERROR(MATCH(Tabelle11[[#Headers],[Hannes_S]],Spielauswertung!$B633:$E633,0),0)=0,S644,INDEX(Spielauswertung!$AB633:$AE633,MATCH(Tabelle11[[#Headers],[Hannes_S]],Spielauswertung!$B633:$E633,0))+S644)</f>
        <v>104.83899184012799</v>
      </c>
      <c r="T645" s="1">
        <f>IF(IFERROR(MATCH(Tabelle11[[#Headers],[Jan_B]],Spielauswertung!$B633:$E633,0),0)=0,T644,INDEX(Spielauswertung!$AB633:$AE633,MATCH(Tabelle11[[#Headers],[Jan_B]],Spielauswertung!$B633:$E633,0))+T644)</f>
        <v>100.2794420429173</v>
      </c>
      <c r="U645" s="1">
        <f>IF(IFERROR(MATCH(Tabelle11[[#Headers],[Jan_Hendrik_B]],Spielauswertung!$B633:$E633,0),0)=0,U644,INDEX(Spielauswertung!$AB633:$AE633,MATCH(Tabelle11[[#Headers],[Jan_Hendrik_B]],Spielauswertung!$B633:$E633,0))+U644)</f>
        <v>100.75492416935522</v>
      </c>
      <c r="V645" s="1">
        <f>IF(IFERROR(MATCH(Tabelle11[[#Headers],[Jens_N]],Spielauswertung!$B633:$E633,0),0)=0,V644,INDEX(Spielauswertung!$AB633:$AE633,MATCH(Tabelle11[[#Headers],[Jens_N]],Spielauswertung!$B633:$E633,0))+V644)</f>
        <v>99.643534710196832</v>
      </c>
      <c r="W645" s="1">
        <f>IF(IFERROR(MATCH(Tabelle11[[#Headers],[Johannes_S]],Spielauswertung!$B633:$E633,0),0)=0,W644,INDEX(Spielauswertung!$AB633:$AE633,MATCH(Tabelle11[[#Headers],[Johannes_S]],Spielauswertung!$B633:$E633,0))+W644)</f>
        <v>102.20284750979505</v>
      </c>
      <c r="X645" s="1">
        <f>IF(IFERROR(MATCH(Tabelle11[[#Headers],[Jonathan_F]],Spielauswertung!$B633:$E633,0),0)=0,X644,INDEX(Spielauswertung!$AB633:$AE633,MATCH(Tabelle11[[#Headers],[Jonathan_F]],Spielauswertung!$B633:$E633,0))+X644)</f>
        <v>98.938308797866256</v>
      </c>
      <c r="Y645" s="1">
        <f>IF(IFERROR(MATCH(Tabelle11[[#Headers],[Julius_P]],Spielauswertung!$B633:$E633,0),0)=0,Y644,INDEX(Spielauswertung!$AB633:$AE633,MATCH(Tabelle11[[#Headers],[Julius_P]],Spielauswertung!$B633:$E633,0))+Y644)</f>
        <v>96.540305101873642</v>
      </c>
      <c r="Z645" s="1">
        <f>IF(IFERROR(MATCH(Tabelle11[[#Headers],[Louis_W]],Spielauswertung!$B633:$E633,0),0)=0,Z644,INDEX(Spielauswertung!$AB633:$AE633,MATCH(Tabelle11[[#Headers],[Louis_W]],Spielauswertung!$B633:$E633,0))+Z644)</f>
        <v>87.497452285475362</v>
      </c>
      <c r="AA645" s="1">
        <f>IF(IFERROR(MATCH(Tabelle11[[#Headers],[Lukas_L]],Spielauswertung!$B633:$E633,0),0)=0,AA644,INDEX(Spielauswertung!$AB633:$AE633,MATCH(Tabelle11[[#Headers],[Lukas_L]],Spielauswertung!$B633:$E633,0))+AA644)</f>
        <v>98.447931341404143</v>
      </c>
      <c r="AB645" s="1">
        <f>IF(IFERROR(MATCH(Tabelle11[[#Headers],[Marcin_S]],Spielauswertung!$B633:$E633,0),0)=0,AB644,INDEX(Spielauswertung!$AB633:$AE633,MATCH(Tabelle11[[#Headers],[Marcin_S]],Spielauswertung!$B633:$E633,0))+AB644)</f>
        <v>85.463329105556824</v>
      </c>
      <c r="AC645" s="1">
        <f>IF(IFERROR(MATCH(Tabelle11[[#Headers],[Marco_K]],Spielauswertung!$B633:$E633,0),0)=0,AC644,INDEX(Spielauswertung!$AB633:$AE633,MATCH(Tabelle11[[#Headers],[Marco_K]],Spielauswertung!$B633:$E633,0))+AC644)</f>
        <v>102.12169819441469</v>
      </c>
      <c r="AD645" s="1">
        <f>IF(IFERROR(MATCH(Tabelle11[[#Headers],[Marius_M]],Spielauswertung!$B633:$E633,0),0)=0,AD644,INDEX(Spielauswertung!$AB633:$AE633,MATCH(Tabelle11[[#Headers],[Marius_M]],Spielauswertung!$B633:$E633,0))+AD644)</f>
        <v>124.54012374585781</v>
      </c>
      <c r="AE645" s="1">
        <f>IF(IFERROR(MATCH(Tabelle11[[#Headers],[Marvin_W]],Spielauswertung!$B633:$E633,0),0)=0,AE644,INDEX(Spielauswertung!$AB633:$AE633,MATCH(Tabelle11[[#Headers],[Marvin_W]],Spielauswertung!$B633:$E633,0))+AE644)</f>
        <v>96.700266280577438</v>
      </c>
      <c r="AF645" s="1">
        <f>IF(IFERROR(MATCH(Tabelle11[[#Headers],[Matthias_H]],Spielauswertung!$B633:$E633,0),0)=0,AF644,INDEX(Spielauswertung!$AB633:$AE633,MATCH(Tabelle11[[#Headers],[Matthias_H]],Spielauswertung!$B633:$E633,0))+AF644)</f>
        <v>105.42130178599372</v>
      </c>
      <c r="AG645" s="1">
        <f>IF(IFERROR(MATCH(Tabelle11[[#Headers],[Michael_D]],Spielauswertung!$B633:$E633,0),0)=0,AG644,INDEX(Spielauswertung!$AB633:$AE633,MATCH(Tabelle11[[#Headers],[Michael_D]],Spielauswertung!$B633:$E633,0))+AG644)</f>
        <v>96.436276170375336</v>
      </c>
      <c r="AH645" s="1">
        <f>IF(IFERROR(MATCH(Tabelle11[[#Headers],[Patrick_S]],Spielauswertung!$B633:$E633,0),0)=0,AH644,INDEX(Spielauswertung!$AB633:$AE633,MATCH(Tabelle11[[#Headers],[Patrick_S]],Spielauswertung!$B633:$E633,0))+AH644)</f>
        <v>98.975330692053802</v>
      </c>
      <c r="AI645" s="1">
        <f>IF(IFERROR(MATCH(Tabelle11[[#Headers],[Rano_M]],Spielauswertung!$B633:$E633,0),0)=0,AI644,INDEX(Spielauswertung!$AB633:$AE633,MATCH(Tabelle11[[#Headers],[Rano_M]],Spielauswertung!$B633:$E633,0))+AI644)</f>
        <v>109.38890657420265</v>
      </c>
      <c r="AJ645" s="1">
        <f>IF(IFERROR(MATCH(Tabelle11[[#Headers],[Rene_N]],Spielauswertung!$B633:$E633,0),0)=0,AJ644,INDEX(Spielauswertung!$AB633:$AE633,MATCH(Tabelle11[[#Headers],[Rene_N]],Spielauswertung!$B633:$E633,0))+AJ644)</f>
        <v>101.06482124619033</v>
      </c>
      <c r="AK645" s="1">
        <f>IF(IFERROR(MATCH(Tabelle11[[#Headers],[Rene_P]],Spielauswertung!$B633:$E633,0),0)=0,AK644,INDEX(Spielauswertung!$AB633:$AE633,MATCH(Tabelle11[[#Headers],[Rene_P]],Spielauswertung!$B633:$E633,0))+AK644)</f>
        <v>88.762543186332877</v>
      </c>
      <c r="AL645" s="1">
        <f>IF(IFERROR(MATCH(Tabelle11[[#Headers],[Richard_D]],Spielauswertung!$B633:$E633,0),0)=0,AL644,INDEX(Spielauswertung!$AB633:$AE633,MATCH(Tabelle11[[#Headers],[Richard_D]],Spielauswertung!$B633:$E633,0))+AL644)</f>
        <v>107.23233592026223</v>
      </c>
      <c r="AM645" s="1">
        <f>IF(IFERROR(MATCH(Tabelle11[[#Headers],[Rodrigo_R]],Spielauswertung!$B633:$E633,0),0)=0,AM644,INDEX(Spielauswertung!$AB633:$AE633,MATCH(Tabelle11[[#Headers],[Rodrigo_R]],Spielauswertung!$B633:$E633,0))+AM644)</f>
        <v>116.7028707921346</v>
      </c>
      <c r="AN645" s="1">
        <f>IF(IFERROR(MATCH(Tabelle11[[#Headers],[Sebastian_A]],Spielauswertung!$B633:$E633,0),0)=0,AN644,INDEX(Spielauswertung!$AB633:$AE633,MATCH(Tabelle11[[#Headers],[Sebastian_A]],Spielauswertung!$B633:$E633,0))+AN644)</f>
        <v>102.89457418671324</v>
      </c>
      <c r="AO645" s="1">
        <f>IF(IFERROR(MATCH(Tabelle11[[#Headers],[Sebastian_St]],Spielauswertung!$B633:$E633,0),0)=0,AO644,INDEX(Spielauswertung!$AB633:$AE633,MATCH(Tabelle11[[#Headers],[Sebastian_St]],Spielauswertung!$B633:$E633,0))+AO644)</f>
        <v>97.749574367408982</v>
      </c>
      <c r="AP645" s="1">
        <f>IF(IFERROR(MATCH(Tabelle11[[#Headers],[Simon_U]],Spielauswertung!$B633:$E633,0),0)=0,AP644,INDEX(Spielauswertung!$AB633:$AE633,MATCH(Tabelle11[[#Headers],[Simon_U]],Spielauswertung!$B633:$E633,0))+AP644)</f>
        <v>99.623054841470903</v>
      </c>
      <c r="AQ645" s="1">
        <f>IF(IFERROR(MATCH(Tabelle11[[#Headers],[Steffen_R]],Spielauswertung!$B633:$E633,0),0)=0,AQ644,INDEX(Spielauswertung!$AB633:$AE633,MATCH(Tabelle11[[#Headers],[Steffen_R]],Spielauswertung!$B633:$E633,0))+AQ644)</f>
        <v>93.247497067190949</v>
      </c>
      <c r="AR645" s="1">
        <f>IF(IFERROR(MATCH(Tabelle11[[#Headers],[Tim_R]],Spielauswertung!$B633:$E633,0),0)=0,AR644,INDEX(Spielauswertung!$AB633:$AE633,MATCH(Tabelle11[[#Headers],[Tim_R]],Spielauswertung!$B633:$E633,0))+AR644)</f>
        <v>103.07503787023374</v>
      </c>
      <c r="AS645" s="1">
        <f>IF(IFERROR(MATCH(Tabelle11[[#Headers],[Tobias_S]],Spielauswertung!$B633:$E633,0),0)=0,AS644,INDEX(Spielauswertung!$AB633:$AE633,MATCH(Tabelle11[[#Headers],[Tobias_S]],Spielauswertung!$B633:$E633,0))+AS644)</f>
        <v>98.6003422659997</v>
      </c>
      <c r="AT645" s="1">
        <f>IF(IFERROR(MATCH(Tabelle11[[#Headers],[Tom_R]],Spielauswertung!$B633:$E633,0),0)=0,AT644,INDEX(Spielauswertung!$AB633:$AE633,MATCH(Tabelle11[[#Headers],[Tom_R]],Spielauswertung!$B633:$E633,0))+AT644)</f>
        <v>112.62344492949197</v>
      </c>
      <c r="AU645" s="1">
        <f>IF(IFERROR(MATCH(Tabelle11[[#Headers],[Ton_L]],Spielauswertung!$B633:$E633,0),0)=0,AU644,INDEX(Spielauswertung!$AB633:$AE633,MATCH(Tabelle11[[#Headers],[Ton_L]],Spielauswertung!$B633:$E633,0))+AU644)</f>
        <v>92.683083360025861</v>
      </c>
      <c r="AV645" s="1">
        <f>IF(IFERROR(MATCH(Tabelle11[[#Headers],[Yixin_G]],Spielauswertung!$B633:$E633,0),0)=0,AV644,INDEX(Spielauswertung!$AB633:$AE633,MATCH(Tabelle11[[#Headers],[Yixin_G]],Spielauswertung!$B633:$E633,0))+AV644)</f>
        <v>99.900323214082661</v>
      </c>
      <c r="AW645" s="1">
        <f>IF(IFERROR(MATCH(Tabelle11[[#Headers],[Spalte36]],Spielauswertung!$B633:$E633,0),0)=0,AW644,INDEX(Spielauswertung!$AB633:$AE633,MATCH(Tabelle11[[#Headers],[Spalte36]],Spielauswertung!$B633:$E633,0))+AW644)</f>
        <v>100</v>
      </c>
      <c r="AX645" s="1">
        <f>IF(IFERROR(MATCH(Tabelle11[[#Headers],[Spalte37]],Spielauswertung!$B633:$E633,0),0)=0,AX644,INDEX(Spielauswertung!$AB633:$AE633,MATCH(Tabelle11[[#Headers],[Spalte37]],Spielauswertung!$B633:$E633,0))+AX644)</f>
        <v>100</v>
      </c>
      <c r="AY645" s="1">
        <f>IF(IFERROR(MATCH(Tabelle11[[#Headers],[Spalte38]],Spielauswertung!$B633:$E633,0),0)=0,AY644,INDEX(Spielauswertung!$AB633:$AE633,MATCH(Tabelle11[[#Headers],[Spalte38]],Spielauswertung!$B633:$E633,0))+AY644)</f>
        <v>100</v>
      </c>
      <c r="AZ645" s="1">
        <f>IF(IFERROR(MATCH(Tabelle11[[#Headers],[Spalte39]],Spielauswertung!$B633:$E633,0),0)=0,AZ644,INDEX(Spielauswertung!$AB633:$AE633,MATCH(Tabelle11[[#Headers],[Spalte39]],Spielauswertung!$B633:$E633,0))+AZ644)</f>
        <v>100</v>
      </c>
      <c r="BA645" s="1">
        <f>IF(IFERROR(MATCH(Tabelle11[[#Headers],[Spalte40]],Spielauswertung!$B633:$E633,0),0)=0,BA644,INDEX(Spielauswertung!$AB633:$AE633,MATCH(Tabelle11[[#Headers],[Spalte40]],Spielauswertung!$B633:$E633,0))+BA644)</f>
        <v>100</v>
      </c>
      <c r="BB645" s="1">
        <f>IF(IFERROR(MATCH(Tabelle11[[#Headers],[Spalte41]],Spielauswertung!$B633:$E633,0),0)=0,BB644,INDEX(Spielauswertung!$AB633:$AE633,MATCH(Tabelle11[[#Headers],[Spalte41]],Spielauswertung!$B633:$E633,0))+BB644)</f>
        <v>100</v>
      </c>
      <c r="BC645" s="1">
        <f>IF(IFERROR(MATCH(Tabelle11[[#Headers],[Spalte42]],Spielauswertung!$B633:$E633,0),0)=0,BC644,INDEX(Spielauswertung!$AB633:$AE633,MATCH(Tabelle11[[#Headers],[Spalte42]],Spielauswertung!$B633:$E633,0))+BC644)</f>
        <v>100</v>
      </c>
      <c r="BD645" s="1">
        <f>IF(IFERROR(MATCH(Tabelle11[[#Headers],[Spalte43]],Spielauswertung!$B633:$E633,0),0)=0,BD644,INDEX(Spielauswertung!$AB633:$AE633,MATCH(Tabelle11[[#Headers],[Spalte43]],Spielauswertung!$B633:$E633,0))+BD644)</f>
        <v>100</v>
      </c>
      <c r="BE645" s="1">
        <f>IF(IFERROR(MATCH(Tabelle11[[#Headers],[Spalte44]],Spielauswertung!$B633:$E633,0),0)=0,BE644,INDEX(Spielauswertung!$AB633:$AE633,MATCH(Tabelle11[[#Headers],[Spalte44]],Spielauswertung!$B633:$E633,0))+BE644)</f>
        <v>100</v>
      </c>
      <c r="BF645" s="1">
        <f>IF(IFERROR(MATCH(Tabelle11[[#Headers],[Spalte45]],Spielauswertung!$B633:$E633,0),0)=0,BF644,INDEX(Spielauswertung!$AB633:$AE633,MATCH(Tabelle11[[#Headers],[Spalte45]],Spielauswertung!$B633:$E633,0))+BF644)</f>
        <v>100</v>
      </c>
      <c r="BG645" s="1">
        <f>IF(IFERROR(MATCH(Tabelle11[[#Headers],[Spalte46]],Spielauswertung!$B633:$E633,0),0)=0,BG644,INDEX(Spielauswertung!$AB633:$AE633,MATCH(Tabelle11[[#Headers],[Spalte46]],Spielauswertung!$B633:$E633,0))+BG644)</f>
        <v>100</v>
      </c>
      <c r="BH645" s="1">
        <f>IF(IFERROR(MATCH(Tabelle11[[#Headers],[Spalte47]],Spielauswertung!$B633:$E633,0),0)=0,BH644,INDEX(Spielauswertung!$AB633:$AE633,MATCH(Tabelle11[[#Headers],[Spalte47]],Spielauswertung!$B633:$E633,0))+BH644)</f>
        <v>100</v>
      </c>
    </row>
    <row r="646" spans="1:60" x14ac:dyDescent="0.25">
      <c r="A646">
        <f t="shared" si="10"/>
        <v>633</v>
      </c>
      <c r="B646" s="1">
        <f>IF(IFERROR(MATCH(Tabelle11[[#Headers],[Aleix_V]],Spielauswertung!$B634:$E634,0),0)=0,B645,INDEX(Spielauswertung!$AB634:$AE634,MATCH(Tabelle11[[#Headers],[Aleix_V]],Spielauswertung!$B634:$E634,0))+B645)</f>
        <v>102.47318019444646</v>
      </c>
      <c r="C646" s="1">
        <f>IF(IFERROR(MATCH(Tabelle11[[#Headers],[Andres_H]],Spielauswertung!$B634:$E634,0),0)=0,C645,INDEX(Spielauswertung!$AB634:$AE634,MATCH(Tabelle11[[#Headers],[Andres_H]],Spielauswertung!$B634:$E634,0))+C645)</f>
        <v>95.535732339111306</v>
      </c>
      <c r="D646" s="1">
        <f>IF(IFERROR(MATCH(Tabelle11[[#Headers],[Anton_K]],Spielauswertung!$B634:$E634,0),0)=0,D645,INDEX(Spielauswertung!$AB634:$AE634,MATCH(Tabelle11[[#Headers],[Anton_K]],Spielauswertung!$B634:$E634,0))+D645)</f>
        <v>99.287728777054667</v>
      </c>
      <c r="E646" s="1">
        <f>IF(IFERROR(MATCH(Tabelle11[[#Headers],[Bastian_G]],Spielauswertung!$B634:$E634,0),0)=0,E645,INDEX(Spielauswertung!$AB634:$AE634,MATCH(Tabelle11[[#Headers],[Bastian_G]],Spielauswertung!$B634:$E634,0))+E645)</f>
        <v>117.49978695184252</v>
      </c>
      <c r="F646" s="1">
        <f>IF(IFERROR(MATCH(Tabelle11[[#Headers],[Ben_S]],Spielauswertung!$B634:$E634,0),0)=0,F645,INDEX(Spielauswertung!$AB634:$AE634,MATCH(Tabelle11[[#Headers],[Ben_S]],Spielauswertung!$B634:$E634,0))+F645)</f>
        <v>95.932799101521084</v>
      </c>
      <c r="G646" s="1">
        <f>IF(IFERROR(MATCH(Tabelle11[[#Headers],[Benedikt_K]],Spielauswertung!$B634:$E634,0),0)=0,G645,INDEX(Spielauswertung!$AB634:$AE634,MATCH(Tabelle11[[#Headers],[Benedikt_K]],Spielauswertung!$B634:$E634,0))+G645)</f>
        <v>101.20264176422626</v>
      </c>
      <c r="H646" s="1">
        <f>IF(IFERROR(MATCH(Tabelle11[[#Headers],[Benedikt_R]],Spielauswertung!$B634:$E634,0),0)=0,H645,INDEX(Spielauswertung!$AB634:$AE634,MATCH(Tabelle11[[#Headers],[Benedikt_R]],Spielauswertung!$B634:$E634,0))+H645)</f>
        <v>102.6264770510757</v>
      </c>
      <c r="I646" s="1">
        <f>IF(IFERROR(MATCH(Tabelle11[[#Headers],[Carsten_H]],Spielauswertung!$B634:$E634,0),0)=0,I645,INDEX(Spielauswertung!$AB634:$AE634,MATCH(Tabelle11[[#Headers],[Carsten_H]],Spielauswertung!$B634:$E634,0))+I645)</f>
        <v>90.817185094326874</v>
      </c>
      <c r="J646" s="1">
        <f>IF(IFERROR(MATCH(Tabelle11[[#Headers],[Christoph_R]],Spielauswertung!$B634:$E634,0),0)=0,J645,INDEX(Spielauswertung!$AB634:$AE634,MATCH(Tabelle11[[#Headers],[Christoph_R]],Spielauswertung!$B634:$E634,0))+J645)</f>
        <v>109.73261611443155</v>
      </c>
      <c r="K646" s="1">
        <f>IF(IFERROR(MATCH(Tabelle11[[#Headers],[Claudius_J]],Spielauswertung!$B634:$E634,0),0)=0,K645,INDEX(Spielauswertung!$AB634:$AE634,MATCH(Tabelle11[[#Headers],[Claudius_J]],Spielauswertung!$B634:$E634,0))+K645)</f>
        <v>106.16590636000029</v>
      </c>
      <c r="L646" s="1">
        <f>IF(IFERROR(MATCH(Tabelle11[[#Headers],[Daniel_D]],Spielauswertung!$B634:$E634,0),0)=0,L645,INDEX(Spielauswertung!$AB634:$AE634,MATCH(Tabelle11[[#Headers],[Daniel_D]],Spielauswertung!$B634:$E634,0))+L645)</f>
        <v>99.990299180470089</v>
      </c>
      <c r="M646" s="1">
        <f>IF(IFERROR(MATCH(Tabelle11[[#Headers],[David_R]],Spielauswertung!$B634:$E634,0),0)=0,M645,INDEX(Spielauswertung!$AB634:$AE634,MATCH(Tabelle11[[#Headers],[David_R]],Spielauswertung!$B634:$E634,0))+M645)</f>
        <v>96.715943522481638</v>
      </c>
      <c r="N646" s="1">
        <f>IF(IFERROR(MATCH(Tabelle11[[#Headers],[Dennis_P]],Spielauswertung!$B634:$E634,0),0)=0,N645,INDEX(Spielauswertung!$AB634:$AE634,MATCH(Tabelle11[[#Headers],[Dennis_P]],Spielauswertung!$B634:$E634,0))+N645)</f>
        <v>100.04773223105254</v>
      </c>
      <c r="O646" s="1">
        <f>IF(IFERROR(MATCH(Tabelle11[[#Headers],[Dennis_R]],Spielauswertung!$B634:$E634,0),0)=0,O645,INDEX(Spielauswertung!$AB634:$AE634,MATCH(Tabelle11[[#Headers],[Dennis_R]],Spielauswertung!$B634:$E634,0))+O645)</f>
        <v>75.131680864937195</v>
      </c>
      <c r="P646" s="1">
        <f>IF(IFERROR(MATCH(Tabelle11[[#Headers],[Detlef_R]],Spielauswertung!$B634:$E634,0),0)=0,P645,INDEX(Spielauswertung!$AB634:$AE634,MATCH(Tabelle11[[#Headers],[Detlef_R]],Spielauswertung!$B634:$E634,0))+P645)</f>
        <v>87.984671797367014</v>
      </c>
      <c r="Q646" s="1">
        <f>IF(IFERROR(MATCH(Tabelle11[[#Headers],[Dmitrij_M]],Spielauswertung!$B634:$E634,0),0)=0,Q645,INDEX(Spielauswertung!$AB634:$AE634,MATCH(Tabelle11[[#Headers],[Dmitrij_M]],Spielauswertung!$B634:$E634,0))+Q645)</f>
        <v>100.69975721846207</v>
      </c>
      <c r="R646" s="1">
        <f>IF(IFERROR(MATCH(Tabelle11[[#Headers],[Fabian_M]],Spielauswertung!$B634:$E634,0),0)=0,R645,INDEX(Spielauswertung!$AB634:$AE634,MATCH(Tabelle11[[#Headers],[Fabian_M]],Spielauswertung!$B634:$E634,0))+R645)</f>
        <v>95.805387841610738</v>
      </c>
      <c r="S646" s="1">
        <f>IF(IFERROR(MATCH(Tabelle11[[#Headers],[Hannes_S]],Spielauswertung!$B634:$E634,0),0)=0,S645,INDEX(Spielauswertung!$AB634:$AE634,MATCH(Tabelle11[[#Headers],[Hannes_S]],Spielauswertung!$B634:$E634,0))+S645)</f>
        <v>104.83899184012799</v>
      </c>
      <c r="T646" s="1">
        <f>IF(IFERROR(MATCH(Tabelle11[[#Headers],[Jan_B]],Spielauswertung!$B634:$E634,0),0)=0,T645,INDEX(Spielauswertung!$AB634:$AE634,MATCH(Tabelle11[[#Headers],[Jan_B]],Spielauswertung!$B634:$E634,0))+T645)</f>
        <v>100.2794420429173</v>
      </c>
      <c r="U646" s="1">
        <f>IF(IFERROR(MATCH(Tabelle11[[#Headers],[Jan_Hendrik_B]],Spielauswertung!$B634:$E634,0),0)=0,U645,INDEX(Spielauswertung!$AB634:$AE634,MATCH(Tabelle11[[#Headers],[Jan_Hendrik_B]],Spielauswertung!$B634:$E634,0))+U645)</f>
        <v>100.75492416935522</v>
      </c>
      <c r="V646" s="1">
        <f>IF(IFERROR(MATCH(Tabelle11[[#Headers],[Jens_N]],Spielauswertung!$B634:$E634,0),0)=0,V645,INDEX(Spielauswertung!$AB634:$AE634,MATCH(Tabelle11[[#Headers],[Jens_N]],Spielauswertung!$B634:$E634,0))+V645)</f>
        <v>99.643534710196832</v>
      </c>
      <c r="W646" s="1">
        <f>IF(IFERROR(MATCH(Tabelle11[[#Headers],[Johannes_S]],Spielauswertung!$B634:$E634,0),0)=0,W645,INDEX(Spielauswertung!$AB634:$AE634,MATCH(Tabelle11[[#Headers],[Johannes_S]],Spielauswertung!$B634:$E634,0))+W645)</f>
        <v>102.20284750979505</v>
      </c>
      <c r="X646" s="1">
        <f>IF(IFERROR(MATCH(Tabelle11[[#Headers],[Jonathan_F]],Spielauswertung!$B634:$E634,0),0)=0,X645,INDEX(Spielauswertung!$AB634:$AE634,MATCH(Tabelle11[[#Headers],[Jonathan_F]],Spielauswertung!$B634:$E634,0))+X645)</f>
        <v>98.938308797866256</v>
      </c>
      <c r="Y646" s="1">
        <f>IF(IFERROR(MATCH(Tabelle11[[#Headers],[Julius_P]],Spielauswertung!$B634:$E634,0),0)=0,Y645,INDEX(Spielauswertung!$AB634:$AE634,MATCH(Tabelle11[[#Headers],[Julius_P]],Spielauswertung!$B634:$E634,0))+Y645)</f>
        <v>96.540305101873642</v>
      </c>
      <c r="Z646" s="1">
        <f>IF(IFERROR(MATCH(Tabelle11[[#Headers],[Louis_W]],Spielauswertung!$B634:$E634,0),0)=0,Z645,INDEX(Spielauswertung!$AB634:$AE634,MATCH(Tabelle11[[#Headers],[Louis_W]],Spielauswertung!$B634:$E634,0))+Z645)</f>
        <v>87.497452285475362</v>
      </c>
      <c r="AA646" s="1">
        <f>IF(IFERROR(MATCH(Tabelle11[[#Headers],[Lukas_L]],Spielauswertung!$B634:$E634,0),0)=0,AA645,INDEX(Spielauswertung!$AB634:$AE634,MATCH(Tabelle11[[#Headers],[Lukas_L]],Spielauswertung!$B634:$E634,0))+AA645)</f>
        <v>98.447931341404143</v>
      </c>
      <c r="AB646" s="1">
        <f>IF(IFERROR(MATCH(Tabelle11[[#Headers],[Marcin_S]],Spielauswertung!$B634:$E634,0),0)=0,AB645,INDEX(Spielauswertung!$AB634:$AE634,MATCH(Tabelle11[[#Headers],[Marcin_S]],Spielauswertung!$B634:$E634,0))+AB645)</f>
        <v>85.463329105556824</v>
      </c>
      <c r="AC646" s="1">
        <f>IF(IFERROR(MATCH(Tabelle11[[#Headers],[Marco_K]],Spielauswertung!$B634:$E634,0),0)=0,AC645,INDEX(Spielauswertung!$AB634:$AE634,MATCH(Tabelle11[[#Headers],[Marco_K]],Spielauswertung!$B634:$E634,0))+AC645)</f>
        <v>102.12169819441469</v>
      </c>
      <c r="AD646" s="1">
        <f>IF(IFERROR(MATCH(Tabelle11[[#Headers],[Marius_M]],Spielauswertung!$B634:$E634,0),0)=0,AD645,INDEX(Spielauswertung!$AB634:$AE634,MATCH(Tabelle11[[#Headers],[Marius_M]],Spielauswertung!$B634:$E634,0))+AD645)</f>
        <v>124.54012374585781</v>
      </c>
      <c r="AE646" s="1">
        <f>IF(IFERROR(MATCH(Tabelle11[[#Headers],[Marvin_W]],Spielauswertung!$B634:$E634,0),0)=0,AE645,INDEX(Spielauswertung!$AB634:$AE634,MATCH(Tabelle11[[#Headers],[Marvin_W]],Spielauswertung!$B634:$E634,0))+AE645)</f>
        <v>96.700266280577438</v>
      </c>
      <c r="AF646" s="1">
        <f>IF(IFERROR(MATCH(Tabelle11[[#Headers],[Matthias_H]],Spielauswertung!$B634:$E634,0),0)=0,AF645,INDEX(Spielauswertung!$AB634:$AE634,MATCH(Tabelle11[[#Headers],[Matthias_H]],Spielauswertung!$B634:$E634,0))+AF645)</f>
        <v>105.42130178599372</v>
      </c>
      <c r="AG646" s="1">
        <f>IF(IFERROR(MATCH(Tabelle11[[#Headers],[Michael_D]],Spielauswertung!$B634:$E634,0),0)=0,AG645,INDEX(Spielauswertung!$AB634:$AE634,MATCH(Tabelle11[[#Headers],[Michael_D]],Spielauswertung!$B634:$E634,0))+AG645)</f>
        <v>96.436276170375336</v>
      </c>
      <c r="AH646" s="1">
        <f>IF(IFERROR(MATCH(Tabelle11[[#Headers],[Patrick_S]],Spielauswertung!$B634:$E634,0),0)=0,AH645,INDEX(Spielauswertung!$AB634:$AE634,MATCH(Tabelle11[[#Headers],[Patrick_S]],Spielauswertung!$B634:$E634,0))+AH645)</f>
        <v>98.975330692053802</v>
      </c>
      <c r="AI646" s="1">
        <f>IF(IFERROR(MATCH(Tabelle11[[#Headers],[Rano_M]],Spielauswertung!$B634:$E634,0),0)=0,AI645,INDEX(Spielauswertung!$AB634:$AE634,MATCH(Tabelle11[[#Headers],[Rano_M]],Spielauswertung!$B634:$E634,0))+AI645)</f>
        <v>109.38890657420265</v>
      </c>
      <c r="AJ646" s="1">
        <f>IF(IFERROR(MATCH(Tabelle11[[#Headers],[Rene_N]],Spielauswertung!$B634:$E634,0),0)=0,AJ645,INDEX(Spielauswertung!$AB634:$AE634,MATCH(Tabelle11[[#Headers],[Rene_N]],Spielauswertung!$B634:$E634,0))+AJ645)</f>
        <v>101.06482124619033</v>
      </c>
      <c r="AK646" s="1">
        <f>IF(IFERROR(MATCH(Tabelle11[[#Headers],[Rene_P]],Spielauswertung!$B634:$E634,0),0)=0,AK645,INDEX(Spielauswertung!$AB634:$AE634,MATCH(Tabelle11[[#Headers],[Rene_P]],Spielauswertung!$B634:$E634,0))+AK645)</f>
        <v>88.762543186332877</v>
      </c>
      <c r="AL646" s="1">
        <f>IF(IFERROR(MATCH(Tabelle11[[#Headers],[Richard_D]],Spielauswertung!$B634:$E634,0),0)=0,AL645,INDEX(Spielauswertung!$AB634:$AE634,MATCH(Tabelle11[[#Headers],[Richard_D]],Spielauswertung!$B634:$E634,0))+AL645)</f>
        <v>107.23233592026223</v>
      </c>
      <c r="AM646" s="1">
        <f>IF(IFERROR(MATCH(Tabelle11[[#Headers],[Rodrigo_R]],Spielauswertung!$B634:$E634,0),0)=0,AM645,INDEX(Spielauswertung!$AB634:$AE634,MATCH(Tabelle11[[#Headers],[Rodrigo_R]],Spielauswertung!$B634:$E634,0))+AM645)</f>
        <v>116.7028707921346</v>
      </c>
      <c r="AN646" s="1">
        <f>IF(IFERROR(MATCH(Tabelle11[[#Headers],[Sebastian_A]],Spielauswertung!$B634:$E634,0),0)=0,AN645,INDEX(Spielauswertung!$AB634:$AE634,MATCH(Tabelle11[[#Headers],[Sebastian_A]],Spielauswertung!$B634:$E634,0))+AN645)</f>
        <v>102.89457418671324</v>
      </c>
      <c r="AO646" s="1">
        <f>IF(IFERROR(MATCH(Tabelle11[[#Headers],[Sebastian_St]],Spielauswertung!$B634:$E634,0),0)=0,AO645,INDEX(Spielauswertung!$AB634:$AE634,MATCH(Tabelle11[[#Headers],[Sebastian_St]],Spielauswertung!$B634:$E634,0))+AO645)</f>
        <v>97.749574367408982</v>
      </c>
      <c r="AP646" s="1">
        <f>IF(IFERROR(MATCH(Tabelle11[[#Headers],[Simon_U]],Spielauswertung!$B634:$E634,0),0)=0,AP645,INDEX(Spielauswertung!$AB634:$AE634,MATCH(Tabelle11[[#Headers],[Simon_U]],Spielauswertung!$B634:$E634,0))+AP645)</f>
        <v>99.623054841470903</v>
      </c>
      <c r="AQ646" s="1">
        <f>IF(IFERROR(MATCH(Tabelle11[[#Headers],[Steffen_R]],Spielauswertung!$B634:$E634,0),0)=0,AQ645,INDEX(Spielauswertung!$AB634:$AE634,MATCH(Tabelle11[[#Headers],[Steffen_R]],Spielauswertung!$B634:$E634,0))+AQ645)</f>
        <v>93.247497067190949</v>
      </c>
      <c r="AR646" s="1">
        <f>IF(IFERROR(MATCH(Tabelle11[[#Headers],[Tim_R]],Spielauswertung!$B634:$E634,0),0)=0,AR645,INDEX(Spielauswertung!$AB634:$AE634,MATCH(Tabelle11[[#Headers],[Tim_R]],Spielauswertung!$B634:$E634,0))+AR645)</f>
        <v>103.07503787023374</v>
      </c>
      <c r="AS646" s="1">
        <f>IF(IFERROR(MATCH(Tabelle11[[#Headers],[Tobias_S]],Spielauswertung!$B634:$E634,0),0)=0,AS645,INDEX(Spielauswertung!$AB634:$AE634,MATCH(Tabelle11[[#Headers],[Tobias_S]],Spielauswertung!$B634:$E634,0))+AS645)</f>
        <v>98.6003422659997</v>
      </c>
      <c r="AT646" s="1">
        <f>IF(IFERROR(MATCH(Tabelle11[[#Headers],[Tom_R]],Spielauswertung!$B634:$E634,0),0)=0,AT645,INDEX(Spielauswertung!$AB634:$AE634,MATCH(Tabelle11[[#Headers],[Tom_R]],Spielauswertung!$B634:$E634,0))+AT645)</f>
        <v>112.62344492949197</v>
      </c>
      <c r="AU646" s="1">
        <f>IF(IFERROR(MATCH(Tabelle11[[#Headers],[Ton_L]],Spielauswertung!$B634:$E634,0),0)=0,AU645,INDEX(Spielauswertung!$AB634:$AE634,MATCH(Tabelle11[[#Headers],[Ton_L]],Spielauswertung!$B634:$E634,0))+AU645)</f>
        <v>92.683083360025861</v>
      </c>
      <c r="AV646" s="1">
        <f>IF(IFERROR(MATCH(Tabelle11[[#Headers],[Yixin_G]],Spielauswertung!$B634:$E634,0),0)=0,AV645,INDEX(Spielauswertung!$AB634:$AE634,MATCH(Tabelle11[[#Headers],[Yixin_G]],Spielauswertung!$B634:$E634,0))+AV645)</f>
        <v>99.900323214082661</v>
      </c>
      <c r="AW646" s="1">
        <f>IF(IFERROR(MATCH(Tabelle11[[#Headers],[Spalte36]],Spielauswertung!$B634:$E634,0),0)=0,AW645,INDEX(Spielauswertung!$AB634:$AE634,MATCH(Tabelle11[[#Headers],[Spalte36]],Spielauswertung!$B634:$E634,0))+AW645)</f>
        <v>100</v>
      </c>
      <c r="AX646" s="1">
        <f>IF(IFERROR(MATCH(Tabelle11[[#Headers],[Spalte37]],Spielauswertung!$B634:$E634,0),0)=0,AX645,INDEX(Spielauswertung!$AB634:$AE634,MATCH(Tabelle11[[#Headers],[Spalte37]],Spielauswertung!$B634:$E634,0))+AX645)</f>
        <v>100</v>
      </c>
      <c r="AY646" s="1">
        <f>IF(IFERROR(MATCH(Tabelle11[[#Headers],[Spalte38]],Spielauswertung!$B634:$E634,0),0)=0,AY645,INDEX(Spielauswertung!$AB634:$AE634,MATCH(Tabelle11[[#Headers],[Spalte38]],Spielauswertung!$B634:$E634,0))+AY645)</f>
        <v>100</v>
      </c>
      <c r="AZ646" s="1">
        <f>IF(IFERROR(MATCH(Tabelle11[[#Headers],[Spalte39]],Spielauswertung!$B634:$E634,0),0)=0,AZ645,INDEX(Spielauswertung!$AB634:$AE634,MATCH(Tabelle11[[#Headers],[Spalte39]],Spielauswertung!$B634:$E634,0))+AZ645)</f>
        <v>100</v>
      </c>
      <c r="BA646" s="1">
        <f>IF(IFERROR(MATCH(Tabelle11[[#Headers],[Spalte40]],Spielauswertung!$B634:$E634,0),0)=0,BA645,INDEX(Spielauswertung!$AB634:$AE634,MATCH(Tabelle11[[#Headers],[Spalte40]],Spielauswertung!$B634:$E634,0))+BA645)</f>
        <v>100</v>
      </c>
      <c r="BB646" s="1">
        <f>IF(IFERROR(MATCH(Tabelle11[[#Headers],[Spalte41]],Spielauswertung!$B634:$E634,0),0)=0,BB645,INDEX(Spielauswertung!$AB634:$AE634,MATCH(Tabelle11[[#Headers],[Spalte41]],Spielauswertung!$B634:$E634,0))+BB645)</f>
        <v>100</v>
      </c>
      <c r="BC646" s="1">
        <f>IF(IFERROR(MATCH(Tabelle11[[#Headers],[Spalte42]],Spielauswertung!$B634:$E634,0),0)=0,BC645,INDEX(Spielauswertung!$AB634:$AE634,MATCH(Tabelle11[[#Headers],[Spalte42]],Spielauswertung!$B634:$E634,0))+BC645)</f>
        <v>100</v>
      </c>
      <c r="BD646" s="1">
        <f>IF(IFERROR(MATCH(Tabelle11[[#Headers],[Spalte43]],Spielauswertung!$B634:$E634,0),0)=0,BD645,INDEX(Spielauswertung!$AB634:$AE634,MATCH(Tabelle11[[#Headers],[Spalte43]],Spielauswertung!$B634:$E634,0))+BD645)</f>
        <v>100</v>
      </c>
      <c r="BE646" s="1">
        <f>IF(IFERROR(MATCH(Tabelle11[[#Headers],[Spalte44]],Spielauswertung!$B634:$E634,0),0)=0,BE645,INDEX(Spielauswertung!$AB634:$AE634,MATCH(Tabelle11[[#Headers],[Spalte44]],Spielauswertung!$B634:$E634,0))+BE645)</f>
        <v>100</v>
      </c>
      <c r="BF646" s="1">
        <f>IF(IFERROR(MATCH(Tabelle11[[#Headers],[Spalte45]],Spielauswertung!$B634:$E634,0),0)=0,BF645,INDEX(Spielauswertung!$AB634:$AE634,MATCH(Tabelle11[[#Headers],[Spalte45]],Spielauswertung!$B634:$E634,0))+BF645)</f>
        <v>100</v>
      </c>
      <c r="BG646" s="1">
        <f>IF(IFERROR(MATCH(Tabelle11[[#Headers],[Spalte46]],Spielauswertung!$B634:$E634,0),0)=0,BG645,INDEX(Spielauswertung!$AB634:$AE634,MATCH(Tabelle11[[#Headers],[Spalte46]],Spielauswertung!$B634:$E634,0))+BG645)</f>
        <v>100</v>
      </c>
      <c r="BH646" s="1">
        <f>IF(IFERROR(MATCH(Tabelle11[[#Headers],[Spalte47]],Spielauswertung!$B634:$E634,0),0)=0,BH645,INDEX(Spielauswertung!$AB634:$AE634,MATCH(Tabelle11[[#Headers],[Spalte47]],Spielauswertung!$B634:$E634,0))+BH645)</f>
        <v>100</v>
      </c>
    </row>
    <row r="647" spans="1:60" x14ac:dyDescent="0.25">
      <c r="A647">
        <f t="shared" si="10"/>
        <v>634</v>
      </c>
      <c r="B647" s="1">
        <f>IF(IFERROR(MATCH(Tabelle11[[#Headers],[Aleix_V]],Spielauswertung!$B635:$E635,0),0)=0,B646,INDEX(Spielauswertung!$AB635:$AE635,MATCH(Tabelle11[[#Headers],[Aleix_V]],Spielauswertung!$B635:$E635,0))+B646)</f>
        <v>102.47318019444646</v>
      </c>
      <c r="C647" s="1">
        <f>IF(IFERROR(MATCH(Tabelle11[[#Headers],[Andres_H]],Spielauswertung!$B635:$E635,0),0)=0,C646,INDEX(Spielauswertung!$AB635:$AE635,MATCH(Tabelle11[[#Headers],[Andres_H]],Spielauswertung!$B635:$E635,0))+C646)</f>
        <v>95.535732339111306</v>
      </c>
      <c r="D647" s="1">
        <f>IF(IFERROR(MATCH(Tabelle11[[#Headers],[Anton_K]],Spielauswertung!$B635:$E635,0),0)=0,D646,INDEX(Spielauswertung!$AB635:$AE635,MATCH(Tabelle11[[#Headers],[Anton_K]],Spielauswertung!$B635:$E635,0))+D646)</f>
        <v>99.287728777054667</v>
      </c>
      <c r="E647" s="1">
        <f>IF(IFERROR(MATCH(Tabelle11[[#Headers],[Bastian_G]],Spielauswertung!$B635:$E635,0),0)=0,E646,INDEX(Spielauswertung!$AB635:$AE635,MATCH(Tabelle11[[#Headers],[Bastian_G]],Spielauswertung!$B635:$E635,0))+E646)</f>
        <v>117.49978695184252</v>
      </c>
      <c r="F647" s="1">
        <f>IF(IFERROR(MATCH(Tabelle11[[#Headers],[Ben_S]],Spielauswertung!$B635:$E635,0),0)=0,F646,INDEX(Spielauswertung!$AB635:$AE635,MATCH(Tabelle11[[#Headers],[Ben_S]],Spielauswertung!$B635:$E635,0))+F646)</f>
        <v>95.932799101521084</v>
      </c>
      <c r="G647" s="1">
        <f>IF(IFERROR(MATCH(Tabelle11[[#Headers],[Benedikt_K]],Spielauswertung!$B635:$E635,0),0)=0,G646,INDEX(Spielauswertung!$AB635:$AE635,MATCH(Tabelle11[[#Headers],[Benedikt_K]],Spielauswertung!$B635:$E635,0))+G646)</f>
        <v>101.20264176422626</v>
      </c>
      <c r="H647" s="1">
        <f>IF(IFERROR(MATCH(Tabelle11[[#Headers],[Benedikt_R]],Spielauswertung!$B635:$E635,0),0)=0,H646,INDEX(Spielauswertung!$AB635:$AE635,MATCH(Tabelle11[[#Headers],[Benedikt_R]],Spielauswertung!$B635:$E635,0))+H646)</f>
        <v>102.6264770510757</v>
      </c>
      <c r="I647" s="1">
        <f>IF(IFERROR(MATCH(Tabelle11[[#Headers],[Carsten_H]],Spielauswertung!$B635:$E635,0),0)=0,I646,INDEX(Spielauswertung!$AB635:$AE635,MATCH(Tabelle11[[#Headers],[Carsten_H]],Spielauswertung!$B635:$E635,0))+I646)</f>
        <v>90.817185094326874</v>
      </c>
      <c r="J647" s="1">
        <f>IF(IFERROR(MATCH(Tabelle11[[#Headers],[Christoph_R]],Spielauswertung!$B635:$E635,0),0)=0,J646,INDEX(Spielauswertung!$AB635:$AE635,MATCH(Tabelle11[[#Headers],[Christoph_R]],Spielauswertung!$B635:$E635,0))+J646)</f>
        <v>109.73261611443155</v>
      </c>
      <c r="K647" s="1">
        <f>IF(IFERROR(MATCH(Tabelle11[[#Headers],[Claudius_J]],Spielauswertung!$B635:$E635,0),0)=0,K646,INDEX(Spielauswertung!$AB635:$AE635,MATCH(Tabelle11[[#Headers],[Claudius_J]],Spielauswertung!$B635:$E635,0))+K646)</f>
        <v>106.16590636000029</v>
      </c>
      <c r="L647" s="1">
        <f>IF(IFERROR(MATCH(Tabelle11[[#Headers],[Daniel_D]],Spielauswertung!$B635:$E635,0),0)=0,L646,INDEX(Spielauswertung!$AB635:$AE635,MATCH(Tabelle11[[#Headers],[Daniel_D]],Spielauswertung!$B635:$E635,0))+L646)</f>
        <v>99.990299180470089</v>
      </c>
      <c r="M647" s="1">
        <f>IF(IFERROR(MATCH(Tabelle11[[#Headers],[David_R]],Spielauswertung!$B635:$E635,0),0)=0,M646,INDEX(Spielauswertung!$AB635:$AE635,MATCH(Tabelle11[[#Headers],[David_R]],Spielauswertung!$B635:$E635,0))+M646)</f>
        <v>96.715943522481638</v>
      </c>
      <c r="N647" s="1">
        <f>IF(IFERROR(MATCH(Tabelle11[[#Headers],[Dennis_P]],Spielauswertung!$B635:$E635,0),0)=0,N646,INDEX(Spielauswertung!$AB635:$AE635,MATCH(Tabelle11[[#Headers],[Dennis_P]],Spielauswertung!$B635:$E635,0))+N646)</f>
        <v>100.04773223105254</v>
      </c>
      <c r="O647" s="1">
        <f>IF(IFERROR(MATCH(Tabelle11[[#Headers],[Dennis_R]],Spielauswertung!$B635:$E635,0),0)=0,O646,INDEX(Spielauswertung!$AB635:$AE635,MATCH(Tabelle11[[#Headers],[Dennis_R]],Spielauswertung!$B635:$E635,0))+O646)</f>
        <v>75.131680864937195</v>
      </c>
      <c r="P647" s="1">
        <f>IF(IFERROR(MATCH(Tabelle11[[#Headers],[Detlef_R]],Spielauswertung!$B635:$E635,0),0)=0,P646,INDEX(Spielauswertung!$AB635:$AE635,MATCH(Tabelle11[[#Headers],[Detlef_R]],Spielauswertung!$B635:$E635,0))+P646)</f>
        <v>87.984671797367014</v>
      </c>
      <c r="Q647" s="1">
        <f>IF(IFERROR(MATCH(Tabelle11[[#Headers],[Dmitrij_M]],Spielauswertung!$B635:$E635,0),0)=0,Q646,INDEX(Spielauswertung!$AB635:$AE635,MATCH(Tabelle11[[#Headers],[Dmitrij_M]],Spielauswertung!$B635:$E635,0))+Q646)</f>
        <v>100.69975721846207</v>
      </c>
      <c r="R647" s="1">
        <f>IF(IFERROR(MATCH(Tabelle11[[#Headers],[Fabian_M]],Spielauswertung!$B635:$E635,0),0)=0,R646,INDEX(Spielauswertung!$AB635:$AE635,MATCH(Tabelle11[[#Headers],[Fabian_M]],Spielauswertung!$B635:$E635,0))+R646)</f>
        <v>95.805387841610738</v>
      </c>
      <c r="S647" s="1">
        <f>IF(IFERROR(MATCH(Tabelle11[[#Headers],[Hannes_S]],Spielauswertung!$B635:$E635,0),0)=0,S646,INDEX(Spielauswertung!$AB635:$AE635,MATCH(Tabelle11[[#Headers],[Hannes_S]],Spielauswertung!$B635:$E635,0))+S646)</f>
        <v>104.83899184012799</v>
      </c>
      <c r="T647" s="1">
        <f>IF(IFERROR(MATCH(Tabelle11[[#Headers],[Jan_B]],Spielauswertung!$B635:$E635,0),0)=0,T646,INDEX(Spielauswertung!$AB635:$AE635,MATCH(Tabelle11[[#Headers],[Jan_B]],Spielauswertung!$B635:$E635,0))+T646)</f>
        <v>100.2794420429173</v>
      </c>
      <c r="U647" s="1">
        <f>IF(IFERROR(MATCH(Tabelle11[[#Headers],[Jan_Hendrik_B]],Spielauswertung!$B635:$E635,0),0)=0,U646,INDEX(Spielauswertung!$AB635:$AE635,MATCH(Tabelle11[[#Headers],[Jan_Hendrik_B]],Spielauswertung!$B635:$E635,0))+U646)</f>
        <v>100.75492416935522</v>
      </c>
      <c r="V647" s="1">
        <f>IF(IFERROR(MATCH(Tabelle11[[#Headers],[Jens_N]],Spielauswertung!$B635:$E635,0),0)=0,V646,INDEX(Spielauswertung!$AB635:$AE635,MATCH(Tabelle11[[#Headers],[Jens_N]],Spielauswertung!$B635:$E635,0))+V646)</f>
        <v>99.643534710196832</v>
      </c>
      <c r="W647" s="1">
        <f>IF(IFERROR(MATCH(Tabelle11[[#Headers],[Johannes_S]],Spielauswertung!$B635:$E635,0),0)=0,W646,INDEX(Spielauswertung!$AB635:$AE635,MATCH(Tabelle11[[#Headers],[Johannes_S]],Spielauswertung!$B635:$E635,0))+W646)</f>
        <v>102.20284750979505</v>
      </c>
      <c r="X647" s="1">
        <f>IF(IFERROR(MATCH(Tabelle11[[#Headers],[Jonathan_F]],Spielauswertung!$B635:$E635,0),0)=0,X646,INDEX(Spielauswertung!$AB635:$AE635,MATCH(Tabelle11[[#Headers],[Jonathan_F]],Spielauswertung!$B635:$E635,0))+X646)</f>
        <v>98.938308797866256</v>
      </c>
      <c r="Y647" s="1">
        <f>IF(IFERROR(MATCH(Tabelle11[[#Headers],[Julius_P]],Spielauswertung!$B635:$E635,0),0)=0,Y646,INDEX(Spielauswertung!$AB635:$AE635,MATCH(Tabelle11[[#Headers],[Julius_P]],Spielauswertung!$B635:$E635,0))+Y646)</f>
        <v>96.540305101873642</v>
      </c>
      <c r="Z647" s="1">
        <f>IF(IFERROR(MATCH(Tabelle11[[#Headers],[Louis_W]],Spielauswertung!$B635:$E635,0),0)=0,Z646,INDEX(Spielauswertung!$AB635:$AE635,MATCH(Tabelle11[[#Headers],[Louis_W]],Spielauswertung!$B635:$E635,0))+Z646)</f>
        <v>87.497452285475362</v>
      </c>
      <c r="AA647" s="1">
        <f>IF(IFERROR(MATCH(Tabelle11[[#Headers],[Lukas_L]],Spielauswertung!$B635:$E635,0),0)=0,AA646,INDEX(Spielauswertung!$AB635:$AE635,MATCH(Tabelle11[[#Headers],[Lukas_L]],Spielauswertung!$B635:$E635,0))+AA646)</f>
        <v>98.447931341404143</v>
      </c>
      <c r="AB647" s="1">
        <f>IF(IFERROR(MATCH(Tabelle11[[#Headers],[Marcin_S]],Spielauswertung!$B635:$E635,0),0)=0,AB646,INDEX(Spielauswertung!$AB635:$AE635,MATCH(Tabelle11[[#Headers],[Marcin_S]],Spielauswertung!$B635:$E635,0))+AB646)</f>
        <v>85.463329105556824</v>
      </c>
      <c r="AC647" s="1">
        <f>IF(IFERROR(MATCH(Tabelle11[[#Headers],[Marco_K]],Spielauswertung!$B635:$E635,0),0)=0,AC646,INDEX(Spielauswertung!$AB635:$AE635,MATCH(Tabelle11[[#Headers],[Marco_K]],Spielauswertung!$B635:$E635,0))+AC646)</f>
        <v>102.12169819441469</v>
      </c>
      <c r="AD647" s="1">
        <f>IF(IFERROR(MATCH(Tabelle11[[#Headers],[Marius_M]],Spielauswertung!$B635:$E635,0),0)=0,AD646,INDEX(Spielauswertung!$AB635:$AE635,MATCH(Tabelle11[[#Headers],[Marius_M]],Spielauswertung!$B635:$E635,0))+AD646)</f>
        <v>124.54012374585781</v>
      </c>
      <c r="AE647" s="1">
        <f>IF(IFERROR(MATCH(Tabelle11[[#Headers],[Marvin_W]],Spielauswertung!$B635:$E635,0),0)=0,AE646,INDEX(Spielauswertung!$AB635:$AE635,MATCH(Tabelle11[[#Headers],[Marvin_W]],Spielauswertung!$B635:$E635,0))+AE646)</f>
        <v>96.700266280577438</v>
      </c>
      <c r="AF647" s="1">
        <f>IF(IFERROR(MATCH(Tabelle11[[#Headers],[Matthias_H]],Spielauswertung!$B635:$E635,0),0)=0,AF646,INDEX(Spielauswertung!$AB635:$AE635,MATCH(Tabelle11[[#Headers],[Matthias_H]],Spielauswertung!$B635:$E635,0))+AF646)</f>
        <v>105.42130178599372</v>
      </c>
      <c r="AG647" s="1">
        <f>IF(IFERROR(MATCH(Tabelle11[[#Headers],[Michael_D]],Spielauswertung!$B635:$E635,0),0)=0,AG646,INDEX(Spielauswertung!$AB635:$AE635,MATCH(Tabelle11[[#Headers],[Michael_D]],Spielauswertung!$B635:$E635,0))+AG646)</f>
        <v>96.436276170375336</v>
      </c>
      <c r="AH647" s="1">
        <f>IF(IFERROR(MATCH(Tabelle11[[#Headers],[Patrick_S]],Spielauswertung!$B635:$E635,0),0)=0,AH646,INDEX(Spielauswertung!$AB635:$AE635,MATCH(Tabelle11[[#Headers],[Patrick_S]],Spielauswertung!$B635:$E635,0))+AH646)</f>
        <v>98.975330692053802</v>
      </c>
      <c r="AI647" s="1">
        <f>IF(IFERROR(MATCH(Tabelle11[[#Headers],[Rano_M]],Spielauswertung!$B635:$E635,0),0)=0,AI646,INDEX(Spielauswertung!$AB635:$AE635,MATCH(Tabelle11[[#Headers],[Rano_M]],Spielauswertung!$B635:$E635,0))+AI646)</f>
        <v>109.38890657420265</v>
      </c>
      <c r="AJ647" s="1">
        <f>IF(IFERROR(MATCH(Tabelle11[[#Headers],[Rene_N]],Spielauswertung!$B635:$E635,0),0)=0,AJ646,INDEX(Spielauswertung!$AB635:$AE635,MATCH(Tabelle11[[#Headers],[Rene_N]],Spielauswertung!$B635:$E635,0))+AJ646)</f>
        <v>101.06482124619033</v>
      </c>
      <c r="AK647" s="1">
        <f>IF(IFERROR(MATCH(Tabelle11[[#Headers],[Rene_P]],Spielauswertung!$B635:$E635,0),0)=0,AK646,INDEX(Spielauswertung!$AB635:$AE635,MATCH(Tabelle11[[#Headers],[Rene_P]],Spielauswertung!$B635:$E635,0))+AK646)</f>
        <v>88.762543186332877</v>
      </c>
      <c r="AL647" s="1">
        <f>IF(IFERROR(MATCH(Tabelle11[[#Headers],[Richard_D]],Spielauswertung!$B635:$E635,0),0)=0,AL646,INDEX(Spielauswertung!$AB635:$AE635,MATCH(Tabelle11[[#Headers],[Richard_D]],Spielauswertung!$B635:$E635,0))+AL646)</f>
        <v>107.23233592026223</v>
      </c>
      <c r="AM647" s="1">
        <f>IF(IFERROR(MATCH(Tabelle11[[#Headers],[Rodrigo_R]],Spielauswertung!$B635:$E635,0),0)=0,AM646,INDEX(Spielauswertung!$AB635:$AE635,MATCH(Tabelle11[[#Headers],[Rodrigo_R]],Spielauswertung!$B635:$E635,0))+AM646)</f>
        <v>116.7028707921346</v>
      </c>
      <c r="AN647" s="1">
        <f>IF(IFERROR(MATCH(Tabelle11[[#Headers],[Sebastian_A]],Spielauswertung!$B635:$E635,0),0)=0,AN646,INDEX(Spielauswertung!$AB635:$AE635,MATCH(Tabelle11[[#Headers],[Sebastian_A]],Spielauswertung!$B635:$E635,0))+AN646)</f>
        <v>102.89457418671324</v>
      </c>
      <c r="AO647" s="1">
        <f>IF(IFERROR(MATCH(Tabelle11[[#Headers],[Sebastian_St]],Spielauswertung!$B635:$E635,0),0)=0,AO646,INDEX(Spielauswertung!$AB635:$AE635,MATCH(Tabelle11[[#Headers],[Sebastian_St]],Spielauswertung!$B635:$E635,0))+AO646)</f>
        <v>97.749574367408982</v>
      </c>
      <c r="AP647" s="1">
        <f>IF(IFERROR(MATCH(Tabelle11[[#Headers],[Simon_U]],Spielauswertung!$B635:$E635,0),0)=0,AP646,INDEX(Spielauswertung!$AB635:$AE635,MATCH(Tabelle11[[#Headers],[Simon_U]],Spielauswertung!$B635:$E635,0))+AP646)</f>
        <v>99.623054841470903</v>
      </c>
      <c r="AQ647" s="1">
        <f>IF(IFERROR(MATCH(Tabelle11[[#Headers],[Steffen_R]],Spielauswertung!$B635:$E635,0),0)=0,AQ646,INDEX(Spielauswertung!$AB635:$AE635,MATCH(Tabelle11[[#Headers],[Steffen_R]],Spielauswertung!$B635:$E635,0))+AQ646)</f>
        <v>93.247497067190949</v>
      </c>
      <c r="AR647" s="1">
        <f>IF(IFERROR(MATCH(Tabelle11[[#Headers],[Tim_R]],Spielauswertung!$B635:$E635,0),0)=0,AR646,INDEX(Spielauswertung!$AB635:$AE635,MATCH(Tabelle11[[#Headers],[Tim_R]],Spielauswertung!$B635:$E635,0))+AR646)</f>
        <v>103.07503787023374</v>
      </c>
      <c r="AS647" s="1">
        <f>IF(IFERROR(MATCH(Tabelle11[[#Headers],[Tobias_S]],Spielauswertung!$B635:$E635,0),0)=0,AS646,INDEX(Spielauswertung!$AB635:$AE635,MATCH(Tabelle11[[#Headers],[Tobias_S]],Spielauswertung!$B635:$E635,0))+AS646)</f>
        <v>98.6003422659997</v>
      </c>
      <c r="AT647" s="1">
        <f>IF(IFERROR(MATCH(Tabelle11[[#Headers],[Tom_R]],Spielauswertung!$B635:$E635,0),0)=0,AT646,INDEX(Spielauswertung!$AB635:$AE635,MATCH(Tabelle11[[#Headers],[Tom_R]],Spielauswertung!$B635:$E635,0))+AT646)</f>
        <v>112.62344492949197</v>
      </c>
      <c r="AU647" s="1">
        <f>IF(IFERROR(MATCH(Tabelle11[[#Headers],[Ton_L]],Spielauswertung!$B635:$E635,0),0)=0,AU646,INDEX(Spielauswertung!$AB635:$AE635,MATCH(Tabelle11[[#Headers],[Ton_L]],Spielauswertung!$B635:$E635,0))+AU646)</f>
        <v>92.683083360025861</v>
      </c>
      <c r="AV647" s="1">
        <f>IF(IFERROR(MATCH(Tabelle11[[#Headers],[Yixin_G]],Spielauswertung!$B635:$E635,0),0)=0,AV646,INDEX(Spielauswertung!$AB635:$AE635,MATCH(Tabelle11[[#Headers],[Yixin_G]],Spielauswertung!$B635:$E635,0))+AV646)</f>
        <v>99.900323214082661</v>
      </c>
      <c r="AW647" s="1">
        <f>IF(IFERROR(MATCH(Tabelle11[[#Headers],[Spalte36]],Spielauswertung!$B635:$E635,0),0)=0,AW646,INDEX(Spielauswertung!$AB635:$AE635,MATCH(Tabelle11[[#Headers],[Spalte36]],Spielauswertung!$B635:$E635,0))+AW646)</f>
        <v>100</v>
      </c>
      <c r="AX647" s="1">
        <f>IF(IFERROR(MATCH(Tabelle11[[#Headers],[Spalte37]],Spielauswertung!$B635:$E635,0),0)=0,AX646,INDEX(Spielauswertung!$AB635:$AE635,MATCH(Tabelle11[[#Headers],[Spalte37]],Spielauswertung!$B635:$E635,0))+AX646)</f>
        <v>100</v>
      </c>
      <c r="AY647" s="1">
        <f>IF(IFERROR(MATCH(Tabelle11[[#Headers],[Spalte38]],Spielauswertung!$B635:$E635,0),0)=0,AY646,INDEX(Spielauswertung!$AB635:$AE635,MATCH(Tabelle11[[#Headers],[Spalte38]],Spielauswertung!$B635:$E635,0))+AY646)</f>
        <v>100</v>
      </c>
      <c r="AZ647" s="1">
        <f>IF(IFERROR(MATCH(Tabelle11[[#Headers],[Spalte39]],Spielauswertung!$B635:$E635,0),0)=0,AZ646,INDEX(Spielauswertung!$AB635:$AE635,MATCH(Tabelle11[[#Headers],[Spalte39]],Spielauswertung!$B635:$E635,0))+AZ646)</f>
        <v>100</v>
      </c>
      <c r="BA647" s="1">
        <f>IF(IFERROR(MATCH(Tabelle11[[#Headers],[Spalte40]],Spielauswertung!$B635:$E635,0),0)=0,BA646,INDEX(Spielauswertung!$AB635:$AE635,MATCH(Tabelle11[[#Headers],[Spalte40]],Spielauswertung!$B635:$E635,0))+BA646)</f>
        <v>100</v>
      </c>
      <c r="BB647" s="1">
        <f>IF(IFERROR(MATCH(Tabelle11[[#Headers],[Spalte41]],Spielauswertung!$B635:$E635,0),0)=0,BB646,INDEX(Spielauswertung!$AB635:$AE635,MATCH(Tabelle11[[#Headers],[Spalte41]],Spielauswertung!$B635:$E635,0))+BB646)</f>
        <v>100</v>
      </c>
      <c r="BC647" s="1">
        <f>IF(IFERROR(MATCH(Tabelle11[[#Headers],[Spalte42]],Spielauswertung!$B635:$E635,0),0)=0,BC646,INDEX(Spielauswertung!$AB635:$AE635,MATCH(Tabelle11[[#Headers],[Spalte42]],Spielauswertung!$B635:$E635,0))+BC646)</f>
        <v>100</v>
      </c>
      <c r="BD647" s="1">
        <f>IF(IFERROR(MATCH(Tabelle11[[#Headers],[Spalte43]],Spielauswertung!$B635:$E635,0),0)=0,BD646,INDEX(Spielauswertung!$AB635:$AE635,MATCH(Tabelle11[[#Headers],[Spalte43]],Spielauswertung!$B635:$E635,0))+BD646)</f>
        <v>100</v>
      </c>
      <c r="BE647" s="1">
        <f>IF(IFERROR(MATCH(Tabelle11[[#Headers],[Spalte44]],Spielauswertung!$B635:$E635,0),0)=0,BE646,INDEX(Spielauswertung!$AB635:$AE635,MATCH(Tabelle11[[#Headers],[Spalte44]],Spielauswertung!$B635:$E635,0))+BE646)</f>
        <v>100</v>
      </c>
      <c r="BF647" s="1">
        <f>IF(IFERROR(MATCH(Tabelle11[[#Headers],[Spalte45]],Spielauswertung!$B635:$E635,0),0)=0,BF646,INDEX(Spielauswertung!$AB635:$AE635,MATCH(Tabelle11[[#Headers],[Spalte45]],Spielauswertung!$B635:$E635,0))+BF646)</f>
        <v>100</v>
      </c>
      <c r="BG647" s="1">
        <f>IF(IFERROR(MATCH(Tabelle11[[#Headers],[Spalte46]],Spielauswertung!$B635:$E635,0),0)=0,BG646,INDEX(Spielauswertung!$AB635:$AE635,MATCH(Tabelle11[[#Headers],[Spalte46]],Spielauswertung!$B635:$E635,0))+BG646)</f>
        <v>100</v>
      </c>
      <c r="BH647" s="1">
        <f>IF(IFERROR(MATCH(Tabelle11[[#Headers],[Spalte47]],Spielauswertung!$B635:$E635,0),0)=0,BH646,INDEX(Spielauswertung!$AB635:$AE635,MATCH(Tabelle11[[#Headers],[Spalte47]],Spielauswertung!$B635:$E635,0))+BH646)</f>
        <v>100</v>
      </c>
    </row>
    <row r="648" spans="1:60" x14ac:dyDescent="0.25">
      <c r="A648">
        <f t="shared" si="10"/>
        <v>635</v>
      </c>
      <c r="B648" s="1">
        <f>IF(IFERROR(MATCH(Tabelle11[[#Headers],[Aleix_V]],Spielauswertung!$B636:$E636,0),0)=0,B647,INDEX(Spielauswertung!$AB636:$AE636,MATCH(Tabelle11[[#Headers],[Aleix_V]],Spielauswertung!$B636:$E636,0))+B647)</f>
        <v>102.47318019444646</v>
      </c>
      <c r="C648" s="1">
        <f>IF(IFERROR(MATCH(Tabelle11[[#Headers],[Andres_H]],Spielauswertung!$B636:$E636,0),0)=0,C647,INDEX(Spielauswertung!$AB636:$AE636,MATCH(Tabelle11[[#Headers],[Andres_H]],Spielauswertung!$B636:$E636,0))+C647)</f>
        <v>95.535732339111306</v>
      </c>
      <c r="D648" s="1">
        <f>IF(IFERROR(MATCH(Tabelle11[[#Headers],[Anton_K]],Spielauswertung!$B636:$E636,0),0)=0,D647,INDEX(Spielauswertung!$AB636:$AE636,MATCH(Tabelle11[[#Headers],[Anton_K]],Spielauswertung!$B636:$E636,0))+D647)</f>
        <v>99.287728777054667</v>
      </c>
      <c r="E648" s="1">
        <f>IF(IFERROR(MATCH(Tabelle11[[#Headers],[Bastian_G]],Spielauswertung!$B636:$E636,0),0)=0,E647,INDEX(Spielauswertung!$AB636:$AE636,MATCH(Tabelle11[[#Headers],[Bastian_G]],Spielauswertung!$B636:$E636,0))+E647)</f>
        <v>117.49978695184252</v>
      </c>
      <c r="F648" s="1">
        <f>IF(IFERROR(MATCH(Tabelle11[[#Headers],[Ben_S]],Spielauswertung!$B636:$E636,0),0)=0,F647,INDEX(Spielauswertung!$AB636:$AE636,MATCH(Tabelle11[[#Headers],[Ben_S]],Spielauswertung!$B636:$E636,0))+F647)</f>
        <v>95.932799101521084</v>
      </c>
      <c r="G648" s="1">
        <f>IF(IFERROR(MATCH(Tabelle11[[#Headers],[Benedikt_K]],Spielauswertung!$B636:$E636,0),0)=0,G647,INDEX(Spielauswertung!$AB636:$AE636,MATCH(Tabelle11[[#Headers],[Benedikt_K]],Spielauswertung!$B636:$E636,0))+G647)</f>
        <v>101.20264176422626</v>
      </c>
      <c r="H648" s="1">
        <f>IF(IFERROR(MATCH(Tabelle11[[#Headers],[Benedikt_R]],Spielauswertung!$B636:$E636,0),0)=0,H647,INDEX(Spielauswertung!$AB636:$AE636,MATCH(Tabelle11[[#Headers],[Benedikt_R]],Spielauswertung!$B636:$E636,0))+H647)</f>
        <v>102.6264770510757</v>
      </c>
      <c r="I648" s="1">
        <f>IF(IFERROR(MATCH(Tabelle11[[#Headers],[Carsten_H]],Spielauswertung!$B636:$E636,0),0)=0,I647,INDEX(Spielauswertung!$AB636:$AE636,MATCH(Tabelle11[[#Headers],[Carsten_H]],Spielauswertung!$B636:$E636,0))+I647)</f>
        <v>90.817185094326874</v>
      </c>
      <c r="J648" s="1">
        <f>IF(IFERROR(MATCH(Tabelle11[[#Headers],[Christoph_R]],Spielauswertung!$B636:$E636,0),0)=0,J647,INDEX(Spielauswertung!$AB636:$AE636,MATCH(Tabelle11[[#Headers],[Christoph_R]],Spielauswertung!$B636:$E636,0))+J647)</f>
        <v>109.73261611443155</v>
      </c>
      <c r="K648" s="1">
        <f>IF(IFERROR(MATCH(Tabelle11[[#Headers],[Claudius_J]],Spielauswertung!$B636:$E636,0),0)=0,K647,INDEX(Spielauswertung!$AB636:$AE636,MATCH(Tabelle11[[#Headers],[Claudius_J]],Spielauswertung!$B636:$E636,0))+K647)</f>
        <v>106.16590636000029</v>
      </c>
      <c r="L648" s="1">
        <f>IF(IFERROR(MATCH(Tabelle11[[#Headers],[Daniel_D]],Spielauswertung!$B636:$E636,0),0)=0,L647,INDEX(Spielauswertung!$AB636:$AE636,MATCH(Tabelle11[[#Headers],[Daniel_D]],Spielauswertung!$B636:$E636,0))+L647)</f>
        <v>99.990299180470089</v>
      </c>
      <c r="M648" s="1">
        <f>IF(IFERROR(MATCH(Tabelle11[[#Headers],[David_R]],Spielauswertung!$B636:$E636,0),0)=0,M647,INDEX(Spielauswertung!$AB636:$AE636,MATCH(Tabelle11[[#Headers],[David_R]],Spielauswertung!$B636:$E636,0))+M647)</f>
        <v>96.715943522481638</v>
      </c>
      <c r="N648" s="1">
        <f>IF(IFERROR(MATCH(Tabelle11[[#Headers],[Dennis_P]],Spielauswertung!$B636:$E636,0),0)=0,N647,INDEX(Spielauswertung!$AB636:$AE636,MATCH(Tabelle11[[#Headers],[Dennis_P]],Spielauswertung!$B636:$E636,0))+N647)</f>
        <v>100.04773223105254</v>
      </c>
      <c r="O648" s="1">
        <f>IF(IFERROR(MATCH(Tabelle11[[#Headers],[Dennis_R]],Spielauswertung!$B636:$E636,0),0)=0,O647,INDEX(Spielauswertung!$AB636:$AE636,MATCH(Tabelle11[[#Headers],[Dennis_R]],Spielauswertung!$B636:$E636,0))+O647)</f>
        <v>75.131680864937195</v>
      </c>
      <c r="P648" s="1">
        <f>IF(IFERROR(MATCH(Tabelle11[[#Headers],[Detlef_R]],Spielauswertung!$B636:$E636,0),0)=0,P647,INDEX(Spielauswertung!$AB636:$AE636,MATCH(Tabelle11[[#Headers],[Detlef_R]],Spielauswertung!$B636:$E636,0))+P647)</f>
        <v>87.984671797367014</v>
      </c>
      <c r="Q648" s="1">
        <f>IF(IFERROR(MATCH(Tabelle11[[#Headers],[Dmitrij_M]],Spielauswertung!$B636:$E636,0),0)=0,Q647,INDEX(Spielauswertung!$AB636:$AE636,MATCH(Tabelle11[[#Headers],[Dmitrij_M]],Spielauswertung!$B636:$E636,0))+Q647)</f>
        <v>100.69975721846207</v>
      </c>
      <c r="R648" s="1">
        <f>IF(IFERROR(MATCH(Tabelle11[[#Headers],[Fabian_M]],Spielauswertung!$B636:$E636,0),0)=0,R647,INDEX(Spielauswertung!$AB636:$AE636,MATCH(Tabelle11[[#Headers],[Fabian_M]],Spielauswertung!$B636:$E636,0))+R647)</f>
        <v>95.805387841610738</v>
      </c>
      <c r="S648" s="1">
        <f>IF(IFERROR(MATCH(Tabelle11[[#Headers],[Hannes_S]],Spielauswertung!$B636:$E636,0),0)=0,S647,INDEX(Spielauswertung!$AB636:$AE636,MATCH(Tabelle11[[#Headers],[Hannes_S]],Spielauswertung!$B636:$E636,0))+S647)</f>
        <v>104.83899184012799</v>
      </c>
      <c r="T648" s="1">
        <f>IF(IFERROR(MATCH(Tabelle11[[#Headers],[Jan_B]],Spielauswertung!$B636:$E636,0),0)=0,T647,INDEX(Spielauswertung!$AB636:$AE636,MATCH(Tabelle11[[#Headers],[Jan_B]],Spielauswertung!$B636:$E636,0))+T647)</f>
        <v>100.2794420429173</v>
      </c>
      <c r="U648" s="1">
        <f>IF(IFERROR(MATCH(Tabelle11[[#Headers],[Jan_Hendrik_B]],Spielauswertung!$B636:$E636,0),0)=0,U647,INDEX(Spielauswertung!$AB636:$AE636,MATCH(Tabelle11[[#Headers],[Jan_Hendrik_B]],Spielauswertung!$B636:$E636,0))+U647)</f>
        <v>100.75492416935522</v>
      </c>
      <c r="V648" s="1">
        <f>IF(IFERROR(MATCH(Tabelle11[[#Headers],[Jens_N]],Spielauswertung!$B636:$E636,0),0)=0,V647,INDEX(Spielauswertung!$AB636:$AE636,MATCH(Tabelle11[[#Headers],[Jens_N]],Spielauswertung!$B636:$E636,0))+V647)</f>
        <v>99.643534710196832</v>
      </c>
      <c r="W648" s="1">
        <f>IF(IFERROR(MATCH(Tabelle11[[#Headers],[Johannes_S]],Spielauswertung!$B636:$E636,0),0)=0,W647,INDEX(Spielauswertung!$AB636:$AE636,MATCH(Tabelle11[[#Headers],[Johannes_S]],Spielauswertung!$B636:$E636,0))+W647)</f>
        <v>102.20284750979505</v>
      </c>
      <c r="X648" s="1">
        <f>IF(IFERROR(MATCH(Tabelle11[[#Headers],[Jonathan_F]],Spielauswertung!$B636:$E636,0),0)=0,X647,INDEX(Spielauswertung!$AB636:$AE636,MATCH(Tabelle11[[#Headers],[Jonathan_F]],Spielauswertung!$B636:$E636,0))+X647)</f>
        <v>98.938308797866256</v>
      </c>
      <c r="Y648" s="1">
        <f>IF(IFERROR(MATCH(Tabelle11[[#Headers],[Julius_P]],Spielauswertung!$B636:$E636,0),0)=0,Y647,INDEX(Spielauswertung!$AB636:$AE636,MATCH(Tabelle11[[#Headers],[Julius_P]],Spielauswertung!$B636:$E636,0))+Y647)</f>
        <v>96.540305101873642</v>
      </c>
      <c r="Z648" s="1">
        <f>IF(IFERROR(MATCH(Tabelle11[[#Headers],[Louis_W]],Spielauswertung!$B636:$E636,0),0)=0,Z647,INDEX(Spielauswertung!$AB636:$AE636,MATCH(Tabelle11[[#Headers],[Louis_W]],Spielauswertung!$B636:$E636,0))+Z647)</f>
        <v>87.497452285475362</v>
      </c>
      <c r="AA648" s="1">
        <f>IF(IFERROR(MATCH(Tabelle11[[#Headers],[Lukas_L]],Spielauswertung!$B636:$E636,0),0)=0,AA647,INDEX(Spielauswertung!$AB636:$AE636,MATCH(Tabelle11[[#Headers],[Lukas_L]],Spielauswertung!$B636:$E636,0))+AA647)</f>
        <v>98.447931341404143</v>
      </c>
      <c r="AB648" s="1">
        <f>IF(IFERROR(MATCH(Tabelle11[[#Headers],[Marcin_S]],Spielauswertung!$B636:$E636,0),0)=0,AB647,INDEX(Spielauswertung!$AB636:$AE636,MATCH(Tabelle11[[#Headers],[Marcin_S]],Spielauswertung!$B636:$E636,0))+AB647)</f>
        <v>85.463329105556824</v>
      </c>
      <c r="AC648" s="1">
        <f>IF(IFERROR(MATCH(Tabelle11[[#Headers],[Marco_K]],Spielauswertung!$B636:$E636,0),0)=0,AC647,INDEX(Spielauswertung!$AB636:$AE636,MATCH(Tabelle11[[#Headers],[Marco_K]],Spielauswertung!$B636:$E636,0))+AC647)</f>
        <v>102.12169819441469</v>
      </c>
      <c r="AD648" s="1">
        <f>IF(IFERROR(MATCH(Tabelle11[[#Headers],[Marius_M]],Spielauswertung!$B636:$E636,0),0)=0,AD647,INDEX(Spielauswertung!$AB636:$AE636,MATCH(Tabelle11[[#Headers],[Marius_M]],Spielauswertung!$B636:$E636,0))+AD647)</f>
        <v>124.54012374585781</v>
      </c>
      <c r="AE648" s="1">
        <f>IF(IFERROR(MATCH(Tabelle11[[#Headers],[Marvin_W]],Spielauswertung!$B636:$E636,0),0)=0,AE647,INDEX(Spielauswertung!$AB636:$AE636,MATCH(Tabelle11[[#Headers],[Marvin_W]],Spielauswertung!$B636:$E636,0))+AE647)</f>
        <v>96.700266280577438</v>
      </c>
      <c r="AF648" s="1">
        <f>IF(IFERROR(MATCH(Tabelle11[[#Headers],[Matthias_H]],Spielauswertung!$B636:$E636,0),0)=0,AF647,INDEX(Spielauswertung!$AB636:$AE636,MATCH(Tabelle11[[#Headers],[Matthias_H]],Spielauswertung!$B636:$E636,0))+AF647)</f>
        <v>105.42130178599372</v>
      </c>
      <c r="AG648" s="1">
        <f>IF(IFERROR(MATCH(Tabelle11[[#Headers],[Michael_D]],Spielauswertung!$B636:$E636,0),0)=0,AG647,INDEX(Spielauswertung!$AB636:$AE636,MATCH(Tabelle11[[#Headers],[Michael_D]],Spielauswertung!$B636:$E636,0))+AG647)</f>
        <v>96.436276170375336</v>
      </c>
      <c r="AH648" s="1">
        <f>IF(IFERROR(MATCH(Tabelle11[[#Headers],[Patrick_S]],Spielauswertung!$B636:$E636,0),0)=0,AH647,INDEX(Spielauswertung!$AB636:$AE636,MATCH(Tabelle11[[#Headers],[Patrick_S]],Spielauswertung!$B636:$E636,0))+AH647)</f>
        <v>98.975330692053802</v>
      </c>
      <c r="AI648" s="1">
        <f>IF(IFERROR(MATCH(Tabelle11[[#Headers],[Rano_M]],Spielauswertung!$B636:$E636,0),0)=0,AI647,INDEX(Spielauswertung!$AB636:$AE636,MATCH(Tabelle11[[#Headers],[Rano_M]],Spielauswertung!$B636:$E636,0))+AI647)</f>
        <v>109.38890657420265</v>
      </c>
      <c r="AJ648" s="1">
        <f>IF(IFERROR(MATCH(Tabelle11[[#Headers],[Rene_N]],Spielauswertung!$B636:$E636,0),0)=0,AJ647,INDEX(Spielauswertung!$AB636:$AE636,MATCH(Tabelle11[[#Headers],[Rene_N]],Spielauswertung!$B636:$E636,0))+AJ647)</f>
        <v>101.06482124619033</v>
      </c>
      <c r="AK648" s="1">
        <f>IF(IFERROR(MATCH(Tabelle11[[#Headers],[Rene_P]],Spielauswertung!$B636:$E636,0),0)=0,AK647,INDEX(Spielauswertung!$AB636:$AE636,MATCH(Tabelle11[[#Headers],[Rene_P]],Spielauswertung!$B636:$E636,0))+AK647)</f>
        <v>88.762543186332877</v>
      </c>
      <c r="AL648" s="1">
        <f>IF(IFERROR(MATCH(Tabelle11[[#Headers],[Richard_D]],Spielauswertung!$B636:$E636,0),0)=0,AL647,INDEX(Spielauswertung!$AB636:$AE636,MATCH(Tabelle11[[#Headers],[Richard_D]],Spielauswertung!$B636:$E636,0))+AL647)</f>
        <v>107.23233592026223</v>
      </c>
      <c r="AM648" s="1">
        <f>IF(IFERROR(MATCH(Tabelle11[[#Headers],[Rodrigo_R]],Spielauswertung!$B636:$E636,0),0)=0,AM647,INDEX(Spielauswertung!$AB636:$AE636,MATCH(Tabelle11[[#Headers],[Rodrigo_R]],Spielauswertung!$B636:$E636,0))+AM647)</f>
        <v>116.7028707921346</v>
      </c>
      <c r="AN648" s="1">
        <f>IF(IFERROR(MATCH(Tabelle11[[#Headers],[Sebastian_A]],Spielauswertung!$B636:$E636,0),0)=0,AN647,INDEX(Spielauswertung!$AB636:$AE636,MATCH(Tabelle11[[#Headers],[Sebastian_A]],Spielauswertung!$B636:$E636,0))+AN647)</f>
        <v>102.89457418671324</v>
      </c>
      <c r="AO648" s="1">
        <f>IF(IFERROR(MATCH(Tabelle11[[#Headers],[Sebastian_St]],Spielauswertung!$B636:$E636,0),0)=0,AO647,INDEX(Spielauswertung!$AB636:$AE636,MATCH(Tabelle11[[#Headers],[Sebastian_St]],Spielauswertung!$B636:$E636,0))+AO647)</f>
        <v>97.749574367408982</v>
      </c>
      <c r="AP648" s="1">
        <f>IF(IFERROR(MATCH(Tabelle11[[#Headers],[Simon_U]],Spielauswertung!$B636:$E636,0),0)=0,AP647,INDEX(Spielauswertung!$AB636:$AE636,MATCH(Tabelle11[[#Headers],[Simon_U]],Spielauswertung!$B636:$E636,0))+AP647)</f>
        <v>99.623054841470903</v>
      </c>
      <c r="AQ648" s="1">
        <f>IF(IFERROR(MATCH(Tabelle11[[#Headers],[Steffen_R]],Spielauswertung!$B636:$E636,0),0)=0,AQ647,INDEX(Spielauswertung!$AB636:$AE636,MATCH(Tabelle11[[#Headers],[Steffen_R]],Spielauswertung!$B636:$E636,0))+AQ647)</f>
        <v>93.247497067190949</v>
      </c>
      <c r="AR648" s="1">
        <f>IF(IFERROR(MATCH(Tabelle11[[#Headers],[Tim_R]],Spielauswertung!$B636:$E636,0),0)=0,AR647,INDEX(Spielauswertung!$AB636:$AE636,MATCH(Tabelle11[[#Headers],[Tim_R]],Spielauswertung!$B636:$E636,0))+AR647)</f>
        <v>103.07503787023374</v>
      </c>
      <c r="AS648" s="1">
        <f>IF(IFERROR(MATCH(Tabelle11[[#Headers],[Tobias_S]],Spielauswertung!$B636:$E636,0),0)=0,AS647,INDEX(Spielauswertung!$AB636:$AE636,MATCH(Tabelle11[[#Headers],[Tobias_S]],Spielauswertung!$B636:$E636,0))+AS647)</f>
        <v>98.6003422659997</v>
      </c>
      <c r="AT648" s="1">
        <f>IF(IFERROR(MATCH(Tabelle11[[#Headers],[Tom_R]],Spielauswertung!$B636:$E636,0),0)=0,AT647,INDEX(Spielauswertung!$AB636:$AE636,MATCH(Tabelle11[[#Headers],[Tom_R]],Spielauswertung!$B636:$E636,0))+AT647)</f>
        <v>112.62344492949197</v>
      </c>
      <c r="AU648" s="1">
        <f>IF(IFERROR(MATCH(Tabelle11[[#Headers],[Ton_L]],Spielauswertung!$B636:$E636,0),0)=0,AU647,INDEX(Spielauswertung!$AB636:$AE636,MATCH(Tabelle11[[#Headers],[Ton_L]],Spielauswertung!$B636:$E636,0))+AU647)</f>
        <v>92.683083360025861</v>
      </c>
      <c r="AV648" s="1">
        <f>IF(IFERROR(MATCH(Tabelle11[[#Headers],[Yixin_G]],Spielauswertung!$B636:$E636,0),0)=0,AV647,INDEX(Spielauswertung!$AB636:$AE636,MATCH(Tabelle11[[#Headers],[Yixin_G]],Spielauswertung!$B636:$E636,0))+AV647)</f>
        <v>99.900323214082661</v>
      </c>
      <c r="AW648" s="1">
        <f>IF(IFERROR(MATCH(Tabelle11[[#Headers],[Spalte36]],Spielauswertung!$B636:$E636,0),0)=0,AW647,INDEX(Spielauswertung!$AB636:$AE636,MATCH(Tabelle11[[#Headers],[Spalte36]],Spielauswertung!$B636:$E636,0))+AW647)</f>
        <v>100</v>
      </c>
      <c r="AX648" s="1">
        <f>IF(IFERROR(MATCH(Tabelle11[[#Headers],[Spalte37]],Spielauswertung!$B636:$E636,0),0)=0,AX647,INDEX(Spielauswertung!$AB636:$AE636,MATCH(Tabelle11[[#Headers],[Spalte37]],Spielauswertung!$B636:$E636,0))+AX647)</f>
        <v>100</v>
      </c>
      <c r="AY648" s="1">
        <f>IF(IFERROR(MATCH(Tabelle11[[#Headers],[Spalte38]],Spielauswertung!$B636:$E636,0),0)=0,AY647,INDEX(Spielauswertung!$AB636:$AE636,MATCH(Tabelle11[[#Headers],[Spalte38]],Spielauswertung!$B636:$E636,0))+AY647)</f>
        <v>100</v>
      </c>
      <c r="AZ648" s="1">
        <f>IF(IFERROR(MATCH(Tabelle11[[#Headers],[Spalte39]],Spielauswertung!$B636:$E636,0),0)=0,AZ647,INDEX(Spielauswertung!$AB636:$AE636,MATCH(Tabelle11[[#Headers],[Spalte39]],Spielauswertung!$B636:$E636,0))+AZ647)</f>
        <v>100</v>
      </c>
      <c r="BA648" s="1">
        <f>IF(IFERROR(MATCH(Tabelle11[[#Headers],[Spalte40]],Spielauswertung!$B636:$E636,0),0)=0,BA647,INDEX(Spielauswertung!$AB636:$AE636,MATCH(Tabelle11[[#Headers],[Spalte40]],Spielauswertung!$B636:$E636,0))+BA647)</f>
        <v>100</v>
      </c>
      <c r="BB648" s="1">
        <f>IF(IFERROR(MATCH(Tabelle11[[#Headers],[Spalte41]],Spielauswertung!$B636:$E636,0),0)=0,BB647,INDEX(Spielauswertung!$AB636:$AE636,MATCH(Tabelle11[[#Headers],[Spalte41]],Spielauswertung!$B636:$E636,0))+BB647)</f>
        <v>100</v>
      </c>
      <c r="BC648" s="1">
        <f>IF(IFERROR(MATCH(Tabelle11[[#Headers],[Spalte42]],Spielauswertung!$B636:$E636,0),0)=0,BC647,INDEX(Spielauswertung!$AB636:$AE636,MATCH(Tabelle11[[#Headers],[Spalte42]],Spielauswertung!$B636:$E636,0))+BC647)</f>
        <v>100</v>
      </c>
      <c r="BD648" s="1">
        <f>IF(IFERROR(MATCH(Tabelle11[[#Headers],[Spalte43]],Spielauswertung!$B636:$E636,0),0)=0,BD647,INDEX(Spielauswertung!$AB636:$AE636,MATCH(Tabelle11[[#Headers],[Spalte43]],Spielauswertung!$B636:$E636,0))+BD647)</f>
        <v>100</v>
      </c>
      <c r="BE648" s="1">
        <f>IF(IFERROR(MATCH(Tabelle11[[#Headers],[Spalte44]],Spielauswertung!$B636:$E636,0),0)=0,BE647,INDEX(Spielauswertung!$AB636:$AE636,MATCH(Tabelle11[[#Headers],[Spalte44]],Spielauswertung!$B636:$E636,0))+BE647)</f>
        <v>100</v>
      </c>
      <c r="BF648" s="1">
        <f>IF(IFERROR(MATCH(Tabelle11[[#Headers],[Spalte45]],Spielauswertung!$B636:$E636,0),0)=0,BF647,INDEX(Spielauswertung!$AB636:$AE636,MATCH(Tabelle11[[#Headers],[Spalte45]],Spielauswertung!$B636:$E636,0))+BF647)</f>
        <v>100</v>
      </c>
      <c r="BG648" s="1">
        <f>IF(IFERROR(MATCH(Tabelle11[[#Headers],[Spalte46]],Spielauswertung!$B636:$E636,0),0)=0,BG647,INDEX(Spielauswertung!$AB636:$AE636,MATCH(Tabelle11[[#Headers],[Spalte46]],Spielauswertung!$B636:$E636,0))+BG647)</f>
        <v>100</v>
      </c>
      <c r="BH648" s="1">
        <f>IF(IFERROR(MATCH(Tabelle11[[#Headers],[Spalte47]],Spielauswertung!$B636:$E636,0),0)=0,BH647,INDEX(Spielauswertung!$AB636:$AE636,MATCH(Tabelle11[[#Headers],[Spalte47]],Spielauswertung!$B636:$E636,0))+BH647)</f>
        <v>100</v>
      </c>
    </row>
    <row r="649" spans="1:60" x14ac:dyDescent="0.25">
      <c r="A649">
        <f t="shared" si="10"/>
        <v>636</v>
      </c>
      <c r="B649" s="1">
        <f>IF(IFERROR(MATCH(Tabelle11[[#Headers],[Aleix_V]],Spielauswertung!$B637:$E637,0),0)=0,B648,INDEX(Spielauswertung!$AB637:$AE637,MATCH(Tabelle11[[#Headers],[Aleix_V]],Spielauswertung!$B637:$E637,0))+B648)</f>
        <v>102.47318019444646</v>
      </c>
      <c r="C649" s="1">
        <f>IF(IFERROR(MATCH(Tabelle11[[#Headers],[Andres_H]],Spielauswertung!$B637:$E637,0),0)=0,C648,INDEX(Spielauswertung!$AB637:$AE637,MATCH(Tabelle11[[#Headers],[Andres_H]],Spielauswertung!$B637:$E637,0))+C648)</f>
        <v>95.535732339111306</v>
      </c>
      <c r="D649" s="1">
        <f>IF(IFERROR(MATCH(Tabelle11[[#Headers],[Anton_K]],Spielauswertung!$B637:$E637,0),0)=0,D648,INDEX(Spielauswertung!$AB637:$AE637,MATCH(Tabelle11[[#Headers],[Anton_K]],Spielauswertung!$B637:$E637,0))+D648)</f>
        <v>99.287728777054667</v>
      </c>
      <c r="E649" s="1">
        <f>IF(IFERROR(MATCH(Tabelle11[[#Headers],[Bastian_G]],Spielauswertung!$B637:$E637,0),0)=0,E648,INDEX(Spielauswertung!$AB637:$AE637,MATCH(Tabelle11[[#Headers],[Bastian_G]],Spielauswertung!$B637:$E637,0))+E648)</f>
        <v>117.49978695184252</v>
      </c>
      <c r="F649" s="1">
        <f>IF(IFERROR(MATCH(Tabelle11[[#Headers],[Ben_S]],Spielauswertung!$B637:$E637,0),0)=0,F648,INDEX(Spielauswertung!$AB637:$AE637,MATCH(Tabelle11[[#Headers],[Ben_S]],Spielauswertung!$B637:$E637,0))+F648)</f>
        <v>95.932799101521084</v>
      </c>
      <c r="G649" s="1">
        <f>IF(IFERROR(MATCH(Tabelle11[[#Headers],[Benedikt_K]],Spielauswertung!$B637:$E637,0),0)=0,G648,INDEX(Spielauswertung!$AB637:$AE637,MATCH(Tabelle11[[#Headers],[Benedikt_K]],Spielauswertung!$B637:$E637,0))+G648)</f>
        <v>101.20264176422626</v>
      </c>
      <c r="H649" s="1">
        <f>IF(IFERROR(MATCH(Tabelle11[[#Headers],[Benedikt_R]],Spielauswertung!$B637:$E637,0),0)=0,H648,INDEX(Spielauswertung!$AB637:$AE637,MATCH(Tabelle11[[#Headers],[Benedikt_R]],Spielauswertung!$B637:$E637,0))+H648)</f>
        <v>102.6264770510757</v>
      </c>
      <c r="I649" s="1">
        <f>IF(IFERROR(MATCH(Tabelle11[[#Headers],[Carsten_H]],Spielauswertung!$B637:$E637,0),0)=0,I648,INDEX(Spielauswertung!$AB637:$AE637,MATCH(Tabelle11[[#Headers],[Carsten_H]],Spielauswertung!$B637:$E637,0))+I648)</f>
        <v>90.817185094326874</v>
      </c>
      <c r="J649" s="1">
        <f>IF(IFERROR(MATCH(Tabelle11[[#Headers],[Christoph_R]],Spielauswertung!$B637:$E637,0),0)=0,J648,INDEX(Spielauswertung!$AB637:$AE637,MATCH(Tabelle11[[#Headers],[Christoph_R]],Spielauswertung!$B637:$E637,0))+J648)</f>
        <v>109.73261611443155</v>
      </c>
      <c r="K649" s="1">
        <f>IF(IFERROR(MATCH(Tabelle11[[#Headers],[Claudius_J]],Spielauswertung!$B637:$E637,0),0)=0,K648,INDEX(Spielauswertung!$AB637:$AE637,MATCH(Tabelle11[[#Headers],[Claudius_J]],Spielauswertung!$B637:$E637,0))+K648)</f>
        <v>106.16590636000029</v>
      </c>
      <c r="L649" s="1">
        <f>IF(IFERROR(MATCH(Tabelle11[[#Headers],[Daniel_D]],Spielauswertung!$B637:$E637,0),0)=0,L648,INDEX(Spielauswertung!$AB637:$AE637,MATCH(Tabelle11[[#Headers],[Daniel_D]],Spielauswertung!$B637:$E637,0))+L648)</f>
        <v>99.990299180470089</v>
      </c>
      <c r="M649" s="1">
        <f>IF(IFERROR(MATCH(Tabelle11[[#Headers],[David_R]],Spielauswertung!$B637:$E637,0),0)=0,M648,INDEX(Spielauswertung!$AB637:$AE637,MATCH(Tabelle11[[#Headers],[David_R]],Spielauswertung!$B637:$E637,0))+M648)</f>
        <v>96.715943522481638</v>
      </c>
      <c r="N649" s="1">
        <f>IF(IFERROR(MATCH(Tabelle11[[#Headers],[Dennis_P]],Spielauswertung!$B637:$E637,0),0)=0,N648,INDEX(Spielauswertung!$AB637:$AE637,MATCH(Tabelle11[[#Headers],[Dennis_P]],Spielauswertung!$B637:$E637,0))+N648)</f>
        <v>100.04773223105254</v>
      </c>
      <c r="O649" s="1">
        <f>IF(IFERROR(MATCH(Tabelle11[[#Headers],[Dennis_R]],Spielauswertung!$B637:$E637,0),0)=0,O648,INDEX(Spielauswertung!$AB637:$AE637,MATCH(Tabelle11[[#Headers],[Dennis_R]],Spielauswertung!$B637:$E637,0))+O648)</f>
        <v>75.131680864937195</v>
      </c>
      <c r="P649" s="1">
        <f>IF(IFERROR(MATCH(Tabelle11[[#Headers],[Detlef_R]],Spielauswertung!$B637:$E637,0),0)=0,P648,INDEX(Spielauswertung!$AB637:$AE637,MATCH(Tabelle11[[#Headers],[Detlef_R]],Spielauswertung!$B637:$E637,0))+P648)</f>
        <v>87.984671797367014</v>
      </c>
      <c r="Q649" s="1">
        <f>IF(IFERROR(MATCH(Tabelle11[[#Headers],[Dmitrij_M]],Spielauswertung!$B637:$E637,0),0)=0,Q648,INDEX(Spielauswertung!$AB637:$AE637,MATCH(Tabelle11[[#Headers],[Dmitrij_M]],Spielauswertung!$B637:$E637,0))+Q648)</f>
        <v>100.69975721846207</v>
      </c>
      <c r="R649" s="1">
        <f>IF(IFERROR(MATCH(Tabelle11[[#Headers],[Fabian_M]],Spielauswertung!$B637:$E637,0),0)=0,R648,INDEX(Spielauswertung!$AB637:$AE637,MATCH(Tabelle11[[#Headers],[Fabian_M]],Spielauswertung!$B637:$E637,0))+R648)</f>
        <v>95.805387841610738</v>
      </c>
      <c r="S649" s="1">
        <f>IF(IFERROR(MATCH(Tabelle11[[#Headers],[Hannes_S]],Spielauswertung!$B637:$E637,0),0)=0,S648,INDEX(Spielauswertung!$AB637:$AE637,MATCH(Tabelle11[[#Headers],[Hannes_S]],Spielauswertung!$B637:$E637,0))+S648)</f>
        <v>104.83899184012799</v>
      </c>
      <c r="T649" s="1">
        <f>IF(IFERROR(MATCH(Tabelle11[[#Headers],[Jan_B]],Spielauswertung!$B637:$E637,0),0)=0,T648,INDEX(Spielauswertung!$AB637:$AE637,MATCH(Tabelle11[[#Headers],[Jan_B]],Spielauswertung!$B637:$E637,0))+T648)</f>
        <v>100.2794420429173</v>
      </c>
      <c r="U649" s="1">
        <f>IF(IFERROR(MATCH(Tabelle11[[#Headers],[Jan_Hendrik_B]],Spielauswertung!$B637:$E637,0),0)=0,U648,INDEX(Spielauswertung!$AB637:$AE637,MATCH(Tabelle11[[#Headers],[Jan_Hendrik_B]],Spielauswertung!$B637:$E637,0))+U648)</f>
        <v>100.75492416935522</v>
      </c>
      <c r="V649" s="1">
        <f>IF(IFERROR(MATCH(Tabelle11[[#Headers],[Jens_N]],Spielauswertung!$B637:$E637,0),0)=0,V648,INDEX(Spielauswertung!$AB637:$AE637,MATCH(Tabelle11[[#Headers],[Jens_N]],Spielauswertung!$B637:$E637,0))+V648)</f>
        <v>99.643534710196832</v>
      </c>
      <c r="W649" s="1">
        <f>IF(IFERROR(MATCH(Tabelle11[[#Headers],[Johannes_S]],Spielauswertung!$B637:$E637,0),0)=0,W648,INDEX(Spielauswertung!$AB637:$AE637,MATCH(Tabelle11[[#Headers],[Johannes_S]],Spielauswertung!$B637:$E637,0))+W648)</f>
        <v>102.20284750979505</v>
      </c>
      <c r="X649" s="1">
        <f>IF(IFERROR(MATCH(Tabelle11[[#Headers],[Jonathan_F]],Spielauswertung!$B637:$E637,0),0)=0,X648,INDEX(Spielauswertung!$AB637:$AE637,MATCH(Tabelle11[[#Headers],[Jonathan_F]],Spielauswertung!$B637:$E637,0))+X648)</f>
        <v>98.938308797866256</v>
      </c>
      <c r="Y649" s="1">
        <f>IF(IFERROR(MATCH(Tabelle11[[#Headers],[Julius_P]],Spielauswertung!$B637:$E637,0),0)=0,Y648,INDEX(Spielauswertung!$AB637:$AE637,MATCH(Tabelle11[[#Headers],[Julius_P]],Spielauswertung!$B637:$E637,0))+Y648)</f>
        <v>96.540305101873642</v>
      </c>
      <c r="Z649" s="1">
        <f>IF(IFERROR(MATCH(Tabelle11[[#Headers],[Louis_W]],Spielauswertung!$B637:$E637,0),0)=0,Z648,INDEX(Spielauswertung!$AB637:$AE637,MATCH(Tabelle11[[#Headers],[Louis_W]],Spielauswertung!$B637:$E637,0))+Z648)</f>
        <v>87.497452285475362</v>
      </c>
      <c r="AA649" s="1">
        <f>IF(IFERROR(MATCH(Tabelle11[[#Headers],[Lukas_L]],Spielauswertung!$B637:$E637,0),0)=0,AA648,INDEX(Spielauswertung!$AB637:$AE637,MATCH(Tabelle11[[#Headers],[Lukas_L]],Spielauswertung!$B637:$E637,0))+AA648)</f>
        <v>98.447931341404143</v>
      </c>
      <c r="AB649" s="1">
        <f>IF(IFERROR(MATCH(Tabelle11[[#Headers],[Marcin_S]],Spielauswertung!$B637:$E637,0),0)=0,AB648,INDEX(Spielauswertung!$AB637:$AE637,MATCH(Tabelle11[[#Headers],[Marcin_S]],Spielauswertung!$B637:$E637,0))+AB648)</f>
        <v>85.463329105556824</v>
      </c>
      <c r="AC649" s="1">
        <f>IF(IFERROR(MATCH(Tabelle11[[#Headers],[Marco_K]],Spielauswertung!$B637:$E637,0),0)=0,AC648,INDEX(Spielauswertung!$AB637:$AE637,MATCH(Tabelle11[[#Headers],[Marco_K]],Spielauswertung!$B637:$E637,0))+AC648)</f>
        <v>102.12169819441469</v>
      </c>
      <c r="AD649" s="1">
        <f>IF(IFERROR(MATCH(Tabelle11[[#Headers],[Marius_M]],Spielauswertung!$B637:$E637,0),0)=0,AD648,INDEX(Spielauswertung!$AB637:$AE637,MATCH(Tabelle11[[#Headers],[Marius_M]],Spielauswertung!$B637:$E637,0))+AD648)</f>
        <v>124.54012374585781</v>
      </c>
      <c r="AE649" s="1">
        <f>IF(IFERROR(MATCH(Tabelle11[[#Headers],[Marvin_W]],Spielauswertung!$B637:$E637,0),0)=0,AE648,INDEX(Spielauswertung!$AB637:$AE637,MATCH(Tabelle11[[#Headers],[Marvin_W]],Spielauswertung!$B637:$E637,0))+AE648)</f>
        <v>96.700266280577438</v>
      </c>
      <c r="AF649" s="1">
        <f>IF(IFERROR(MATCH(Tabelle11[[#Headers],[Matthias_H]],Spielauswertung!$B637:$E637,0),0)=0,AF648,INDEX(Spielauswertung!$AB637:$AE637,MATCH(Tabelle11[[#Headers],[Matthias_H]],Spielauswertung!$B637:$E637,0))+AF648)</f>
        <v>105.42130178599372</v>
      </c>
      <c r="AG649" s="1">
        <f>IF(IFERROR(MATCH(Tabelle11[[#Headers],[Michael_D]],Spielauswertung!$B637:$E637,0),0)=0,AG648,INDEX(Spielauswertung!$AB637:$AE637,MATCH(Tabelle11[[#Headers],[Michael_D]],Spielauswertung!$B637:$E637,0))+AG648)</f>
        <v>96.436276170375336</v>
      </c>
      <c r="AH649" s="1">
        <f>IF(IFERROR(MATCH(Tabelle11[[#Headers],[Patrick_S]],Spielauswertung!$B637:$E637,0),0)=0,AH648,INDEX(Spielauswertung!$AB637:$AE637,MATCH(Tabelle11[[#Headers],[Patrick_S]],Spielauswertung!$B637:$E637,0))+AH648)</f>
        <v>98.975330692053802</v>
      </c>
      <c r="AI649" s="1">
        <f>IF(IFERROR(MATCH(Tabelle11[[#Headers],[Rano_M]],Spielauswertung!$B637:$E637,0),0)=0,AI648,INDEX(Spielauswertung!$AB637:$AE637,MATCH(Tabelle11[[#Headers],[Rano_M]],Spielauswertung!$B637:$E637,0))+AI648)</f>
        <v>109.38890657420265</v>
      </c>
      <c r="AJ649" s="1">
        <f>IF(IFERROR(MATCH(Tabelle11[[#Headers],[Rene_N]],Spielauswertung!$B637:$E637,0),0)=0,AJ648,INDEX(Spielauswertung!$AB637:$AE637,MATCH(Tabelle11[[#Headers],[Rene_N]],Spielauswertung!$B637:$E637,0))+AJ648)</f>
        <v>101.06482124619033</v>
      </c>
      <c r="AK649" s="1">
        <f>IF(IFERROR(MATCH(Tabelle11[[#Headers],[Rene_P]],Spielauswertung!$B637:$E637,0),0)=0,AK648,INDEX(Spielauswertung!$AB637:$AE637,MATCH(Tabelle11[[#Headers],[Rene_P]],Spielauswertung!$B637:$E637,0))+AK648)</f>
        <v>88.762543186332877</v>
      </c>
      <c r="AL649" s="1">
        <f>IF(IFERROR(MATCH(Tabelle11[[#Headers],[Richard_D]],Spielauswertung!$B637:$E637,0),0)=0,AL648,INDEX(Spielauswertung!$AB637:$AE637,MATCH(Tabelle11[[#Headers],[Richard_D]],Spielauswertung!$B637:$E637,0))+AL648)</f>
        <v>107.23233592026223</v>
      </c>
      <c r="AM649" s="1">
        <f>IF(IFERROR(MATCH(Tabelle11[[#Headers],[Rodrigo_R]],Spielauswertung!$B637:$E637,0),0)=0,AM648,INDEX(Spielauswertung!$AB637:$AE637,MATCH(Tabelle11[[#Headers],[Rodrigo_R]],Spielauswertung!$B637:$E637,0))+AM648)</f>
        <v>116.7028707921346</v>
      </c>
      <c r="AN649" s="1">
        <f>IF(IFERROR(MATCH(Tabelle11[[#Headers],[Sebastian_A]],Spielauswertung!$B637:$E637,0),0)=0,AN648,INDEX(Spielauswertung!$AB637:$AE637,MATCH(Tabelle11[[#Headers],[Sebastian_A]],Spielauswertung!$B637:$E637,0))+AN648)</f>
        <v>102.89457418671324</v>
      </c>
      <c r="AO649" s="1">
        <f>IF(IFERROR(MATCH(Tabelle11[[#Headers],[Sebastian_St]],Spielauswertung!$B637:$E637,0),0)=0,AO648,INDEX(Spielauswertung!$AB637:$AE637,MATCH(Tabelle11[[#Headers],[Sebastian_St]],Spielauswertung!$B637:$E637,0))+AO648)</f>
        <v>97.749574367408982</v>
      </c>
      <c r="AP649" s="1">
        <f>IF(IFERROR(MATCH(Tabelle11[[#Headers],[Simon_U]],Spielauswertung!$B637:$E637,0),0)=0,AP648,INDEX(Spielauswertung!$AB637:$AE637,MATCH(Tabelle11[[#Headers],[Simon_U]],Spielauswertung!$B637:$E637,0))+AP648)</f>
        <v>99.623054841470903</v>
      </c>
      <c r="AQ649" s="1">
        <f>IF(IFERROR(MATCH(Tabelle11[[#Headers],[Steffen_R]],Spielauswertung!$B637:$E637,0),0)=0,AQ648,INDEX(Spielauswertung!$AB637:$AE637,MATCH(Tabelle11[[#Headers],[Steffen_R]],Spielauswertung!$B637:$E637,0))+AQ648)</f>
        <v>93.247497067190949</v>
      </c>
      <c r="AR649" s="1">
        <f>IF(IFERROR(MATCH(Tabelle11[[#Headers],[Tim_R]],Spielauswertung!$B637:$E637,0),0)=0,AR648,INDEX(Spielauswertung!$AB637:$AE637,MATCH(Tabelle11[[#Headers],[Tim_R]],Spielauswertung!$B637:$E637,0))+AR648)</f>
        <v>103.07503787023374</v>
      </c>
      <c r="AS649" s="1">
        <f>IF(IFERROR(MATCH(Tabelle11[[#Headers],[Tobias_S]],Spielauswertung!$B637:$E637,0),0)=0,AS648,INDEX(Spielauswertung!$AB637:$AE637,MATCH(Tabelle11[[#Headers],[Tobias_S]],Spielauswertung!$B637:$E637,0))+AS648)</f>
        <v>98.6003422659997</v>
      </c>
      <c r="AT649" s="1">
        <f>IF(IFERROR(MATCH(Tabelle11[[#Headers],[Tom_R]],Spielauswertung!$B637:$E637,0),0)=0,AT648,INDEX(Spielauswertung!$AB637:$AE637,MATCH(Tabelle11[[#Headers],[Tom_R]],Spielauswertung!$B637:$E637,0))+AT648)</f>
        <v>112.62344492949197</v>
      </c>
      <c r="AU649" s="1">
        <f>IF(IFERROR(MATCH(Tabelle11[[#Headers],[Ton_L]],Spielauswertung!$B637:$E637,0),0)=0,AU648,INDEX(Spielauswertung!$AB637:$AE637,MATCH(Tabelle11[[#Headers],[Ton_L]],Spielauswertung!$B637:$E637,0))+AU648)</f>
        <v>92.683083360025861</v>
      </c>
      <c r="AV649" s="1">
        <f>IF(IFERROR(MATCH(Tabelle11[[#Headers],[Yixin_G]],Spielauswertung!$B637:$E637,0),0)=0,AV648,INDEX(Spielauswertung!$AB637:$AE637,MATCH(Tabelle11[[#Headers],[Yixin_G]],Spielauswertung!$B637:$E637,0))+AV648)</f>
        <v>99.900323214082661</v>
      </c>
      <c r="AW649" s="1">
        <f>IF(IFERROR(MATCH(Tabelle11[[#Headers],[Spalte36]],Spielauswertung!$B637:$E637,0),0)=0,AW648,INDEX(Spielauswertung!$AB637:$AE637,MATCH(Tabelle11[[#Headers],[Spalte36]],Spielauswertung!$B637:$E637,0))+AW648)</f>
        <v>100</v>
      </c>
      <c r="AX649" s="1">
        <f>IF(IFERROR(MATCH(Tabelle11[[#Headers],[Spalte37]],Spielauswertung!$B637:$E637,0),0)=0,AX648,INDEX(Spielauswertung!$AB637:$AE637,MATCH(Tabelle11[[#Headers],[Spalte37]],Spielauswertung!$B637:$E637,0))+AX648)</f>
        <v>100</v>
      </c>
      <c r="AY649" s="1">
        <f>IF(IFERROR(MATCH(Tabelle11[[#Headers],[Spalte38]],Spielauswertung!$B637:$E637,0),0)=0,AY648,INDEX(Spielauswertung!$AB637:$AE637,MATCH(Tabelle11[[#Headers],[Spalte38]],Spielauswertung!$B637:$E637,0))+AY648)</f>
        <v>100</v>
      </c>
      <c r="AZ649" s="1">
        <f>IF(IFERROR(MATCH(Tabelle11[[#Headers],[Spalte39]],Spielauswertung!$B637:$E637,0),0)=0,AZ648,INDEX(Spielauswertung!$AB637:$AE637,MATCH(Tabelle11[[#Headers],[Spalte39]],Spielauswertung!$B637:$E637,0))+AZ648)</f>
        <v>100</v>
      </c>
      <c r="BA649" s="1">
        <f>IF(IFERROR(MATCH(Tabelle11[[#Headers],[Spalte40]],Spielauswertung!$B637:$E637,0),0)=0,BA648,INDEX(Spielauswertung!$AB637:$AE637,MATCH(Tabelle11[[#Headers],[Spalte40]],Spielauswertung!$B637:$E637,0))+BA648)</f>
        <v>100</v>
      </c>
      <c r="BB649" s="1">
        <f>IF(IFERROR(MATCH(Tabelle11[[#Headers],[Spalte41]],Spielauswertung!$B637:$E637,0),0)=0,BB648,INDEX(Spielauswertung!$AB637:$AE637,MATCH(Tabelle11[[#Headers],[Spalte41]],Spielauswertung!$B637:$E637,0))+BB648)</f>
        <v>100</v>
      </c>
      <c r="BC649" s="1">
        <f>IF(IFERROR(MATCH(Tabelle11[[#Headers],[Spalte42]],Spielauswertung!$B637:$E637,0),0)=0,BC648,INDEX(Spielauswertung!$AB637:$AE637,MATCH(Tabelle11[[#Headers],[Spalte42]],Spielauswertung!$B637:$E637,0))+BC648)</f>
        <v>100</v>
      </c>
      <c r="BD649" s="1">
        <f>IF(IFERROR(MATCH(Tabelle11[[#Headers],[Spalte43]],Spielauswertung!$B637:$E637,0),0)=0,BD648,INDEX(Spielauswertung!$AB637:$AE637,MATCH(Tabelle11[[#Headers],[Spalte43]],Spielauswertung!$B637:$E637,0))+BD648)</f>
        <v>100</v>
      </c>
      <c r="BE649" s="1">
        <f>IF(IFERROR(MATCH(Tabelle11[[#Headers],[Spalte44]],Spielauswertung!$B637:$E637,0),0)=0,BE648,INDEX(Spielauswertung!$AB637:$AE637,MATCH(Tabelle11[[#Headers],[Spalte44]],Spielauswertung!$B637:$E637,0))+BE648)</f>
        <v>100</v>
      </c>
      <c r="BF649" s="1">
        <f>IF(IFERROR(MATCH(Tabelle11[[#Headers],[Spalte45]],Spielauswertung!$B637:$E637,0),0)=0,BF648,INDEX(Spielauswertung!$AB637:$AE637,MATCH(Tabelle11[[#Headers],[Spalte45]],Spielauswertung!$B637:$E637,0))+BF648)</f>
        <v>100</v>
      </c>
      <c r="BG649" s="1">
        <f>IF(IFERROR(MATCH(Tabelle11[[#Headers],[Spalte46]],Spielauswertung!$B637:$E637,0),0)=0,BG648,INDEX(Spielauswertung!$AB637:$AE637,MATCH(Tabelle11[[#Headers],[Spalte46]],Spielauswertung!$B637:$E637,0))+BG648)</f>
        <v>100</v>
      </c>
      <c r="BH649" s="1">
        <f>IF(IFERROR(MATCH(Tabelle11[[#Headers],[Spalte47]],Spielauswertung!$B637:$E637,0),0)=0,BH648,INDEX(Spielauswertung!$AB637:$AE637,MATCH(Tabelle11[[#Headers],[Spalte47]],Spielauswertung!$B637:$E637,0))+BH648)</f>
        <v>100</v>
      </c>
    </row>
    <row r="650" spans="1:60" x14ac:dyDescent="0.25">
      <c r="A650">
        <f t="shared" si="10"/>
        <v>637</v>
      </c>
      <c r="B650" s="1">
        <f>IF(IFERROR(MATCH(Tabelle11[[#Headers],[Aleix_V]],Spielauswertung!$B638:$E638,0),0)=0,B649,INDEX(Spielauswertung!$AB638:$AE638,MATCH(Tabelle11[[#Headers],[Aleix_V]],Spielauswertung!$B638:$E638,0))+B649)</f>
        <v>102.47318019444646</v>
      </c>
      <c r="C650" s="1">
        <f>IF(IFERROR(MATCH(Tabelle11[[#Headers],[Andres_H]],Spielauswertung!$B638:$E638,0),0)=0,C649,INDEX(Spielauswertung!$AB638:$AE638,MATCH(Tabelle11[[#Headers],[Andres_H]],Spielauswertung!$B638:$E638,0))+C649)</f>
        <v>95.535732339111306</v>
      </c>
      <c r="D650" s="1">
        <f>IF(IFERROR(MATCH(Tabelle11[[#Headers],[Anton_K]],Spielauswertung!$B638:$E638,0),0)=0,D649,INDEX(Spielauswertung!$AB638:$AE638,MATCH(Tabelle11[[#Headers],[Anton_K]],Spielauswertung!$B638:$E638,0))+D649)</f>
        <v>99.287728777054667</v>
      </c>
      <c r="E650" s="1">
        <f>IF(IFERROR(MATCH(Tabelle11[[#Headers],[Bastian_G]],Spielauswertung!$B638:$E638,0),0)=0,E649,INDEX(Spielauswertung!$AB638:$AE638,MATCH(Tabelle11[[#Headers],[Bastian_G]],Spielauswertung!$B638:$E638,0))+E649)</f>
        <v>117.49978695184252</v>
      </c>
      <c r="F650" s="1">
        <f>IF(IFERROR(MATCH(Tabelle11[[#Headers],[Ben_S]],Spielauswertung!$B638:$E638,0),0)=0,F649,INDEX(Spielauswertung!$AB638:$AE638,MATCH(Tabelle11[[#Headers],[Ben_S]],Spielauswertung!$B638:$E638,0))+F649)</f>
        <v>95.932799101521084</v>
      </c>
      <c r="G650" s="1">
        <f>IF(IFERROR(MATCH(Tabelle11[[#Headers],[Benedikt_K]],Spielauswertung!$B638:$E638,0),0)=0,G649,INDEX(Spielauswertung!$AB638:$AE638,MATCH(Tabelle11[[#Headers],[Benedikt_K]],Spielauswertung!$B638:$E638,0))+G649)</f>
        <v>101.20264176422626</v>
      </c>
      <c r="H650" s="1">
        <f>IF(IFERROR(MATCH(Tabelle11[[#Headers],[Benedikt_R]],Spielauswertung!$B638:$E638,0),0)=0,H649,INDEX(Spielauswertung!$AB638:$AE638,MATCH(Tabelle11[[#Headers],[Benedikt_R]],Spielauswertung!$B638:$E638,0))+H649)</f>
        <v>102.6264770510757</v>
      </c>
      <c r="I650" s="1">
        <f>IF(IFERROR(MATCH(Tabelle11[[#Headers],[Carsten_H]],Spielauswertung!$B638:$E638,0),0)=0,I649,INDEX(Spielauswertung!$AB638:$AE638,MATCH(Tabelle11[[#Headers],[Carsten_H]],Spielauswertung!$B638:$E638,0))+I649)</f>
        <v>90.817185094326874</v>
      </c>
      <c r="J650" s="1">
        <f>IF(IFERROR(MATCH(Tabelle11[[#Headers],[Christoph_R]],Spielauswertung!$B638:$E638,0),0)=0,J649,INDEX(Spielauswertung!$AB638:$AE638,MATCH(Tabelle11[[#Headers],[Christoph_R]],Spielauswertung!$B638:$E638,0))+J649)</f>
        <v>109.73261611443155</v>
      </c>
      <c r="K650" s="1">
        <f>IF(IFERROR(MATCH(Tabelle11[[#Headers],[Claudius_J]],Spielauswertung!$B638:$E638,0),0)=0,K649,INDEX(Spielauswertung!$AB638:$AE638,MATCH(Tabelle11[[#Headers],[Claudius_J]],Spielauswertung!$B638:$E638,0))+K649)</f>
        <v>106.16590636000029</v>
      </c>
      <c r="L650" s="1">
        <f>IF(IFERROR(MATCH(Tabelle11[[#Headers],[Daniel_D]],Spielauswertung!$B638:$E638,0),0)=0,L649,INDEX(Spielauswertung!$AB638:$AE638,MATCH(Tabelle11[[#Headers],[Daniel_D]],Spielauswertung!$B638:$E638,0))+L649)</f>
        <v>99.990299180470089</v>
      </c>
      <c r="M650" s="1">
        <f>IF(IFERROR(MATCH(Tabelle11[[#Headers],[David_R]],Spielauswertung!$B638:$E638,0),0)=0,M649,INDEX(Spielauswertung!$AB638:$AE638,MATCH(Tabelle11[[#Headers],[David_R]],Spielauswertung!$B638:$E638,0))+M649)</f>
        <v>96.715943522481638</v>
      </c>
      <c r="N650" s="1">
        <f>IF(IFERROR(MATCH(Tabelle11[[#Headers],[Dennis_P]],Spielauswertung!$B638:$E638,0),0)=0,N649,INDEX(Spielauswertung!$AB638:$AE638,MATCH(Tabelle11[[#Headers],[Dennis_P]],Spielauswertung!$B638:$E638,0))+N649)</f>
        <v>100.04773223105254</v>
      </c>
      <c r="O650" s="1">
        <f>IF(IFERROR(MATCH(Tabelle11[[#Headers],[Dennis_R]],Spielauswertung!$B638:$E638,0),0)=0,O649,INDEX(Spielauswertung!$AB638:$AE638,MATCH(Tabelle11[[#Headers],[Dennis_R]],Spielauswertung!$B638:$E638,0))+O649)</f>
        <v>75.131680864937195</v>
      </c>
      <c r="P650" s="1">
        <f>IF(IFERROR(MATCH(Tabelle11[[#Headers],[Detlef_R]],Spielauswertung!$B638:$E638,0),0)=0,P649,INDEX(Spielauswertung!$AB638:$AE638,MATCH(Tabelle11[[#Headers],[Detlef_R]],Spielauswertung!$B638:$E638,0))+P649)</f>
        <v>87.984671797367014</v>
      </c>
      <c r="Q650" s="1">
        <f>IF(IFERROR(MATCH(Tabelle11[[#Headers],[Dmitrij_M]],Spielauswertung!$B638:$E638,0),0)=0,Q649,INDEX(Spielauswertung!$AB638:$AE638,MATCH(Tabelle11[[#Headers],[Dmitrij_M]],Spielauswertung!$B638:$E638,0))+Q649)</f>
        <v>100.69975721846207</v>
      </c>
      <c r="R650" s="1">
        <f>IF(IFERROR(MATCH(Tabelle11[[#Headers],[Fabian_M]],Spielauswertung!$B638:$E638,0),0)=0,R649,INDEX(Spielauswertung!$AB638:$AE638,MATCH(Tabelle11[[#Headers],[Fabian_M]],Spielauswertung!$B638:$E638,0))+R649)</f>
        <v>95.805387841610738</v>
      </c>
      <c r="S650" s="1">
        <f>IF(IFERROR(MATCH(Tabelle11[[#Headers],[Hannes_S]],Spielauswertung!$B638:$E638,0),0)=0,S649,INDEX(Spielauswertung!$AB638:$AE638,MATCH(Tabelle11[[#Headers],[Hannes_S]],Spielauswertung!$B638:$E638,0))+S649)</f>
        <v>104.83899184012799</v>
      </c>
      <c r="T650" s="1">
        <f>IF(IFERROR(MATCH(Tabelle11[[#Headers],[Jan_B]],Spielauswertung!$B638:$E638,0),0)=0,T649,INDEX(Spielauswertung!$AB638:$AE638,MATCH(Tabelle11[[#Headers],[Jan_B]],Spielauswertung!$B638:$E638,0))+T649)</f>
        <v>100.2794420429173</v>
      </c>
      <c r="U650" s="1">
        <f>IF(IFERROR(MATCH(Tabelle11[[#Headers],[Jan_Hendrik_B]],Spielauswertung!$B638:$E638,0),0)=0,U649,INDEX(Spielauswertung!$AB638:$AE638,MATCH(Tabelle11[[#Headers],[Jan_Hendrik_B]],Spielauswertung!$B638:$E638,0))+U649)</f>
        <v>100.75492416935522</v>
      </c>
      <c r="V650" s="1">
        <f>IF(IFERROR(MATCH(Tabelle11[[#Headers],[Jens_N]],Spielauswertung!$B638:$E638,0),0)=0,V649,INDEX(Spielauswertung!$AB638:$AE638,MATCH(Tabelle11[[#Headers],[Jens_N]],Spielauswertung!$B638:$E638,0))+V649)</f>
        <v>99.643534710196832</v>
      </c>
      <c r="W650" s="1">
        <f>IF(IFERROR(MATCH(Tabelle11[[#Headers],[Johannes_S]],Spielauswertung!$B638:$E638,0),0)=0,W649,INDEX(Spielauswertung!$AB638:$AE638,MATCH(Tabelle11[[#Headers],[Johannes_S]],Spielauswertung!$B638:$E638,0))+W649)</f>
        <v>102.20284750979505</v>
      </c>
      <c r="X650" s="1">
        <f>IF(IFERROR(MATCH(Tabelle11[[#Headers],[Jonathan_F]],Spielauswertung!$B638:$E638,0),0)=0,X649,INDEX(Spielauswertung!$AB638:$AE638,MATCH(Tabelle11[[#Headers],[Jonathan_F]],Spielauswertung!$B638:$E638,0))+X649)</f>
        <v>98.938308797866256</v>
      </c>
      <c r="Y650" s="1">
        <f>IF(IFERROR(MATCH(Tabelle11[[#Headers],[Julius_P]],Spielauswertung!$B638:$E638,0),0)=0,Y649,INDEX(Spielauswertung!$AB638:$AE638,MATCH(Tabelle11[[#Headers],[Julius_P]],Spielauswertung!$B638:$E638,0))+Y649)</f>
        <v>96.540305101873642</v>
      </c>
      <c r="Z650" s="1">
        <f>IF(IFERROR(MATCH(Tabelle11[[#Headers],[Louis_W]],Spielauswertung!$B638:$E638,0),0)=0,Z649,INDEX(Spielauswertung!$AB638:$AE638,MATCH(Tabelle11[[#Headers],[Louis_W]],Spielauswertung!$B638:$E638,0))+Z649)</f>
        <v>87.497452285475362</v>
      </c>
      <c r="AA650" s="1">
        <f>IF(IFERROR(MATCH(Tabelle11[[#Headers],[Lukas_L]],Spielauswertung!$B638:$E638,0),0)=0,AA649,INDEX(Spielauswertung!$AB638:$AE638,MATCH(Tabelle11[[#Headers],[Lukas_L]],Spielauswertung!$B638:$E638,0))+AA649)</f>
        <v>98.447931341404143</v>
      </c>
      <c r="AB650" s="1">
        <f>IF(IFERROR(MATCH(Tabelle11[[#Headers],[Marcin_S]],Spielauswertung!$B638:$E638,0),0)=0,AB649,INDEX(Spielauswertung!$AB638:$AE638,MATCH(Tabelle11[[#Headers],[Marcin_S]],Spielauswertung!$B638:$E638,0))+AB649)</f>
        <v>85.463329105556824</v>
      </c>
      <c r="AC650" s="1">
        <f>IF(IFERROR(MATCH(Tabelle11[[#Headers],[Marco_K]],Spielauswertung!$B638:$E638,0),0)=0,AC649,INDEX(Spielauswertung!$AB638:$AE638,MATCH(Tabelle11[[#Headers],[Marco_K]],Spielauswertung!$B638:$E638,0))+AC649)</f>
        <v>102.12169819441469</v>
      </c>
      <c r="AD650" s="1">
        <f>IF(IFERROR(MATCH(Tabelle11[[#Headers],[Marius_M]],Spielauswertung!$B638:$E638,0),0)=0,AD649,INDEX(Spielauswertung!$AB638:$AE638,MATCH(Tabelle11[[#Headers],[Marius_M]],Spielauswertung!$B638:$E638,0))+AD649)</f>
        <v>124.54012374585781</v>
      </c>
      <c r="AE650" s="1">
        <f>IF(IFERROR(MATCH(Tabelle11[[#Headers],[Marvin_W]],Spielauswertung!$B638:$E638,0),0)=0,AE649,INDEX(Spielauswertung!$AB638:$AE638,MATCH(Tabelle11[[#Headers],[Marvin_W]],Spielauswertung!$B638:$E638,0))+AE649)</f>
        <v>96.700266280577438</v>
      </c>
      <c r="AF650" s="1">
        <f>IF(IFERROR(MATCH(Tabelle11[[#Headers],[Matthias_H]],Spielauswertung!$B638:$E638,0),0)=0,AF649,INDEX(Spielauswertung!$AB638:$AE638,MATCH(Tabelle11[[#Headers],[Matthias_H]],Spielauswertung!$B638:$E638,0))+AF649)</f>
        <v>105.42130178599372</v>
      </c>
      <c r="AG650" s="1">
        <f>IF(IFERROR(MATCH(Tabelle11[[#Headers],[Michael_D]],Spielauswertung!$B638:$E638,0),0)=0,AG649,INDEX(Spielauswertung!$AB638:$AE638,MATCH(Tabelle11[[#Headers],[Michael_D]],Spielauswertung!$B638:$E638,0))+AG649)</f>
        <v>96.436276170375336</v>
      </c>
      <c r="AH650" s="1">
        <f>IF(IFERROR(MATCH(Tabelle11[[#Headers],[Patrick_S]],Spielauswertung!$B638:$E638,0),0)=0,AH649,INDEX(Spielauswertung!$AB638:$AE638,MATCH(Tabelle11[[#Headers],[Patrick_S]],Spielauswertung!$B638:$E638,0))+AH649)</f>
        <v>98.975330692053802</v>
      </c>
      <c r="AI650" s="1">
        <f>IF(IFERROR(MATCH(Tabelle11[[#Headers],[Rano_M]],Spielauswertung!$B638:$E638,0),0)=0,AI649,INDEX(Spielauswertung!$AB638:$AE638,MATCH(Tabelle11[[#Headers],[Rano_M]],Spielauswertung!$B638:$E638,0))+AI649)</f>
        <v>109.38890657420265</v>
      </c>
      <c r="AJ650" s="1">
        <f>IF(IFERROR(MATCH(Tabelle11[[#Headers],[Rene_N]],Spielauswertung!$B638:$E638,0),0)=0,AJ649,INDEX(Spielauswertung!$AB638:$AE638,MATCH(Tabelle11[[#Headers],[Rene_N]],Spielauswertung!$B638:$E638,0))+AJ649)</f>
        <v>101.06482124619033</v>
      </c>
      <c r="AK650" s="1">
        <f>IF(IFERROR(MATCH(Tabelle11[[#Headers],[Rene_P]],Spielauswertung!$B638:$E638,0),0)=0,AK649,INDEX(Spielauswertung!$AB638:$AE638,MATCH(Tabelle11[[#Headers],[Rene_P]],Spielauswertung!$B638:$E638,0))+AK649)</f>
        <v>88.762543186332877</v>
      </c>
      <c r="AL650" s="1">
        <f>IF(IFERROR(MATCH(Tabelle11[[#Headers],[Richard_D]],Spielauswertung!$B638:$E638,0),0)=0,AL649,INDEX(Spielauswertung!$AB638:$AE638,MATCH(Tabelle11[[#Headers],[Richard_D]],Spielauswertung!$B638:$E638,0))+AL649)</f>
        <v>107.23233592026223</v>
      </c>
      <c r="AM650" s="1">
        <f>IF(IFERROR(MATCH(Tabelle11[[#Headers],[Rodrigo_R]],Spielauswertung!$B638:$E638,0),0)=0,AM649,INDEX(Spielauswertung!$AB638:$AE638,MATCH(Tabelle11[[#Headers],[Rodrigo_R]],Spielauswertung!$B638:$E638,0))+AM649)</f>
        <v>116.7028707921346</v>
      </c>
      <c r="AN650" s="1">
        <f>IF(IFERROR(MATCH(Tabelle11[[#Headers],[Sebastian_A]],Spielauswertung!$B638:$E638,0),0)=0,AN649,INDEX(Spielauswertung!$AB638:$AE638,MATCH(Tabelle11[[#Headers],[Sebastian_A]],Spielauswertung!$B638:$E638,0))+AN649)</f>
        <v>102.89457418671324</v>
      </c>
      <c r="AO650" s="1">
        <f>IF(IFERROR(MATCH(Tabelle11[[#Headers],[Sebastian_St]],Spielauswertung!$B638:$E638,0),0)=0,AO649,INDEX(Spielauswertung!$AB638:$AE638,MATCH(Tabelle11[[#Headers],[Sebastian_St]],Spielauswertung!$B638:$E638,0))+AO649)</f>
        <v>97.749574367408982</v>
      </c>
      <c r="AP650" s="1">
        <f>IF(IFERROR(MATCH(Tabelle11[[#Headers],[Simon_U]],Spielauswertung!$B638:$E638,0),0)=0,AP649,INDEX(Spielauswertung!$AB638:$AE638,MATCH(Tabelle11[[#Headers],[Simon_U]],Spielauswertung!$B638:$E638,0))+AP649)</f>
        <v>99.623054841470903</v>
      </c>
      <c r="AQ650" s="1">
        <f>IF(IFERROR(MATCH(Tabelle11[[#Headers],[Steffen_R]],Spielauswertung!$B638:$E638,0),0)=0,AQ649,INDEX(Spielauswertung!$AB638:$AE638,MATCH(Tabelle11[[#Headers],[Steffen_R]],Spielauswertung!$B638:$E638,0))+AQ649)</f>
        <v>93.247497067190949</v>
      </c>
      <c r="AR650" s="1">
        <f>IF(IFERROR(MATCH(Tabelle11[[#Headers],[Tim_R]],Spielauswertung!$B638:$E638,0),0)=0,AR649,INDEX(Spielauswertung!$AB638:$AE638,MATCH(Tabelle11[[#Headers],[Tim_R]],Spielauswertung!$B638:$E638,0))+AR649)</f>
        <v>103.07503787023374</v>
      </c>
      <c r="AS650" s="1">
        <f>IF(IFERROR(MATCH(Tabelle11[[#Headers],[Tobias_S]],Spielauswertung!$B638:$E638,0),0)=0,AS649,INDEX(Spielauswertung!$AB638:$AE638,MATCH(Tabelle11[[#Headers],[Tobias_S]],Spielauswertung!$B638:$E638,0))+AS649)</f>
        <v>98.6003422659997</v>
      </c>
      <c r="AT650" s="1">
        <f>IF(IFERROR(MATCH(Tabelle11[[#Headers],[Tom_R]],Spielauswertung!$B638:$E638,0),0)=0,AT649,INDEX(Spielauswertung!$AB638:$AE638,MATCH(Tabelle11[[#Headers],[Tom_R]],Spielauswertung!$B638:$E638,0))+AT649)</f>
        <v>112.62344492949197</v>
      </c>
      <c r="AU650" s="1">
        <f>IF(IFERROR(MATCH(Tabelle11[[#Headers],[Ton_L]],Spielauswertung!$B638:$E638,0),0)=0,AU649,INDEX(Spielauswertung!$AB638:$AE638,MATCH(Tabelle11[[#Headers],[Ton_L]],Spielauswertung!$B638:$E638,0))+AU649)</f>
        <v>92.683083360025861</v>
      </c>
      <c r="AV650" s="1">
        <f>IF(IFERROR(MATCH(Tabelle11[[#Headers],[Yixin_G]],Spielauswertung!$B638:$E638,0),0)=0,AV649,INDEX(Spielauswertung!$AB638:$AE638,MATCH(Tabelle11[[#Headers],[Yixin_G]],Spielauswertung!$B638:$E638,0))+AV649)</f>
        <v>99.900323214082661</v>
      </c>
      <c r="AW650" s="1">
        <f>IF(IFERROR(MATCH(Tabelle11[[#Headers],[Spalte36]],Spielauswertung!$B638:$E638,0),0)=0,AW649,INDEX(Spielauswertung!$AB638:$AE638,MATCH(Tabelle11[[#Headers],[Spalte36]],Spielauswertung!$B638:$E638,0))+AW649)</f>
        <v>100</v>
      </c>
      <c r="AX650" s="1">
        <f>IF(IFERROR(MATCH(Tabelle11[[#Headers],[Spalte37]],Spielauswertung!$B638:$E638,0),0)=0,AX649,INDEX(Spielauswertung!$AB638:$AE638,MATCH(Tabelle11[[#Headers],[Spalte37]],Spielauswertung!$B638:$E638,0))+AX649)</f>
        <v>100</v>
      </c>
      <c r="AY650" s="1">
        <f>IF(IFERROR(MATCH(Tabelle11[[#Headers],[Spalte38]],Spielauswertung!$B638:$E638,0),0)=0,AY649,INDEX(Spielauswertung!$AB638:$AE638,MATCH(Tabelle11[[#Headers],[Spalte38]],Spielauswertung!$B638:$E638,0))+AY649)</f>
        <v>100</v>
      </c>
      <c r="AZ650" s="1">
        <f>IF(IFERROR(MATCH(Tabelle11[[#Headers],[Spalte39]],Spielauswertung!$B638:$E638,0),0)=0,AZ649,INDEX(Spielauswertung!$AB638:$AE638,MATCH(Tabelle11[[#Headers],[Spalte39]],Spielauswertung!$B638:$E638,0))+AZ649)</f>
        <v>100</v>
      </c>
      <c r="BA650" s="1">
        <f>IF(IFERROR(MATCH(Tabelle11[[#Headers],[Spalte40]],Spielauswertung!$B638:$E638,0),0)=0,BA649,INDEX(Spielauswertung!$AB638:$AE638,MATCH(Tabelle11[[#Headers],[Spalte40]],Spielauswertung!$B638:$E638,0))+BA649)</f>
        <v>100</v>
      </c>
      <c r="BB650" s="1">
        <f>IF(IFERROR(MATCH(Tabelle11[[#Headers],[Spalte41]],Spielauswertung!$B638:$E638,0),0)=0,BB649,INDEX(Spielauswertung!$AB638:$AE638,MATCH(Tabelle11[[#Headers],[Spalte41]],Spielauswertung!$B638:$E638,0))+BB649)</f>
        <v>100</v>
      </c>
      <c r="BC650" s="1">
        <f>IF(IFERROR(MATCH(Tabelle11[[#Headers],[Spalte42]],Spielauswertung!$B638:$E638,0),0)=0,BC649,INDEX(Spielauswertung!$AB638:$AE638,MATCH(Tabelle11[[#Headers],[Spalte42]],Spielauswertung!$B638:$E638,0))+BC649)</f>
        <v>100</v>
      </c>
      <c r="BD650" s="1">
        <f>IF(IFERROR(MATCH(Tabelle11[[#Headers],[Spalte43]],Spielauswertung!$B638:$E638,0),0)=0,BD649,INDEX(Spielauswertung!$AB638:$AE638,MATCH(Tabelle11[[#Headers],[Spalte43]],Spielauswertung!$B638:$E638,0))+BD649)</f>
        <v>100</v>
      </c>
      <c r="BE650" s="1">
        <f>IF(IFERROR(MATCH(Tabelle11[[#Headers],[Spalte44]],Spielauswertung!$B638:$E638,0),0)=0,BE649,INDEX(Spielauswertung!$AB638:$AE638,MATCH(Tabelle11[[#Headers],[Spalte44]],Spielauswertung!$B638:$E638,0))+BE649)</f>
        <v>100</v>
      </c>
      <c r="BF650" s="1">
        <f>IF(IFERROR(MATCH(Tabelle11[[#Headers],[Spalte45]],Spielauswertung!$B638:$E638,0),0)=0,BF649,INDEX(Spielauswertung!$AB638:$AE638,MATCH(Tabelle11[[#Headers],[Spalte45]],Spielauswertung!$B638:$E638,0))+BF649)</f>
        <v>100</v>
      </c>
      <c r="BG650" s="1">
        <f>IF(IFERROR(MATCH(Tabelle11[[#Headers],[Spalte46]],Spielauswertung!$B638:$E638,0),0)=0,BG649,INDEX(Spielauswertung!$AB638:$AE638,MATCH(Tabelle11[[#Headers],[Spalte46]],Spielauswertung!$B638:$E638,0))+BG649)</f>
        <v>100</v>
      </c>
      <c r="BH650" s="1">
        <f>IF(IFERROR(MATCH(Tabelle11[[#Headers],[Spalte47]],Spielauswertung!$B638:$E638,0),0)=0,BH649,INDEX(Spielauswertung!$AB638:$AE638,MATCH(Tabelle11[[#Headers],[Spalte47]],Spielauswertung!$B638:$E638,0))+BH649)</f>
        <v>100</v>
      </c>
    </row>
    <row r="651" spans="1:60" x14ac:dyDescent="0.25">
      <c r="A651">
        <f t="shared" si="10"/>
        <v>638</v>
      </c>
      <c r="B651" s="1">
        <f>IF(IFERROR(MATCH(Tabelle11[[#Headers],[Aleix_V]],Spielauswertung!$B639:$E639,0),0)=0,B650,INDEX(Spielauswertung!$AB639:$AE639,MATCH(Tabelle11[[#Headers],[Aleix_V]],Spielauswertung!$B639:$E639,0))+B650)</f>
        <v>102.47318019444646</v>
      </c>
      <c r="C651" s="1">
        <f>IF(IFERROR(MATCH(Tabelle11[[#Headers],[Andres_H]],Spielauswertung!$B639:$E639,0),0)=0,C650,INDEX(Spielauswertung!$AB639:$AE639,MATCH(Tabelle11[[#Headers],[Andres_H]],Spielauswertung!$B639:$E639,0))+C650)</f>
        <v>95.535732339111306</v>
      </c>
      <c r="D651" s="1">
        <f>IF(IFERROR(MATCH(Tabelle11[[#Headers],[Anton_K]],Spielauswertung!$B639:$E639,0),0)=0,D650,INDEX(Spielauswertung!$AB639:$AE639,MATCH(Tabelle11[[#Headers],[Anton_K]],Spielauswertung!$B639:$E639,0))+D650)</f>
        <v>99.287728777054667</v>
      </c>
      <c r="E651" s="1">
        <f>IF(IFERROR(MATCH(Tabelle11[[#Headers],[Bastian_G]],Spielauswertung!$B639:$E639,0),0)=0,E650,INDEX(Spielauswertung!$AB639:$AE639,MATCH(Tabelle11[[#Headers],[Bastian_G]],Spielauswertung!$B639:$E639,0))+E650)</f>
        <v>117.49978695184252</v>
      </c>
      <c r="F651" s="1">
        <f>IF(IFERROR(MATCH(Tabelle11[[#Headers],[Ben_S]],Spielauswertung!$B639:$E639,0),0)=0,F650,INDEX(Spielauswertung!$AB639:$AE639,MATCH(Tabelle11[[#Headers],[Ben_S]],Spielauswertung!$B639:$E639,0))+F650)</f>
        <v>95.932799101521084</v>
      </c>
      <c r="G651" s="1">
        <f>IF(IFERROR(MATCH(Tabelle11[[#Headers],[Benedikt_K]],Spielauswertung!$B639:$E639,0),0)=0,G650,INDEX(Spielauswertung!$AB639:$AE639,MATCH(Tabelle11[[#Headers],[Benedikt_K]],Spielauswertung!$B639:$E639,0))+G650)</f>
        <v>101.20264176422626</v>
      </c>
      <c r="H651" s="1">
        <f>IF(IFERROR(MATCH(Tabelle11[[#Headers],[Benedikt_R]],Spielauswertung!$B639:$E639,0),0)=0,H650,INDEX(Spielauswertung!$AB639:$AE639,MATCH(Tabelle11[[#Headers],[Benedikt_R]],Spielauswertung!$B639:$E639,0))+H650)</f>
        <v>102.6264770510757</v>
      </c>
      <c r="I651" s="1">
        <f>IF(IFERROR(MATCH(Tabelle11[[#Headers],[Carsten_H]],Spielauswertung!$B639:$E639,0),0)=0,I650,INDEX(Spielauswertung!$AB639:$AE639,MATCH(Tabelle11[[#Headers],[Carsten_H]],Spielauswertung!$B639:$E639,0))+I650)</f>
        <v>90.817185094326874</v>
      </c>
      <c r="J651" s="1">
        <f>IF(IFERROR(MATCH(Tabelle11[[#Headers],[Christoph_R]],Spielauswertung!$B639:$E639,0),0)=0,J650,INDEX(Spielauswertung!$AB639:$AE639,MATCH(Tabelle11[[#Headers],[Christoph_R]],Spielauswertung!$B639:$E639,0))+J650)</f>
        <v>109.73261611443155</v>
      </c>
      <c r="K651" s="1">
        <f>IF(IFERROR(MATCH(Tabelle11[[#Headers],[Claudius_J]],Spielauswertung!$B639:$E639,0),0)=0,K650,INDEX(Spielauswertung!$AB639:$AE639,MATCH(Tabelle11[[#Headers],[Claudius_J]],Spielauswertung!$B639:$E639,0))+K650)</f>
        <v>106.16590636000029</v>
      </c>
      <c r="L651" s="1">
        <f>IF(IFERROR(MATCH(Tabelle11[[#Headers],[Daniel_D]],Spielauswertung!$B639:$E639,0),0)=0,L650,INDEX(Spielauswertung!$AB639:$AE639,MATCH(Tabelle11[[#Headers],[Daniel_D]],Spielauswertung!$B639:$E639,0))+L650)</f>
        <v>99.990299180470089</v>
      </c>
      <c r="M651" s="1">
        <f>IF(IFERROR(MATCH(Tabelle11[[#Headers],[David_R]],Spielauswertung!$B639:$E639,0),0)=0,M650,INDEX(Spielauswertung!$AB639:$AE639,MATCH(Tabelle11[[#Headers],[David_R]],Spielauswertung!$B639:$E639,0))+M650)</f>
        <v>96.715943522481638</v>
      </c>
      <c r="N651" s="1">
        <f>IF(IFERROR(MATCH(Tabelle11[[#Headers],[Dennis_P]],Spielauswertung!$B639:$E639,0),0)=0,N650,INDEX(Spielauswertung!$AB639:$AE639,MATCH(Tabelle11[[#Headers],[Dennis_P]],Spielauswertung!$B639:$E639,0))+N650)</f>
        <v>100.04773223105254</v>
      </c>
      <c r="O651" s="1">
        <f>IF(IFERROR(MATCH(Tabelle11[[#Headers],[Dennis_R]],Spielauswertung!$B639:$E639,0),0)=0,O650,INDEX(Spielauswertung!$AB639:$AE639,MATCH(Tabelle11[[#Headers],[Dennis_R]],Spielauswertung!$B639:$E639,0))+O650)</f>
        <v>75.131680864937195</v>
      </c>
      <c r="P651" s="1">
        <f>IF(IFERROR(MATCH(Tabelle11[[#Headers],[Detlef_R]],Spielauswertung!$B639:$E639,0),0)=0,P650,INDEX(Spielauswertung!$AB639:$AE639,MATCH(Tabelle11[[#Headers],[Detlef_R]],Spielauswertung!$B639:$E639,0))+P650)</f>
        <v>87.984671797367014</v>
      </c>
      <c r="Q651" s="1">
        <f>IF(IFERROR(MATCH(Tabelle11[[#Headers],[Dmitrij_M]],Spielauswertung!$B639:$E639,0),0)=0,Q650,INDEX(Spielauswertung!$AB639:$AE639,MATCH(Tabelle11[[#Headers],[Dmitrij_M]],Spielauswertung!$B639:$E639,0))+Q650)</f>
        <v>100.69975721846207</v>
      </c>
      <c r="R651" s="1">
        <f>IF(IFERROR(MATCH(Tabelle11[[#Headers],[Fabian_M]],Spielauswertung!$B639:$E639,0),0)=0,R650,INDEX(Spielauswertung!$AB639:$AE639,MATCH(Tabelle11[[#Headers],[Fabian_M]],Spielauswertung!$B639:$E639,0))+R650)</f>
        <v>95.805387841610738</v>
      </c>
      <c r="S651" s="1">
        <f>IF(IFERROR(MATCH(Tabelle11[[#Headers],[Hannes_S]],Spielauswertung!$B639:$E639,0),0)=0,S650,INDEX(Spielauswertung!$AB639:$AE639,MATCH(Tabelle11[[#Headers],[Hannes_S]],Spielauswertung!$B639:$E639,0))+S650)</f>
        <v>104.83899184012799</v>
      </c>
      <c r="T651" s="1">
        <f>IF(IFERROR(MATCH(Tabelle11[[#Headers],[Jan_B]],Spielauswertung!$B639:$E639,0),0)=0,T650,INDEX(Spielauswertung!$AB639:$AE639,MATCH(Tabelle11[[#Headers],[Jan_B]],Spielauswertung!$B639:$E639,0))+T650)</f>
        <v>100.2794420429173</v>
      </c>
      <c r="U651" s="1">
        <f>IF(IFERROR(MATCH(Tabelle11[[#Headers],[Jan_Hendrik_B]],Spielauswertung!$B639:$E639,0),0)=0,U650,INDEX(Spielauswertung!$AB639:$AE639,MATCH(Tabelle11[[#Headers],[Jan_Hendrik_B]],Spielauswertung!$B639:$E639,0))+U650)</f>
        <v>100.75492416935522</v>
      </c>
      <c r="V651" s="1">
        <f>IF(IFERROR(MATCH(Tabelle11[[#Headers],[Jens_N]],Spielauswertung!$B639:$E639,0),0)=0,V650,INDEX(Spielauswertung!$AB639:$AE639,MATCH(Tabelle11[[#Headers],[Jens_N]],Spielauswertung!$B639:$E639,0))+V650)</f>
        <v>99.643534710196832</v>
      </c>
      <c r="W651" s="1">
        <f>IF(IFERROR(MATCH(Tabelle11[[#Headers],[Johannes_S]],Spielauswertung!$B639:$E639,0),0)=0,W650,INDEX(Spielauswertung!$AB639:$AE639,MATCH(Tabelle11[[#Headers],[Johannes_S]],Spielauswertung!$B639:$E639,0))+W650)</f>
        <v>102.20284750979505</v>
      </c>
      <c r="X651" s="1">
        <f>IF(IFERROR(MATCH(Tabelle11[[#Headers],[Jonathan_F]],Spielauswertung!$B639:$E639,0),0)=0,X650,INDEX(Spielauswertung!$AB639:$AE639,MATCH(Tabelle11[[#Headers],[Jonathan_F]],Spielauswertung!$B639:$E639,0))+X650)</f>
        <v>98.938308797866256</v>
      </c>
      <c r="Y651" s="1">
        <f>IF(IFERROR(MATCH(Tabelle11[[#Headers],[Julius_P]],Spielauswertung!$B639:$E639,0),0)=0,Y650,INDEX(Spielauswertung!$AB639:$AE639,MATCH(Tabelle11[[#Headers],[Julius_P]],Spielauswertung!$B639:$E639,0))+Y650)</f>
        <v>96.540305101873642</v>
      </c>
      <c r="Z651" s="1">
        <f>IF(IFERROR(MATCH(Tabelle11[[#Headers],[Louis_W]],Spielauswertung!$B639:$E639,0),0)=0,Z650,INDEX(Spielauswertung!$AB639:$AE639,MATCH(Tabelle11[[#Headers],[Louis_W]],Spielauswertung!$B639:$E639,0))+Z650)</f>
        <v>87.497452285475362</v>
      </c>
      <c r="AA651" s="1">
        <f>IF(IFERROR(MATCH(Tabelle11[[#Headers],[Lukas_L]],Spielauswertung!$B639:$E639,0),0)=0,AA650,INDEX(Spielauswertung!$AB639:$AE639,MATCH(Tabelle11[[#Headers],[Lukas_L]],Spielauswertung!$B639:$E639,0))+AA650)</f>
        <v>98.447931341404143</v>
      </c>
      <c r="AB651" s="1">
        <f>IF(IFERROR(MATCH(Tabelle11[[#Headers],[Marcin_S]],Spielauswertung!$B639:$E639,0),0)=0,AB650,INDEX(Spielauswertung!$AB639:$AE639,MATCH(Tabelle11[[#Headers],[Marcin_S]],Spielauswertung!$B639:$E639,0))+AB650)</f>
        <v>85.463329105556824</v>
      </c>
      <c r="AC651" s="1">
        <f>IF(IFERROR(MATCH(Tabelle11[[#Headers],[Marco_K]],Spielauswertung!$B639:$E639,0),0)=0,AC650,INDEX(Spielauswertung!$AB639:$AE639,MATCH(Tabelle11[[#Headers],[Marco_K]],Spielauswertung!$B639:$E639,0))+AC650)</f>
        <v>102.12169819441469</v>
      </c>
      <c r="AD651" s="1">
        <f>IF(IFERROR(MATCH(Tabelle11[[#Headers],[Marius_M]],Spielauswertung!$B639:$E639,0),0)=0,AD650,INDEX(Spielauswertung!$AB639:$AE639,MATCH(Tabelle11[[#Headers],[Marius_M]],Spielauswertung!$B639:$E639,0))+AD650)</f>
        <v>124.54012374585781</v>
      </c>
      <c r="AE651" s="1">
        <f>IF(IFERROR(MATCH(Tabelle11[[#Headers],[Marvin_W]],Spielauswertung!$B639:$E639,0),0)=0,AE650,INDEX(Spielauswertung!$AB639:$AE639,MATCH(Tabelle11[[#Headers],[Marvin_W]],Spielauswertung!$B639:$E639,0))+AE650)</f>
        <v>96.700266280577438</v>
      </c>
      <c r="AF651" s="1">
        <f>IF(IFERROR(MATCH(Tabelle11[[#Headers],[Matthias_H]],Spielauswertung!$B639:$E639,0),0)=0,AF650,INDEX(Spielauswertung!$AB639:$AE639,MATCH(Tabelle11[[#Headers],[Matthias_H]],Spielauswertung!$B639:$E639,0))+AF650)</f>
        <v>105.42130178599372</v>
      </c>
      <c r="AG651" s="1">
        <f>IF(IFERROR(MATCH(Tabelle11[[#Headers],[Michael_D]],Spielauswertung!$B639:$E639,0),0)=0,AG650,INDEX(Spielauswertung!$AB639:$AE639,MATCH(Tabelle11[[#Headers],[Michael_D]],Spielauswertung!$B639:$E639,0))+AG650)</f>
        <v>96.436276170375336</v>
      </c>
      <c r="AH651" s="1">
        <f>IF(IFERROR(MATCH(Tabelle11[[#Headers],[Patrick_S]],Spielauswertung!$B639:$E639,0),0)=0,AH650,INDEX(Spielauswertung!$AB639:$AE639,MATCH(Tabelle11[[#Headers],[Patrick_S]],Spielauswertung!$B639:$E639,0))+AH650)</f>
        <v>98.975330692053802</v>
      </c>
      <c r="AI651" s="1">
        <f>IF(IFERROR(MATCH(Tabelle11[[#Headers],[Rano_M]],Spielauswertung!$B639:$E639,0),0)=0,AI650,INDEX(Spielauswertung!$AB639:$AE639,MATCH(Tabelle11[[#Headers],[Rano_M]],Spielauswertung!$B639:$E639,0))+AI650)</f>
        <v>109.38890657420265</v>
      </c>
      <c r="AJ651" s="1">
        <f>IF(IFERROR(MATCH(Tabelle11[[#Headers],[Rene_N]],Spielauswertung!$B639:$E639,0),0)=0,AJ650,INDEX(Spielauswertung!$AB639:$AE639,MATCH(Tabelle11[[#Headers],[Rene_N]],Spielauswertung!$B639:$E639,0))+AJ650)</f>
        <v>101.06482124619033</v>
      </c>
      <c r="AK651" s="1">
        <f>IF(IFERROR(MATCH(Tabelle11[[#Headers],[Rene_P]],Spielauswertung!$B639:$E639,0),0)=0,AK650,INDEX(Spielauswertung!$AB639:$AE639,MATCH(Tabelle11[[#Headers],[Rene_P]],Spielauswertung!$B639:$E639,0))+AK650)</f>
        <v>88.762543186332877</v>
      </c>
      <c r="AL651" s="1">
        <f>IF(IFERROR(MATCH(Tabelle11[[#Headers],[Richard_D]],Spielauswertung!$B639:$E639,0),0)=0,AL650,INDEX(Spielauswertung!$AB639:$AE639,MATCH(Tabelle11[[#Headers],[Richard_D]],Spielauswertung!$B639:$E639,0))+AL650)</f>
        <v>107.23233592026223</v>
      </c>
      <c r="AM651" s="1">
        <f>IF(IFERROR(MATCH(Tabelle11[[#Headers],[Rodrigo_R]],Spielauswertung!$B639:$E639,0),0)=0,AM650,INDEX(Spielauswertung!$AB639:$AE639,MATCH(Tabelle11[[#Headers],[Rodrigo_R]],Spielauswertung!$B639:$E639,0))+AM650)</f>
        <v>116.7028707921346</v>
      </c>
      <c r="AN651" s="1">
        <f>IF(IFERROR(MATCH(Tabelle11[[#Headers],[Sebastian_A]],Spielauswertung!$B639:$E639,0),0)=0,AN650,INDEX(Spielauswertung!$AB639:$AE639,MATCH(Tabelle11[[#Headers],[Sebastian_A]],Spielauswertung!$B639:$E639,0))+AN650)</f>
        <v>102.89457418671324</v>
      </c>
      <c r="AO651" s="1">
        <f>IF(IFERROR(MATCH(Tabelle11[[#Headers],[Sebastian_St]],Spielauswertung!$B639:$E639,0),0)=0,AO650,INDEX(Spielauswertung!$AB639:$AE639,MATCH(Tabelle11[[#Headers],[Sebastian_St]],Spielauswertung!$B639:$E639,0))+AO650)</f>
        <v>97.749574367408982</v>
      </c>
      <c r="AP651" s="1">
        <f>IF(IFERROR(MATCH(Tabelle11[[#Headers],[Simon_U]],Spielauswertung!$B639:$E639,0),0)=0,AP650,INDEX(Spielauswertung!$AB639:$AE639,MATCH(Tabelle11[[#Headers],[Simon_U]],Spielauswertung!$B639:$E639,0))+AP650)</f>
        <v>99.623054841470903</v>
      </c>
      <c r="AQ651" s="1">
        <f>IF(IFERROR(MATCH(Tabelle11[[#Headers],[Steffen_R]],Spielauswertung!$B639:$E639,0),0)=0,AQ650,INDEX(Spielauswertung!$AB639:$AE639,MATCH(Tabelle11[[#Headers],[Steffen_R]],Spielauswertung!$B639:$E639,0))+AQ650)</f>
        <v>93.247497067190949</v>
      </c>
      <c r="AR651" s="1">
        <f>IF(IFERROR(MATCH(Tabelle11[[#Headers],[Tim_R]],Spielauswertung!$B639:$E639,0),0)=0,AR650,INDEX(Spielauswertung!$AB639:$AE639,MATCH(Tabelle11[[#Headers],[Tim_R]],Spielauswertung!$B639:$E639,0))+AR650)</f>
        <v>103.07503787023374</v>
      </c>
      <c r="AS651" s="1">
        <f>IF(IFERROR(MATCH(Tabelle11[[#Headers],[Tobias_S]],Spielauswertung!$B639:$E639,0),0)=0,AS650,INDEX(Spielauswertung!$AB639:$AE639,MATCH(Tabelle11[[#Headers],[Tobias_S]],Spielauswertung!$B639:$E639,0))+AS650)</f>
        <v>98.6003422659997</v>
      </c>
      <c r="AT651" s="1">
        <f>IF(IFERROR(MATCH(Tabelle11[[#Headers],[Tom_R]],Spielauswertung!$B639:$E639,0),0)=0,AT650,INDEX(Spielauswertung!$AB639:$AE639,MATCH(Tabelle11[[#Headers],[Tom_R]],Spielauswertung!$B639:$E639,0))+AT650)</f>
        <v>112.62344492949197</v>
      </c>
      <c r="AU651" s="1">
        <f>IF(IFERROR(MATCH(Tabelle11[[#Headers],[Ton_L]],Spielauswertung!$B639:$E639,0),0)=0,AU650,INDEX(Spielauswertung!$AB639:$AE639,MATCH(Tabelle11[[#Headers],[Ton_L]],Spielauswertung!$B639:$E639,0))+AU650)</f>
        <v>92.683083360025861</v>
      </c>
      <c r="AV651" s="1">
        <f>IF(IFERROR(MATCH(Tabelle11[[#Headers],[Yixin_G]],Spielauswertung!$B639:$E639,0),0)=0,AV650,INDEX(Spielauswertung!$AB639:$AE639,MATCH(Tabelle11[[#Headers],[Yixin_G]],Spielauswertung!$B639:$E639,0))+AV650)</f>
        <v>99.900323214082661</v>
      </c>
      <c r="AW651" s="1">
        <f>IF(IFERROR(MATCH(Tabelle11[[#Headers],[Spalte36]],Spielauswertung!$B639:$E639,0),0)=0,AW650,INDEX(Spielauswertung!$AB639:$AE639,MATCH(Tabelle11[[#Headers],[Spalte36]],Spielauswertung!$B639:$E639,0))+AW650)</f>
        <v>100</v>
      </c>
      <c r="AX651" s="1">
        <f>IF(IFERROR(MATCH(Tabelle11[[#Headers],[Spalte37]],Spielauswertung!$B639:$E639,0),0)=0,AX650,INDEX(Spielauswertung!$AB639:$AE639,MATCH(Tabelle11[[#Headers],[Spalte37]],Spielauswertung!$B639:$E639,0))+AX650)</f>
        <v>100</v>
      </c>
      <c r="AY651" s="1">
        <f>IF(IFERROR(MATCH(Tabelle11[[#Headers],[Spalte38]],Spielauswertung!$B639:$E639,0),0)=0,AY650,INDEX(Spielauswertung!$AB639:$AE639,MATCH(Tabelle11[[#Headers],[Spalte38]],Spielauswertung!$B639:$E639,0))+AY650)</f>
        <v>100</v>
      </c>
      <c r="AZ651" s="1">
        <f>IF(IFERROR(MATCH(Tabelle11[[#Headers],[Spalte39]],Spielauswertung!$B639:$E639,0),0)=0,AZ650,INDEX(Spielauswertung!$AB639:$AE639,MATCH(Tabelle11[[#Headers],[Spalte39]],Spielauswertung!$B639:$E639,0))+AZ650)</f>
        <v>100</v>
      </c>
      <c r="BA651" s="1">
        <f>IF(IFERROR(MATCH(Tabelle11[[#Headers],[Spalte40]],Spielauswertung!$B639:$E639,0),0)=0,BA650,INDEX(Spielauswertung!$AB639:$AE639,MATCH(Tabelle11[[#Headers],[Spalte40]],Spielauswertung!$B639:$E639,0))+BA650)</f>
        <v>100</v>
      </c>
      <c r="BB651" s="1">
        <f>IF(IFERROR(MATCH(Tabelle11[[#Headers],[Spalte41]],Spielauswertung!$B639:$E639,0),0)=0,BB650,INDEX(Spielauswertung!$AB639:$AE639,MATCH(Tabelle11[[#Headers],[Spalte41]],Spielauswertung!$B639:$E639,0))+BB650)</f>
        <v>100</v>
      </c>
      <c r="BC651" s="1">
        <f>IF(IFERROR(MATCH(Tabelle11[[#Headers],[Spalte42]],Spielauswertung!$B639:$E639,0),0)=0,BC650,INDEX(Spielauswertung!$AB639:$AE639,MATCH(Tabelle11[[#Headers],[Spalte42]],Spielauswertung!$B639:$E639,0))+BC650)</f>
        <v>100</v>
      </c>
      <c r="BD651" s="1">
        <f>IF(IFERROR(MATCH(Tabelle11[[#Headers],[Spalte43]],Spielauswertung!$B639:$E639,0),0)=0,BD650,INDEX(Spielauswertung!$AB639:$AE639,MATCH(Tabelle11[[#Headers],[Spalte43]],Spielauswertung!$B639:$E639,0))+BD650)</f>
        <v>100</v>
      </c>
      <c r="BE651" s="1">
        <f>IF(IFERROR(MATCH(Tabelle11[[#Headers],[Spalte44]],Spielauswertung!$B639:$E639,0),0)=0,BE650,INDEX(Spielauswertung!$AB639:$AE639,MATCH(Tabelle11[[#Headers],[Spalte44]],Spielauswertung!$B639:$E639,0))+BE650)</f>
        <v>100</v>
      </c>
      <c r="BF651" s="1">
        <f>IF(IFERROR(MATCH(Tabelle11[[#Headers],[Spalte45]],Spielauswertung!$B639:$E639,0),0)=0,BF650,INDEX(Spielauswertung!$AB639:$AE639,MATCH(Tabelle11[[#Headers],[Spalte45]],Spielauswertung!$B639:$E639,0))+BF650)</f>
        <v>100</v>
      </c>
      <c r="BG651" s="1">
        <f>IF(IFERROR(MATCH(Tabelle11[[#Headers],[Spalte46]],Spielauswertung!$B639:$E639,0),0)=0,BG650,INDEX(Spielauswertung!$AB639:$AE639,MATCH(Tabelle11[[#Headers],[Spalte46]],Spielauswertung!$B639:$E639,0))+BG650)</f>
        <v>100</v>
      </c>
      <c r="BH651" s="1">
        <f>IF(IFERROR(MATCH(Tabelle11[[#Headers],[Spalte47]],Spielauswertung!$B639:$E639,0),0)=0,BH650,INDEX(Spielauswertung!$AB639:$AE639,MATCH(Tabelle11[[#Headers],[Spalte47]],Spielauswertung!$B639:$E639,0))+BH650)</f>
        <v>100</v>
      </c>
    </row>
    <row r="652" spans="1:60" x14ac:dyDescent="0.25">
      <c r="A652">
        <f t="shared" si="10"/>
        <v>639</v>
      </c>
      <c r="B652" s="1">
        <f>IF(IFERROR(MATCH(Tabelle11[[#Headers],[Aleix_V]],Spielauswertung!$B640:$E640,0),0)=0,B651,INDEX(Spielauswertung!$AB640:$AE640,MATCH(Tabelle11[[#Headers],[Aleix_V]],Spielauswertung!$B640:$E640,0))+B651)</f>
        <v>102.47318019444646</v>
      </c>
      <c r="C652" s="1">
        <f>IF(IFERROR(MATCH(Tabelle11[[#Headers],[Andres_H]],Spielauswertung!$B640:$E640,0),0)=0,C651,INDEX(Spielauswertung!$AB640:$AE640,MATCH(Tabelle11[[#Headers],[Andres_H]],Spielauswertung!$B640:$E640,0))+C651)</f>
        <v>95.535732339111306</v>
      </c>
      <c r="D652" s="1">
        <f>IF(IFERROR(MATCH(Tabelle11[[#Headers],[Anton_K]],Spielauswertung!$B640:$E640,0),0)=0,D651,INDEX(Spielauswertung!$AB640:$AE640,MATCH(Tabelle11[[#Headers],[Anton_K]],Spielauswertung!$B640:$E640,0))+D651)</f>
        <v>99.287728777054667</v>
      </c>
      <c r="E652" s="1">
        <f>IF(IFERROR(MATCH(Tabelle11[[#Headers],[Bastian_G]],Spielauswertung!$B640:$E640,0),0)=0,E651,INDEX(Spielauswertung!$AB640:$AE640,MATCH(Tabelle11[[#Headers],[Bastian_G]],Spielauswertung!$B640:$E640,0))+E651)</f>
        <v>117.49978695184252</v>
      </c>
      <c r="F652" s="1">
        <f>IF(IFERROR(MATCH(Tabelle11[[#Headers],[Ben_S]],Spielauswertung!$B640:$E640,0),0)=0,F651,INDEX(Spielauswertung!$AB640:$AE640,MATCH(Tabelle11[[#Headers],[Ben_S]],Spielauswertung!$B640:$E640,0))+F651)</f>
        <v>95.932799101521084</v>
      </c>
      <c r="G652" s="1">
        <f>IF(IFERROR(MATCH(Tabelle11[[#Headers],[Benedikt_K]],Spielauswertung!$B640:$E640,0),0)=0,G651,INDEX(Spielauswertung!$AB640:$AE640,MATCH(Tabelle11[[#Headers],[Benedikt_K]],Spielauswertung!$B640:$E640,0))+G651)</f>
        <v>101.20264176422626</v>
      </c>
      <c r="H652" s="1">
        <f>IF(IFERROR(MATCH(Tabelle11[[#Headers],[Benedikt_R]],Spielauswertung!$B640:$E640,0),0)=0,H651,INDEX(Spielauswertung!$AB640:$AE640,MATCH(Tabelle11[[#Headers],[Benedikt_R]],Spielauswertung!$B640:$E640,0))+H651)</f>
        <v>102.6264770510757</v>
      </c>
      <c r="I652" s="1">
        <f>IF(IFERROR(MATCH(Tabelle11[[#Headers],[Carsten_H]],Spielauswertung!$B640:$E640,0),0)=0,I651,INDEX(Spielauswertung!$AB640:$AE640,MATCH(Tabelle11[[#Headers],[Carsten_H]],Spielauswertung!$B640:$E640,0))+I651)</f>
        <v>90.817185094326874</v>
      </c>
      <c r="J652" s="1">
        <f>IF(IFERROR(MATCH(Tabelle11[[#Headers],[Christoph_R]],Spielauswertung!$B640:$E640,0),0)=0,J651,INDEX(Spielauswertung!$AB640:$AE640,MATCH(Tabelle11[[#Headers],[Christoph_R]],Spielauswertung!$B640:$E640,0))+J651)</f>
        <v>109.73261611443155</v>
      </c>
      <c r="K652" s="1">
        <f>IF(IFERROR(MATCH(Tabelle11[[#Headers],[Claudius_J]],Spielauswertung!$B640:$E640,0),0)=0,K651,INDEX(Spielauswertung!$AB640:$AE640,MATCH(Tabelle11[[#Headers],[Claudius_J]],Spielauswertung!$B640:$E640,0))+K651)</f>
        <v>106.16590636000029</v>
      </c>
      <c r="L652" s="1">
        <f>IF(IFERROR(MATCH(Tabelle11[[#Headers],[Daniel_D]],Spielauswertung!$B640:$E640,0),0)=0,L651,INDEX(Spielauswertung!$AB640:$AE640,MATCH(Tabelle11[[#Headers],[Daniel_D]],Spielauswertung!$B640:$E640,0))+L651)</f>
        <v>99.990299180470089</v>
      </c>
      <c r="M652" s="1">
        <f>IF(IFERROR(MATCH(Tabelle11[[#Headers],[David_R]],Spielauswertung!$B640:$E640,0),0)=0,M651,INDEX(Spielauswertung!$AB640:$AE640,MATCH(Tabelle11[[#Headers],[David_R]],Spielauswertung!$B640:$E640,0))+M651)</f>
        <v>96.715943522481638</v>
      </c>
      <c r="N652" s="1">
        <f>IF(IFERROR(MATCH(Tabelle11[[#Headers],[Dennis_P]],Spielauswertung!$B640:$E640,0),0)=0,N651,INDEX(Spielauswertung!$AB640:$AE640,MATCH(Tabelle11[[#Headers],[Dennis_P]],Spielauswertung!$B640:$E640,0))+N651)</f>
        <v>100.04773223105254</v>
      </c>
      <c r="O652" s="1">
        <f>IF(IFERROR(MATCH(Tabelle11[[#Headers],[Dennis_R]],Spielauswertung!$B640:$E640,0),0)=0,O651,INDEX(Spielauswertung!$AB640:$AE640,MATCH(Tabelle11[[#Headers],[Dennis_R]],Spielauswertung!$B640:$E640,0))+O651)</f>
        <v>75.131680864937195</v>
      </c>
      <c r="P652" s="1">
        <f>IF(IFERROR(MATCH(Tabelle11[[#Headers],[Detlef_R]],Spielauswertung!$B640:$E640,0),0)=0,P651,INDEX(Spielauswertung!$AB640:$AE640,MATCH(Tabelle11[[#Headers],[Detlef_R]],Spielauswertung!$B640:$E640,0))+P651)</f>
        <v>87.984671797367014</v>
      </c>
      <c r="Q652" s="1">
        <f>IF(IFERROR(MATCH(Tabelle11[[#Headers],[Dmitrij_M]],Spielauswertung!$B640:$E640,0),0)=0,Q651,INDEX(Spielauswertung!$AB640:$AE640,MATCH(Tabelle11[[#Headers],[Dmitrij_M]],Spielauswertung!$B640:$E640,0))+Q651)</f>
        <v>100.69975721846207</v>
      </c>
      <c r="R652" s="1">
        <f>IF(IFERROR(MATCH(Tabelle11[[#Headers],[Fabian_M]],Spielauswertung!$B640:$E640,0),0)=0,R651,INDEX(Spielauswertung!$AB640:$AE640,MATCH(Tabelle11[[#Headers],[Fabian_M]],Spielauswertung!$B640:$E640,0))+R651)</f>
        <v>95.805387841610738</v>
      </c>
      <c r="S652" s="1">
        <f>IF(IFERROR(MATCH(Tabelle11[[#Headers],[Hannes_S]],Spielauswertung!$B640:$E640,0),0)=0,S651,INDEX(Spielauswertung!$AB640:$AE640,MATCH(Tabelle11[[#Headers],[Hannes_S]],Spielauswertung!$B640:$E640,0))+S651)</f>
        <v>104.83899184012799</v>
      </c>
      <c r="T652" s="1">
        <f>IF(IFERROR(MATCH(Tabelle11[[#Headers],[Jan_B]],Spielauswertung!$B640:$E640,0),0)=0,T651,INDEX(Spielauswertung!$AB640:$AE640,MATCH(Tabelle11[[#Headers],[Jan_B]],Spielauswertung!$B640:$E640,0))+T651)</f>
        <v>100.2794420429173</v>
      </c>
      <c r="U652" s="1">
        <f>IF(IFERROR(MATCH(Tabelle11[[#Headers],[Jan_Hendrik_B]],Spielauswertung!$B640:$E640,0),0)=0,U651,INDEX(Spielauswertung!$AB640:$AE640,MATCH(Tabelle11[[#Headers],[Jan_Hendrik_B]],Spielauswertung!$B640:$E640,0))+U651)</f>
        <v>100.75492416935522</v>
      </c>
      <c r="V652" s="1">
        <f>IF(IFERROR(MATCH(Tabelle11[[#Headers],[Jens_N]],Spielauswertung!$B640:$E640,0),0)=0,V651,INDEX(Spielauswertung!$AB640:$AE640,MATCH(Tabelle11[[#Headers],[Jens_N]],Spielauswertung!$B640:$E640,0))+V651)</f>
        <v>99.643534710196832</v>
      </c>
      <c r="W652" s="1">
        <f>IF(IFERROR(MATCH(Tabelle11[[#Headers],[Johannes_S]],Spielauswertung!$B640:$E640,0),0)=0,W651,INDEX(Spielauswertung!$AB640:$AE640,MATCH(Tabelle11[[#Headers],[Johannes_S]],Spielauswertung!$B640:$E640,0))+W651)</f>
        <v>102.20284750979505</v>
      </c>
      <c r="X652" s="1">
        <f>IF(IFERROR(MATCH(Tabelle11[[#Headers],[Jonathan_F]],Spielauswertung!$B640:$E640,0),0)=0,X651,INDEX(Spielauswertung!$AB640:$AE640,MATCH(Tabelle11[[#Headers],[Jonathan_F]],Spielauswertung!$B640:$E640,0))+X651)</f>
        <v>98.938308797866256</v>
      </c>
      <c r="Y652" s="1">
        <f>IF(IFERROR(MATCH(Tabelle11[[#Headers],[Julius_P]],Spielauswertung!$B640:$E640,0),0)=0,Y651,INDEX(Spielauswertung!$AB640:$AE640,MATCH(Tabelle11[[#Headers],[Julius_P]],Spielauswertung!$B640:$E640,0))+Y651)</f>
        <v>96.540305101873642</v>
      </c>
      <c r="Z652" s="1">
        <f>IF(IFERROR(MATCH(Tabelle11[[#Headers],[Louis_W]],Spielauswertung!$B640:$E640,0),0)=0,Z651,INDEX(Spielauswertung!$AB640:$AE640,MATCH(Tabelle11[[#Headers],[Louis_W]],Spielauswertung!$B640:$E640,0))+Z651)</f>
        <v>87.497452285475362</v>
      </c>
      <c r="AA652" s="1">
        <f>IF(IFERROR(MATCH(Tabelle11[[#Headers],[Lukas_L]],Spielauswertung!$B640:$E640,0),0)=0,AA651,INDEX(Spielauswertung!$AB640:$AE640,MATCH(Tabelle11[[#Headers],[Lukas_L]],Spielauswertung!$B640:$E640,0))+AA651)</f>
        <v>98.447931341404143</v>
      </c>
      <c r="AB652" s="1">
        <f>IF(IFERROR(MATCH(Tabelle11[[#Headers],[Marcin_S]],Spielauswertung!$B640:$E640,0),0)=0,AB651,INDEX(Spielauswertung!$AB640:$AE640,MATCH(Tabelle11[[#Headers],[Marcin_S]],Spielauswertung!$B640:$E640,0))+AB651)</f>
        <v>85.463329105556824</v>
      </c>
      <c r="AC652" s="1">
        <f>IF(IFERROR(MATCH(Tabelle11[[#Headers],[Marco_K]],Spielauswertung!$B640:$E640,0),0)=0,AC651,INDEX(Spielauswertung!$AB640:$AE640,MATCH(Tabelle11[[#Headers],[Marco_K]],Spielauswertung!$B640:$E640,0))+AC651)</f>
        <v>102.12169819441469</v>
      </c>
      <c r="AD652" s="1">
        <f>IF(IFERROR(MATCH(Tabelle11[[#Headers],[Marius_M]],Spielauswertung!$B640:$E640,0),0)=0,AD651,INDEX(Spielauswertung!$AB640:$AE640,MATCH(Tabelle11[[#Headers],[Marius_M]],Spielauswertung!$B640:$E640,0))+AD651)</f>
        <v>124.54012374585781</v>
      </c>
      <c r="AE652" s="1">
        <f>IF(IFERROR(MATCH(Tabelle11[[#Headers],[Marvin_W]],Spielauswertung!$B640:$E640,0),0)=0,AE651,INDEX(Spielauswertung!$AB640:$AE640,MATCH(Tabelle11[[#Headers],[Marvin_W]],Spielauswertung!$B640:$E640,0))+AE651)</f>
        <v>96.700266280577438</v>
      </c>
      <c r="AF652" s="1">
        <f>IF(IFERROR(MATCH(Tabelle11[[#Headers],[Matthias_H]],Spielauswertung!$B640:$E640,0),0)=0,AF651,INDEX(Spielauswertung!$AB640:$AE640,MATCH(Tabelle11[[#Headers],[Matthias_H]],Spielauswertung!$B640:$E640,0))+AF651)</f>
        <v>105.42130178599372</v>
      </c>
      <c r="AG652" s="1">
        <f>IF(IFERROR(MATCH(Tabelle11[[#Headers],[Michael_D]],Spielauswertung!$B640:$E640,0),0)=0,AG651,INDEX(Spielauswertung!$AB640:$AE640,MATCH(Tabelle11[[#Headers],[Michael_D]],Spielauswertung!$B640:$E640,0))+AG651)</f>
        <v>96.436276170375336</v>
      </c>
      <c r="AH652" s="1">
        <f>IF(IFERROR(MATCH(Tabelle11[[#Headers],[Patrick_S]],Spielauswertung!$B640:$E640,0),0)=0,AH651,INDEX(Spielauswertung!$AB640:$AE640,MATCH(Tabelle11[[#Headers],[Patrick_S]],Spielauswertung!$B640:$E640,0))+AH651)</f>
        <v>98.975330692053802</v>
      </c>
      <c r="AI652" s="1">
        <f>IF(IFERROR(MATCH(Tabelle11[[#Headers],[Rano_M]],Spielauswertung!$B640:$E640,0),0)=0,AI651,INDEX(Spielauswertung!$AB640:$AE640,MATCH(Tabelle11[[#Headers],[Rano_M]],Spielauswertung!$B640:$E640,0))+AI651)</f>
        <v>109.38890657420265</v>
      </c>
      <c r="AJ652" s="1">
        <f>IF(IFERROR(MATCH(Tabelle11[[#Headers],[Rene_N]],Spielauswertung!$B640:$E640,0),0)=0,AJ651,INDEX(Spielauswertung!$AB640:$AE640,MATCH(Tabelle11[[#Headers],[Rene_N]],Spielauswertung!$B640:$E640,0))+AJ651)</f>
        <v>101.06482124619033</v>
      </c>
      <c r="AK652" s="1">
        <f>IF(IFERROR(MATCH(Tabelle11[[#Headers],[Rene_P]],Spielauswertung!$B640:$E640,0),0)=0,AK651,INDEX(Spielauswertung!$AB640:$AE640,MATCH(Tabelle11[[#Headers],[Rene_P]],Spielauswertung!$B640:$E640,0))+AK651)</f>
        <v>88.762543186332877</v>
      </c>
      <c r="AL652" s="1">
        <f>IF(IFERROR(MATCH(Tabelle11[[#Headers],[Richard_D]],Spielauswertung!$B640:$E640,0),0)=0,AL651,INDEX(Spielauswertung!$AB640:$AE640,MATCH(Tabelle11[[#Headers],[Richard_D]],Spielauswertung!$B640:$E640,0))+AL651)</f>
        <v>107.23233592026223</v>
      </c>
      <c r="AM652" s="1">
        <f>IF(IFERROR(MATCH(Tabelle11[[#Headers],[Rodrigo_R]],Spielauswertung!$B640:$E640,0),0)=0,AM651,INDEX(Spielauswertung!$AB640:$AE640,MATCH(Tabelle11[[#Headers],[Rodrigo_R]],Spielauswertung!$B640:$E640,0))+AM651)</f>
        <v>116.7028707921346</v>
      </c>
      <c r="AN652" s="1">
        <f>IF(IFERROR(MATCH(Tabelle11[[#Headers],[Sebastian_A]],Spielauswertung!$B640:$E640,0),0)=0,AN651,INDEX(Spielauswertung!$AB640:$AE640,MATCH(Tabelle11[[#Headers],[Sebastian_A]],Spielauswertung!$B640:$E640,0))+AN651)</f>
        <v>102.89457418671324</v>
      </c>
      <c r="AO652" s="1">
        <f>IF(IFERROR(MATCH(Tabelle11[[#Headers],[Sebastian_St]],Spielauswertung!$B640:$E640,0),0)=0,AO651,INDEX(Spielauswertung!$AB640:$AE640,MATCH(Tabelle11[[#Headers],[Sebastian_St]],Spielauswertung!$B640:$E640,0))+AO651)</f>
        <v>97.749574367408982</v>
      </c>
      <c r="AP652" s="1">
        <f>IF(IFERROR(MATCH(Tabelle11[[#Headers],[Simon_U]],Spielauswertung!$B640:$E640,0),0)=0,AP651,INDEX(Spielauswertung!$AB640:$AE640,MATCH(Tabelle11[[#Headers],[Simon_U]],Spielauswertung!$B640:$E640,0))+AP651)</f>
        <v>99.623054841470903</v>
      </c>
      <c r="AQ652" s="1">
        <f>IF(IFERROR(MATCH(Tabelle11[[#Headers],[Steffen_R]],Spielauswertung!$B640:$E640,0),0)=0,AQ651,INDEX(Spielauswertung!$AB640:$AE640,MATCH(Tabelle11[[#Headers],[Steffen_R]],Spielauswertung!$B640:$E640,0))+AQ651)</f>
        <v>93.247497067190949</v>
      </c>
      <c r="AR652" s="1">
        <f>IF(IFERROR(MATCH(Tabelle11[[#Headers],[Tim_R]],Spielauswertung!$B640:$E640,0),0)=0,AR651,INDEX(Spielauswertung!$AB640:$AE640,MATCH(Tabelle11[[#Headers],[Tim_R]],Spielauswertung!$B640:$E640,0))+AR651)</f>
        <v>103.07503787023374</v>
      </c>
      <c r="AS652" s="1">
        <f>IF(IFERROR(MATCH(Tabelle11[[#Headers],[Tobias_S]],Spielauswertung!$B640:$E640,0),0)=0,AS651,INDEX(Spielauswertung!$AB640:$AE640,MATCH(Tabelle11[[#Headers],[Tobias_S]],Spielauswertung!$B640:$E640,0))+AS651)</f>
        <v>98.6003422659997</v>
      </c>
      <c r="AT652" s="1">
        <f>IF(IFERROR(MATCH(Tabelle11[[#Headers],[Tom_R]],Spielauswertung!$B640:$E640,0),0)=0,AT651,INDEX(Spielauswertung!$AB640:$AE640,MATCH(Tabelle11[[#Headers],[Tom_R]],Spielauswertung!$B640:$E640,0))+AT651)</f>
        <v>112.62344492949197</v>
      </c>
      <c r="AU652" s="1">
        <f>IF(IFERROR(MATCH(Tabelle11[[#Headers],[Ton_L]],Spielauswertung!$B640:$E640,0),0)=0,AU651,INDEX(Spielauswertung!$AB640:$AE640,MATCH(Tabelle11[[#Headers],[Ton_L]],Spielauswertung!$B640:$E640,0))+AU651)</f>
        <v>92.683083360025861</v>
      </c>
      <c r="AV652" s="1">
        <f>IF(IFERROR(MATCH(Tabelle11[[#Headers],[Yixin_G]],Spielauswertung!$B640:$E640,0),0)=0,AV651,INDEX(Spielauswertung!$AB640:$AE640,MATCH(Tabelle11[[#Headers],[Yixin_G]],Spielauswertung!$B640:$E640,0))+AV651)</f>
        <v>99.900323214082661</v>
      </c>
      <c r="AW652" s="1">
        <f>IF(IFERROR(MATCH(Tabelle11[[#Headers],[Spalte36]],Spielauswertung!$B640:$E640,0),0)=0,AW651,INDEX(Spielauswertung!$AB640:$AE640,MATCH(Tabelle11[[#Headers],[Spalte36]],Spielauswertung!$B640:$E640,0))+AW651)</f>
        <v>100</v>
      </c>
      <c r="AX652" s="1">
        <f>IF(IFERROR(MATCH(Tabelle11[[#Headers],[Spalte37]],Spielauswertung!$B640:$E640,0),0)=0,AX651,INDEX(Spielauswertung!$AB640:$AE640,MATCH(Tabelle11[[#Headers],[Spalte37]],Spielauswertung!$B640:$E640,0))+AX651)</f>
        <v>100</v>
      </c>
      <c r="AY652" s="1">
        <f>IF(IFERROR(MATCH(Tabelle11[[#Headers],[Spalte38]],Spielauswertung!$B640:$E640,0),0)=0,AY651,INDEX(Spielauswertung!$AB640:$AE640,MATCH(Tabelle11[[#Headers],[Spalte38]],Spielauswertung!$B640:$E640,0))+AY651)</f>
        <v>100</v>
      </c>
      <c r="AZ652" s="1">
        <f>IF(IFERROR(MATCH(Tabelle11[[#Headers],[Spalte39]],Spielauswertung!$B640:$E640,0),0)=0,AZ651,INDEX(Spielauswertung!$AB640:$AE640,MATCH(Tabelle11[[#Headers],[Spalte39]],Spielauswertung!$B640:$E640,0))+AZ651)</f>
        <v>100</v>
      </c>
      <c r="BA652" s="1">
        <f>IF(IFERROR(MATCH(Tabelle11[[#Headers],[Spalte40]],Spielauswertung!$B640:$E640,0),0)=0,BA651,INDEX(Spielauswertung!$AB640:$AE640,MATCH(Tabelle11[[#Headers],[Spalte40]],Spielauswertung!$B640:$E640,0))+BA651)</f>
        <v>100</v>
      </c>
      <c r="BB652" s="1">
        <f>IF(IFERROR(MATCH(Tabelle11[[#Headers],[Spalte41]],Spielauswertung!$B640:$E640,0),0)=0,BB651,INDEX(Spielauswertung!$AB640:$AE640,MATCH(Tabelle11[[#Headers],[Spalte41]],Spielauswertung!$B640:$E640,0))+BB651)</f>
        <v>100</v>
      </c>
      <c r="BC652" s="1">
        <f>IF(IFERROR(MATCH(Tabelle11[[#Headers],[Spalte42]],Spielauswertung!$B640:$E640,0),0)=0,BC651,INDEX(Spielauswertung!$AB640:$AE640,MATCH(Tabelle11[[#Headers],[Spalte42]],Spielauswertung!$B640:$E640,0))+BC651)</f>
        <v>100</v>
      </c>
      <c r="BD652" s="1">
        <f>IF(IFERROR(MATCH(Tabelle11[[#Headers],[Spalte43]],Spielauswertung!$B640:$E640,0),0)=0,BD651,INDEX(Spielauswertung!$AB640:$AE640,MATCH(Tabelle11[[#Headers],[Spalte43]],Spielauswertung!$B640:$E640,0))+BD651)</f>
        <v>100</v>
      </c>
      <c r="BE652" s="1">
        <f>IF(IFERROR(MATCH(Tabelle11[[#Headers],[Spalte44]],Spielauswertung!$B640:$E640,0),0)=0,BE651,INDEX(Spielauswertung!$AB640:$AE640,MATCH(Tabelle11[[#Headers],[Spalte44]],Spielauswertung!$B640:$E640,0))+BE651)</f>
        <v>100</v>
      </c>
      <c r="BF652" s="1">
        <f>IF(IFERROR(MATCH(Tabelle11[[#Headers],[Spalte45]],Spielauswertung!$B640:$E640,0),0)=0,BF651,INDEX(Spielauswertung!$AB640:$AE640,MATCH(Tabelle11[[#Headers],[Spalte45]],Spielauswertung!$B640:$E640,0))+BF651)</f>
        <v>100</v>
      </c>
      <c r="BG652" s="1">
        <f>IF(IFERROR(MATCH(Tabelle11[[#Headers],[Spalte46]],Spielauswertung!$B640:$E640,0),0)=0,BG651,INDEX(Spielauswertung!$AB640:$AE640,MATCH(Tabelle11[[#Headers],[Spalte46]],Spielauswertung!$B640:$E640,0))+BG651)</f>
        <v>100</v>
      </c>
      <c r="BH652" s="1">
        <f>IF(IFERROR(MATCH(Tabelle11[[#Headers],[Spalte47]],Spielauswertung!$B640:$E640,0),0)=0,BH651,INDEX(Spielauswertung!$AB640:$AE640,MATCH(Tabelle11[[#Headers],[Spalte47]],Spielauswertung!$B640:$E640,0))+BH651)</f>
        <v>100</v>
      </c>
    </row>
    <row r="653" spans="1:60" x14ac:dyDescent="0.25">
      <c r="A653">
        <f t="shared" si="10"/>
        <v>640</v>
      </c>
      <c r="B653" s="1">
        <f>IF(IFERROR(MATCH(Tabelle11[[#Headers],[Aleix_V]],Spielauswertung!$B641:$E641,0),0)=0,B652,INDEX(Spielauswertung!$AB641:$AE641,MATCH(Tabelle11[[#Headers],[Aleix_V]],Spielauswertung!$B641:$E641,0))+B652)</f>
        <v>102.47318019444646</v>
      </c>
      <c r="C653" s="1">
        <f>IF(IFERROR(MATCH(Tabelle11[[#Headers],[Andres_H]],Spielauswertung!$B641:$E641,0),0)=0,C652,INDEX(Spielauswertung!$AB641:$AE641,MATCH(Tabelle11[[#Headers],[Andres_H]],Spielauswertung!$B641:$E641,0))+C652)</f>
        <v>95.535732339111306</v>
      </c>
      <c r="D653" s="1">
        <f>IF(IFERROR(MATCH(Tabelle11[[#Headers],[Anton_K]],Spielauswertung!$B641:$E641,0),0)=0,D652,INDEX(Spielauswertung!$AB641:$AE641,MATCH(Tabelle11[[#Headers],[Anton_K]],Spielauswertung!$B641:$E641,0))+D652)</f>
        <v>99.287728777054667</v>
      </c>
      <c r="E653" s="1">
        <f>IF(IFERROR(MATCH(Tabelle11[[#Headers],[Bastian_G]],Spielauswertung!$B641:$E641,0),0)=0,E652,INDEX(Spielauswertung!$AB641:$AE641,MATCH(Tabelle11[[#Headers],[Bastian_G]],Spielauswertung!$B641:$E641,0))+E652)</f>
        <v>117.49978695184252</v>
      </c>
      <c r="F653" s="1">
        <f>IF(IFERROR(MATCH(Tabelle11[[#Headers],[Ben_S]],Spielauswertung!$B641:$E641,0),0)=0,F652,INDEX(Spielauswertung!$AB641:$AE641,MATCH(Tabelle11[[#Headers],[Ben_S]],Spielauswertung!$B641:$E641,0))+F652)</f>
        <v>95.932799101521084</v>
      </c>
      <c r="G653" s="1">
        <f>IF(IFERROR(MATCH(Tabelle11[[#Headers],[Benedikt_K]],Spielauswertung!$B641:$E641,0),0)=0,G652,INDEX(Spielauswertung!$AB641:$AE641,MATCH(Tabelle11[[#Headers],[Benedikt_K]],Spielauswertung!$B641:$E641,0))+G652)</f>
        <v>101.20264176422626</v>
      </c>
      <c r="H653" s="1">
        <f>IF(IFERROR(MATCH(Tabelle11[[#Headers],[Benedikt_R]],Spielauswertung!$B641:$E641,0),0)=0,H652,INDEX(Spielauswertung!$AB641:$AE641,MATCH(Tabelle11[[#Headers],[Benedikt_R]],Spielauswertung!$B641:$E641,0))+H652)</f>
        <v>102.6264770510757</v>
      </c>
      <c r="I653" s="1">
        <f>IF(IFERROR(MATCH(Tabelle11[[#Headers],[Carsten_H]],Spielauswertung!$B641:$E641,0),0)=0,I652,INDEX(Spielauswertung!$AB641:$AE641,MATCH(Tabelle11[[#Headers],[Carsten_H]],Spielauswertung!$B641:$E641,0))+I652)</f>
        <v>90.817185094326874</v>
      </c>
      <c r="J653" s="1">
        <f>IF(IFERROR(MATCH(Tabelle11[[#Headers],[Christoph_R]],Spielauswertung!$B641:$E641,0),0)=0,J652,INDEX(Spielauswertung!$AB641:$AE641,MATCH(Tabelle11[[#Headers],[Christoph_R]],Spielauswertung!$B641:$E641,0))+J652)</f>
        <v>109.73261611443155</v>
      </c>
      <c r="K653" s="1">
        <f>IF(IFERROR(MATCH(Tabelle11[[#Headers],[Claudius_J]],Spielauswertung!$B641:$E641,0),0)=0,K652,INDEX(Spielauswertung!$AB641:$AE641,MATCH(Tabelle11[[#Headers],[Claudius_J]],Spielauswertung!$B641:$E641,0))+K652)</f>
        <v>106.16590636000029</v>
      </c>
      <c r="L653" s="1">
        <f>IF(IFERROR(MATCH(Tabelle11[[#Headers],[Daniel_D]],Spielauswertung!$B641:$E641,0),0)=0,L652,INDEX(Spielauswertung!$AB641:$AE641,MATCH(Tabelle11[[#Headers],[Daniel_D]],Spielauswertung!$B641:$E641,0))+L652)</f>
        <v>99.990299180470089</v>
      </c>
      <c r="M653" s="1">
        <f>IF(IFERROR(MATCH(Tabelle11[[#Headers],[David_R]],Spielauswertung!$B641:$E641,0),0)=0,M652,INDEX(Spielauswertung!$AB641:$AE641,MATCH(Tabelle11[[#Headers],[David_R]],Spielauswertung!$B641:$E641,0))+M652)</f>
        <v>96.715943522481638</v>
      </c>
      <c r="N653" s="1">
        <f>IF(IFERROR(MATCH(Tabelle11[[#Headers],[Dennis_P]],Spielauswertung!$B641:$E641,0),0)=0,N652,INDEX(Spielauswertung!$AB641:$AE641,MATCH(Tabelle11[[#Headers],[Dennis_P]],Spielauswertung!$B641:$E641,0))+N652)</f>
        <v>100.04773223105254</v>
      </c>
      <c r="O653" s="1">
        <f>IF(IFERROR(MATCH(Tabelle11[[#Headers],[Dennis_R]],Spielauswertung!$B641:$E641,0),0)=0,O652,INDEX(Spielauswertung!$AB641:$AE641,MATCH(Tabelle11[[#Headers],[Dennis_R]],Spielauswertung!$B641:$E641,0))+O652)</f>
        <v>75.131680864937195</v>
      </c>
      <c r="P653" s="1">
        <f>IF(IFERROR(MATCH(Tabelle11[[#Headers],[Detlef_R]],Spielauswertung!$B641:$E641,0),0)=0,P652,INDEX(Spielauswertung!$AB641:$AE641,MATCH(Tabelle11[[#Headers],[Detlef_R]],Spielauswertung!$B641:$E641,0))+P652)</f>
        <v>87.984671797367014</v>
      </c>
      <c r="Q653" s="1">
        <f>IF(IFERROR(MATCH(Tabelle11[[#Headers],[Dmitrij_M]],Spielauswertung!$B641:$E641,0),0)=0,Q652,INDEX(Spielauswertung!$AB641:$AE641,MATCH(Tabelle11[[#Headers],[Dmitrij_M]],Spielauswertung!$B641:$E641,0))+Q652)</f>
        <v>100.69975721846207</v>
      </c>
      <c r="R653" s="1">
        <f>IF(IFERROR(MATCH(Tabelle11[[#Headers],[Fabian_M]],Spielauswertung!$B641:$E641,0),0)=0,R652,INDEX(Spielauswertung!$AB641:$AE641,MATCH(Tabelle11[[#Headers],[Fabian_M]],Spielauswertung!$B641:$E641,0))+R652)</f>
        <v>95.805387841610738</v>
      </c>
      <c r="S653" s="1">
        <f>IF(IFERROR(MATCH(Tabelle11[[#Headers],[Hannes_S]],Spielauswertung!$B641:$E641,0),0)=0,S652,INDEX(Spielauswertung!$AB641:$AE641,MATCH(Tabelle11[[#Headers],[Hannes_S]],Spielauswertung!$B641:$E641,0))+S652)</f>
        <v>104.83899184012799</v>
      </c>
      <c r="T653" s="1">
        <f>IF(IFERROR(MATCH(Tabelle11[[#Headers],[Jan_B]],Spielauswertung!$B641:$E641,0),0)=0,T652,INDEX(Spielauswertung!$AB641:$AE641,MATCH(Tabelle11[[#Headers],[Jan_B]],Spielauswertung!$B641:$E641,0))+T652)</f>
        <v>100.2794420429173</v>
      </c>
      <c r="U653" s="1">
        <f>IF(IFERROR(MATCH(Tabelle11[[#Headers],[Jan_Hendrik_B]],Spielauswertung!$B641:$E641,0),0)=0,U652,INDEX(Spielauswertung!$AB641:$AE641,MATCH(Tabelle11[[#Headers],[Jan_Hendrik_B]],Spielauswertung!$B641:$E641,0))+U652)</f>
        <v>100.75492416935522</v>
      </c>
      <c r="V653" s="1">
        <f>IF(IFERROR(MATCH(Tabelle11[[#Headers],[Jens_N]],Spielauswertung!$B641:$E641,0),0)=0,V652,INDEX(Spielauswertung!$AB641:$AE641,MATCH(Tabelle11[[#Headers],[Jens_N]],Spielauswertung!$B641:$E641,0))+V652)</f>
        <v>99.643534710196832</v>
      </c>
      <c r="W653" s="1">
        <f>IF(IFERROR(MATCH(Tabelle11[[#Headers],[Johannes_S]],Spielauswertung!$B641:$E641,0),0)=0,W652,INDEX(Spielauswertung!$AB641:$AE641,MATCH(Tabelle11[[#Headers],[Johannes_S]],Spielauswertung!$B641:$E641,0))+W652)</f>
        <v>102.20284750979505</v>
      </c>
      <c r="X653" s="1">
        <f>IF(IFERROR(MATCH(Tabelle11[[#Headers],[Jonathan_F]],Spielauswertung!$B641:$E641,0),0)=0,X652,INDEX(Spielauswertung!$AB641:$AE641,MATCH(Tabelle11[[#Headers],[Jonathan_F]],Spielauswertung!$B641:$E641,0))+X652)</f>
        <v>98.938308797866256</v>
      </c>
      <c r="Y653" s="1">
        <f>IF(IFERROR(MATCH(Tabelle11[[#Headers],[Julius_P]],Spielauswertung!$B641:$E641,0),0)=0,Y652,INDEX(Spielauswertung!$AB641:$AE641,MATCH(Tabelle11[[#Headers],[Julius_P]],Spielauswertung!$B641:$E641,0))+Y652)</f>
        <v>96.540305101873642</v>
      </c>
      <c r="Z653" s="1">
        <f>IF(IFERROR(MATCH(Tabelle11[[#Headers],[Louis_W]],Spielauswertung!$B641:$E641,0),0)=0,Z652,INDEX(Spielauswertung!$AB641:$AE641,MATCH(Tabelle11[[#Headers],[Louis_W]],Spielauswertung!$B641:$E641,0))+Z652)</f>
        <v>87.497452285475362</v>
      </c>
      <c r="AA653" s="1">
        <f>IF(IFERROR(MATCH(Tabelle11[[#Headers],[Lukas_L]],Spielauswertung!$B641:$E641,0),0)=0,AA652,INDEX(Spielauswertung!$AB641:$AE641,MATCH(Tabelle11[[#Headers],[Lukas_L]],Spielauswertung!$B641:$E641,0))+AA652)</f>
        <v>98.447931341404143</v>
      </c>
      <c r="AB653" s="1">
        <f>IF(IFERROR(MATCH(Tabelle11[[#Headers],[Marcin_S]],Spielauswertung!$B641:$E641,0),0)=0,AB652,INDEX(Spielauswertung!$AB641:$AE641,MATCH(Tabelle11[[#Headers],[Marcin_S]],Spielauswertung!$B641:$E641,0))+AB652)</f>
        <v>85.463329105556824</v>
      </c>
      <c r="AC653" s="1">
        <f>IF(IFERROR(MATCH(Tabelle11[[#Headers],[Marco_K]],Spielauswertung!$B641:$E641,0),0)=0,AC652,INDEX(Spielauswertung!$AB641:$AE641,MATCH(Tabelle11[[#Headers],[Marco_K]],Spielauswertung!$B641:$E641,0))+AC652)</f>
        <v>102.12169819441469</v>
      </c>
      <c r="AD653" s="1">
        <f>IF(IFERROR(MATCH(Tabelle11[[#Headers],[Marius_M]],Spielauswertung!$B641:$E641,0),0)=0,AD652,INDEX(Spielauswertung!$AB641:$AE641,MATCH(Tabelle11[[#Headers],[Marius_M]],Spielauswertung!$B641:$E641,0))+AD652)</f>
        <v>124.54012374585781</v>
      </c>
      <c r="AE653" s="1">
        <f>IF(IFERROR(MATCH(Tabelle11[[#Headers],[Marvin_W]],Spielauswertung!$B641:$E641,0),0)=0,AE652,INDEX(Spielauswertung!$AB641:$AE641,MATCH(Tabelle11[[#Headers],[Marvin_W]],Spielauswertung!$B641:$E641,0))+AE652)</f>
        <v>96.700266280577438</v>
      </c>
      <c r="AF653" s="1">
        <f>IF(IFERROR(MATCH(Tabelle11[[#Headers],[Matthias_H]],Spielauswertung!$B641:$E641,0),0)=0,AF652,INDEX(Spielauswertung!$AB641:$AE641,MATCH(Tabelle11[[#Headers],[Matthias_H]],Spielauswertung!$B641:$E641,0))+AF652)</f>
        <v>105.42130178599372</v>
      </c>
      <c r="AG653" s="1">
        <f>IF(IFERROR(MATCH(Tabelle11[[#Headers],[Michael_D]],Spielauswertung!$B641:$E641,0),0)=0,AG652,INDEX(Spielauswertung!$AB641:$AE641,MATCH(Tabelle11[[#Headers],[Michael_D]],Spielauswertung!$B641:$E641,0))+AG652)</f>
        <v>96.436276170375336</v>
      </c>
      <c r="AH653" s="1">
        <f>IF(IFERROR(MATCH(Tabelle11[[#Headers],[Patrick_S]],Spielauswertung!$B641:$E641,0),0)=0,AH652,INDEX(Spielauswertung!$AB641:$AE641,MATCH(Tabelle11[[#Headers],[Patrick_S]],Spielauswertung!$B641:$E641,0))+AH652)</f>
        <v>98.975330692053802</v>
      </c>
      <c r="AI653" s="1">
        <f>IF(IFERROR(MATCH(Tabelle11[[#Headers],[Rano_M]],Spielauswertung!$B641:$E641,0),0)=0,AI652,INDEX(Spielauswertung!$AB641:$AE641,MATCH(Tabelle11[[#Headers],[Rano_M]],Spielauswertung!$B641:$E641,0))+AI652)</f>
        <v>109.38890657420265</v>
      </c>
      <c r="AJ653" s="1">
        <f>IF(IFERROR(MATCH(Tabelle11[[#Headers],[Rene_N]],Spielauswertung!$B641:$E641,0),0)=0,AJ652,INDEX(Spielauswertung!$AB641:$AE641,MATCH(Tabelle11[[#Headers],[Rene_N]],Spielauswertung!$B641:$E641,0))+AJ652)</f>
        <v>101.06482124619033</v>
      </c>
      <c r="AK653" s="1">
        <f>IF(IFERROR(MATCH(Tabelle11[[#Headers],[Rene_P]],Spielauswertung!$B641:$E641,0),0)=0,AK652,INDEX(Spielauswertung!$AB641:$AE641,MATCH(Tabelle11[[#Headers],[Rene_P]],Spielauswertung!$B641:$E641,0))+AK652)</f>
        <v>88.762543186332877</v>
      </c>
      <c r="AL653" s="1">
        <f>IF(IFERROR(MATCH(Tabelle11[[#Headers],[Richard_D]],Spielauswertung!$B641:$E641,0),0)=0,AL652,INDEX(Spielauswertung!$AB641:$AE641,MATCH(Tabelle11[[#Headers],[Richard_D]],Spielauswertung!$B641:$E641,0))+AL652)</f>
        <v>107.23233592026223</v>
      </c>
      <c r="AM653" s="1">
        <f>IF(IFERROR(MATCH(Tabelle11[[#Headers],[Rodrigo_R]],Spielauswertung!$B641:$E641,0),0)=0,AM652,INDEX(Spielauswertung!$AB641:$AE641,MATCH(Tabelle11[[#Headers],[Rodrigo_R]],Spielauswertung!$B641:$E641,0))+AM652)</f>
        <v>116.7028707921346</v>
      </c>
      <c r="AN653" s="1">
        <f>IF(IFERROR(MATCH(Tabelle11[[#Headers],[Sebastian_A]],Spielauswertung!$B641:$E641,0),0)=0,AN652,INDEX(Spielauswertung!$AB641:$AE641,MATCH(Tabelle11[[#Headers],[Sebastian_A]],Spielauswertung!$B641:$E641,0))+AN652)</f>
        <v>102.89457418671324</v>
      </c>
      <c r="AO653" s="1">
        <f>IF(IFERROR(MATCH(Tabelle11[[#Headers],[Sebastian_St]],Spielauswertung!$B641:$E641,0),0)=0,AO652,INDEX(Spielauswertung!$AB641:$AE641,MATCH(Tabelle11[[#Headers],[Sebastian_St]],Spielauswertung!$B641:$E641,0))+AO652)</f>
        <v>97.749574367408982</v>
      </c>
      <c r="AP653" s="1">
        <f>IF(IFERROR(MATCH(Tabelle11[[#Headers],[Simon_U]],Spielauswertung!$B641:$E641,0),0)=0,AP652,INDEX(Spielauswertung!$AB641:$AE641,MATCH(Tabelle11[[#Headers],[Simon_U]],Spielauswertung!$B641:$E641,0))+AP652)</f>
        <v>99.623054841470903</v>
      </c>
      <c r="AQ653" s="1">
        <f>IF(IFERROR(MATCH(Tabelle11[[#Headers],[Steffen_R]],Spielauswertung!$B641:$E641,0),0)=0,AQ652,INDEX(Spielauswertung!$AB641:$AE641,MATCH(Tabelle11[[#Headers],[Steffen_R]],Spielauswertung!$B641:$E641,0))+AQ652)</f>
        <v>93.247497067190949</v>
      </c>
      <c r="AR653" s="1">
        <f>IF(IFERROR(MATCH(Tabelle11[[#Headers],[Tim_R]],Spielauswertung!$B641:$E641,0),0)=0,AR652,INDEX(Spielauswertung!$AB641:$AE641,MATCH(Tabelle11[[#Headers],[Tim_R]],Spielauswertung!$B641:$E641,0))+AR652)</f>
        <v>103.07503787023374</v>
      </c>
      <c r="AS653" s="1">
        <f>IF(IFERROR(MATCH(Tabelle11[[#Headers],[Tobias_S]],Spielauswertung!$B641:$E641,0),0)=0,AS652,INDEX(Spielauswertung!$AB641:$AE641,MATCH(Tabelle11[[#Headers],[Tobias_S]],Spielauswertung!$B641:$E641,0))+AS652)</f>
        <v>98.6003422659997</v>
      </c>
      <c r="AT653" s="1">
        <f>IF(IFERROR(MATCH(Tabelle11[[#Headers],[Tom_R]],Spielauswertung!$B641:$E641,0),0)=0,AT652,INDEX(Spielauswertung!$AB641:$AE641,MATCH(Tabelle11[[#Headers],[Tom_R]],Spielauswertung!$B641:$E641,0))+AT652)</f>
        <v>112.62344492949197</v>
      </c>
      <c r="AU653" s="1">
        <f>IF(IFERROR(MATCH(Tabelle11[[#Headers],[Ton_L]],Spielauswertung!$B641:$E641,0),0)=0,AU652,INDEX(Spielauswertung!$AB641:$AE641,MATCH(Tabelle11[[#Headers],[Ton_L]],Spielauswertung!$B641:$E641,0))+AU652)</f>
        <v>92.683083360025861</v>
      </c>
      <c r="AV653" s="1">
        <f>IF(IFERROR(MATCH(Tabelle11[[#Headers],[Yixin_G]],Spielauswertung!$B641:$E641,0),0)=0,AV652,INDEX(Spielauswertung!$AB641:$AE641,MATCH(Tabelle11[[#Headers],[Yixin_G]],Spielauswertung!$B641:$E641,0))+AV652)</f>
        <v>99.900323214082661</v>
      </c>
      <c r="AW653" s="1">
        <f>IF(IFERROR(MATCH(Tabelle11[[#Headers],[Spalte36]],Spielauswertung!$B641:$E641,0),0)=0,AW652,INDEX(Spielauswertung!$AB641:$AE641,MATCH(Tabelle11[[#Headers],[Spalte36]],Spielauswertung!$B641:$E641,0))+AW652)</f>
        <v>100</v>
      </c>
      <c r="AX653" s="1">
        <f>IF(IFERROR(MATCH(Tabelle11[[#Headers],[Spalte37]],Spielauswertung!$B641:$E641,0),0)=0,AX652,INDEX(Spielauswertung!$AB641:$AE641,MATCH(Tabelle11[[#Headers],[Spalte37]],Spielauswertung!$B641:$E641,0))+AX652)</f>
        <v>100</v>
      </c>
      <c r="AY653" s="1">
        <f>IF(IFERROR(MATCH(Tabelle11[[#Headers],[Spalte38]],Spielauswertung!$B641:$E641,0),0)=0,AY652,INDEX(Spielauswertung!$AB641:$AE641,MATCH(Tabelle11[[#Headers],[Spalte38]],Spielauswertung!$B641:$E641,0))+AY652)</f>
        <v>100</v>
      </c>
      <c r="AZ653" s="1">
        <f>IF(IFERROR(MATCH(Tabelle11[[#Headers],[Spalte39]],Spielauswertung!$B641:$E641,0),0)=0,AZ652,INDEX(Spielauswertung!$AB641:$AE641,MATCH(Tabelle11[[#Headers],[Spalte39]],Spielauswertung!$B641:$E641,0))+AZ652)</f>
        <v>100</v>
      </c>
      <c r="BA653" s="1">
        <f>IF(IFERROR(MATCH(Tabelle11[[#Headers],[Spalte40]],Spielauswertung!$B641:$E641,0),0)=0,BA652,INDEX(Spielauswertung!$AB641:$AE641,MATCH(Tabelle11[[#Headers],[Spalte40]],Spielauswertung!$B641:$E641,0))+BA652)</f>
        <v>100</v>
      </c>
      <c r="BB653" s="1">
        <f>IF(IFERROR(MATCH(Tabelle11[[#Headers],[Spalte41]],Spielauswertung!$B641:$E641,0),0)=0,BB652,INDEX(Spielauswertung!$AB641:$AE641,MATCH(Tabelle11[[#Headers],[Spalte41]],Spielauswertung!$B641:$E641,0))+BB652)</f>
        <v>100</v>
      </c>
      <c r="BC653" s="1">
        <f>IF(IFERROR(MATCH(Tabelle11[[#Headers],[Spalte42]],Spielauswertung!$B641:$E641,0),0)=0,BC652,INDEX(Spielauswertung!$AB641:$AE641,MATCH(Tabelle11[[#Headers],[Spalte42]],Spielauswertung!$B641:$E641,0))+BC652)</f>
        <v>100</v>
      </c>
      <c r="BD653" s="1">
        <f>IF(IFERROR(MATCH(Tabelle11[[#Headers],[Spalte43]],Spielauswertung!$B641:$E641,0),0)=0,BD652,INDEX(Spielauswertung!$AB641:$AE641,MATCH(Tabelle11[[#Headers],[Spalte43]],Spielauswertung!$B641:$E641,0))+BD652)</f>
        <v>100</v>
      </c>
      <c r="BE653" s="1">
        <f>IF(IFERROR(MATCH(Tabelle11[[#Headers],[Spalte44]],Spielauswertung!$B641:$E641,0),0)=0,BE652,INDEX(Spielauswertung!$AB641:$AE641,MATCH(Tabelle11[[#Headers],[Spalte44]],Spielauswertung!$B641:$E641,0))+BE652)</f>
        <v>100</v>
      </c>
      <c r="BF653" s="1">
        <f>IF(IFERROR(MATCH(Tabelle11[[#Headers],[Spalte45]],Spielauswertung!$B641:$E641,0),0)=0,BF652,INDEX(Spielauswertung!$AB641:$AE641,MATCH(Tabelle11[[#Headers],[Spalte45]],Spielauswertung!$B641:$E641,0))+BF652)</f>
        <v>100</v>
      </c>
      <c r="BG653" s="1">
        <f>IF(IFERROR(MATCH(Tabelle11[[#Headers],[Spalte46]],Spielauswertung!$B641:$E641,0),0)=0,BG652,INDEX(Spielauswertung!$AB641:$AE641,MATCH(Tabelle11[[#Headers],[Spalte46]],Spielauswertung!$B641:$E641,0))+BG652)</f>
        <v>100</v>
      </c>
      <c r="BH653" s="1">
        <f>IF(IFERROR(MATCH(Tabelle11[[#Headers],[Spalte47]],Spielauswertung!$B641:$E641,0),0)=0,BH652,INDEX(Spielauswertung!$AB641:$AE641,MATCH(Tabelle11[[#Headers],[Spalte47]],Spielauswertung!$B641:$E641,0))+BH652)</f>
        <v>100</v>
      </c>
    </row>
    <row r="654" spans="1:60" x14ac:dyDescent="0.25">
      <c r="A654">
        <f t="shared" si="10"/>
        <v>641</v>
      </c>
      <c r="B654" s="1">
        <f>IF(IFERROR(MATCH(Tabelle11[[#Headers],[Aleix_V]],Spielauswertung!$B642:$E642,0),0)=0,B653,INDEX(Spielauswertung!$AB642:$AE642,MATCH(Tabelle11[[#Headers],[Aleix_V]],Spielauswertung!$B642:$E642,0))+B653)</f>
        <v>102.47318019444646</v>
      </c>
      <c r="C654" s="1">
        <f>IF(IFERROR(MATCH(Tabelle11[[#Headers],[Andres_H]],Spielauswertung!$B642:$E642,0),0)=0,C653,INDEX(Spielauswertung!$AB642:$AE642,MATCH(Tabelle11[[#Headers],[Andres_H]],Spielauswertung!$B642:$E642,0))+C653)</f>
        <v>95.535732339111306</v>
      </c>
      <c r="D654" s="1">
        <f>IF(IFERROR(MATCH(Tabelle11[[#Headers],[Anton_K]],Spielauswertung!$B642:$E642,0),0)=0,D653,INDEX(Spielauswertung!$AB642:$AE642,MATCH(Tabelle11[[#Headers],[Anton_K]],Spielauswertung!$B642:$E642,0))+D653)</f>
        <v>99.287728777054667</v>
      </c>
      <c r="E654" s="1">
        <f>IF(IFERROR(MATCH(Tabelle11[[#Headers],[Bastian_G]],Spielauswertung!$B642:$E642,0),0)=0,E653,INDEX(Spielauswertung!$AB642:$AE642,MATCH(Tabelle11[[#Headers],[Bastian_G]],Spielauswertung!$B642:$E642,0))+E653)</f>
        <v>117.49978695184252</v>
      </c>
      <c r="F654" s="1">
        <f>IF(IFERROR(MATCH(Tabelle11[[#Headers],[Ben_S]],Spielauswertung!$B642:$E642,0),0)=0,F653,INDEX(Spielauswertung!$AB642:$AE642,MATCH(Tabelle11[[#Headers],[Ben_S]],Spielauswertung!$B642:$E642,0))+F653)</f>
        <v>95.932799101521084</v>
      </c>
      <c r="G654" s="1">
        <f>IF(IFERROR(MATCH(Tabelle11[[#Headers],[Benedikt_K]],Spielauswertung!$B642:$E642,0),0)=0,G653,INDEX(Spielauswertung!$AB642:$AE642,MATCH(Tabelle11[[#Headers],[Benedikt_K]],Spielauswertung!$B642:$E642,0))+G653)</f>
        <v>101.20264176422626</v>
      </c>
      <c r="H654" s="1">
        <f>IF(IFERROR(MATCH(Tabelle11[[#Headers],[Benedikt_R]],Spielauswertung!$B642:$E642,0),0)=0,H653,INDEX(Spielauswertung!$AB642:$AE642,MATCH(Tabelle11[[#Headers],[Benedikt_R]],Spielauswertung!$B642:$E642,0))+H653)</f>
        <v>102.6264770510757</v>
      </c>
      <c r="I654" s="1">
        <f>IF(IFERROR(MATCH(Tabelle11[[#Headers],[Carsten_H]],Spielauswertung!$B642:$E642,0),0)=0,I653,INDEX(Spielauswertung!$AB642:$AE642,MATCH(Tabelle11[[#Headers],[Carsten_H]],Spielauswertung!$B642:$E642,0))+I653)</f>
        <v>90.817185094326874</v>
      </c>
      <c r="J654" s="1">
        <f>IF(IFERROR(MATCH(Tabelle11[[#Headers],[Christoph_R]],Spielauswertung!$B642:$E642,0),0)=0,J653,INDEX(Spielauswertung!$AB642:$AE642,MATCH(Tabelle11[[#Headers],[Christoph_R]],Spielauswertung!$B642:$E642,0))+J653)</f>
        <v>109.73261611443155</v>
      </c>
      <c r="K654" s="1">
        <f>IF(IFERROR(MATCH(Tabelle11[[#Headers],[Claudius_J]],Spielauswertung!$B642:$E642,0),0)=0,K653,INDEX(Spielauswertung!$AB642:$AE642,MATCH(Tabelle11[[#Headers],[Claudius_J]],Spielauswertung!$B642:$E642,0))+K653)</f>
        <v>106.16590636000029</v>
      </c>
      <c r="L654" s="1">
        <f>IF(IFERROR(MATCH(Tabelle11[[#Headers],[Daniel_D]],Spielauswertung!$B642:$E642,0),0)=0,L653,INDEX(Spielauswertung!$AB642:$AE642,MATCH(Tabelle11[[#Headers],[Daniel_D]],Spielauswertung!$B642:$E642,0))+L653)</f>
        <v>99.990299180470089</v>
      </c>
      <c r="M654" s="1">
        <f>IF(IFERROR(MATCH(Tabelle11[[#Headers],[David_R]],Spielauswertung!$B642:$E642,0),0)=0,M653,INDEX(Spielauswertung!$AB642:$AE642,MATCH(Tabelle11[[#Headers],[David_R]],Spielauswertung!$B642:$E642,0))+M653)</f>
        <v>96.715943522481638</v>
      </c>
      <c r="N654" s="1">
        <f>IF(IFERROR(MATCH(Tabelle11[[#Headers],[Dennis_P]],Spielauswertung!$B642:$E642,0),0)=0,N653,INDEX(Spielauswertung!$AB642:$AE642,MATCH(Tabelle11[[#Headers],[Dennis_P]],Spielauswertung!$B642:$E642,0))+N653)</f>
        <v>100.04773223105254</v>
      </c>
      <c r="O654" s="1">
        <f>IF(IFERROR(MATCH(Tabelle11[[#Headers],[Dennis_R]],Spielauswertung!$B642:$E642,0),0)=0,O653,INDEX(Spielauswertung!$AB642:$AE642,MATCH(Tabelle11[[#Headers],[Dennis_R]],Spielauswertung!$B642:$E642,0))+O653)</f>
        <v>75.131680864937195</v>
      </c>
      <c r="P654" s="1">
        <f>IF(IFERROR(MATCH(Tabelle11[[#Headers],[Detlef_R]],Spielauswertung!$B642:$E642,0),0)=0,P653,INDEX(Spielauswertung!$AB642:$AE642,MATCH(Tabelle11[[#Headers],[Detlef_R]],Spielauswertung!$B642:$E642,0))+P653)</f>
        <v>87.984671797367014</v>
      </c>
      <c r="Q654" s="1">
        <f>IF(IFERROR(MATCH(Tabelle11[[#Headers],[Dmitrij_M]],Spielauswertung!$B642:$E642,0),0)=0,Q653,INDEX(Spielauswertung!$AB642:$AE642,MATCH(Tabelle11[[#Headers],[Dmitrij_M]],Spielauswertung!$B642:$E642,0))+Q653)</f>
        <v>100.69975721846207</v>
      </c>
      <c r="R654" s="1">
        <f>IF(IFERROR(MATCH(Tabelle11[[#Headers],[Fabian_M]],Spielauswertung!$B642:$E642,0),0)=0,R653,INDEX(Spielauswertung!$AB642:$AE642,MATCH(Tabelle11[[#Headers],[Fabian_M]],Spielauswertung!$B642:$E642,0))+R653)</f>
        <v>95.805387841610738</v>
      </c>
      <c r="S654" s="1">
        <f>IF(IFERROR(MATCH(Tabelle11[[#Headers],[Hannes_S]],Spielauswertung!$B642:$E642,0),0)=0,S653,INDEX(Spielauswertung!$AB642:$AE642,MATCH(Tabelle11[[#Headers],[Hannes_S]],Spielauswertung!$B642:$E642,0))+S653)</f>
        <v>104.83899184012799</v>
      </c>
      <c r="T654" s="1">
        <f>IF(IFERROR(MATCH(Tabelle11[[#Headers],[Jan_B]],Spielauswertung!$B642:$E642,0),0)=0,T653,INDEX(Spielauswertung!$AB642:$AE642,MATCH(Tabelle11[[#Headers],[Jan_B]],Spielauswertung!$B642:$E642,0))+T653)</f>
        <v>100.2794420429173</v>
      </c>
      <c r="U654" s="1">
        <f>IF(IFERROR(MATCH(Tabelle11[[#Headers],[Jan_Hendrik_B]],Spielauswertung!$B642:$E642,0),0)=0,U653,INDEX(Spielauswertung!$AB642:$AE642,MATCH(Tabelle11[[#Headers],[Jan_Hendrik_B]],Spielauswertung!$B642:$E642,0))+U653)</f>
        <v>100.75492416935522</v>
      </c>
      <c r="V654" s="1">
        <f>IF(IFERROR(MATCH(Tabelle11[[#Headers],[Jens_N]],Spielauswertung!$B642:$E642,0),0)=0,V653,INDEX(Spielauswertung!$AB642:$AE642,MATCH(Tabelle11[[#Headers],[Jens_N]],Spielauswertung!$B642:$E642,0))+V653)</f>
        <v>99.643534710196832</v>
      </c>
      <c r="W654" s="1">
        <f>IF(IFERROR(MATCH(Tabelle11[[#Headers],[Johannes_S]],Spielauswertung!$B642:$E642,0),0)=0,W653,INDEX(Spielauswertung!$AB642:$AE642,MATCH(Tabelle11[[#Headers],[Johannes_S]],Spielauswertung!$B642:$E642,0))+W653)</f>
        <v>102.20284750979505</v>
      </c>
      <c r="X654" s="1">
        <f>IF(IFERROR(MATCH(Tabelle11[[#Headers],[Jonathan_F]],Spielauswertung!$B642:$E642,0),0)=0,X653,INDEX(Spielauswertung!$AB642:$AE642,MATCH(Tabelle11[[#Headers],[Jonathan_F]],Spielauswertung!$B642:$E642,0))+X653)</f>
        <v>98.938308797866256</v>
      </c>
      <c r="Y654" s="1">
        <f>IF(IFERROR(MATCH(Tabelle11[[#Headers],[Julius_P]],Spielauswertung!$B642:$E642,0),0)=0,Y653,INDEX(Spielauswertung!$AB642:$AE642,MATCH(Tabelle11[[#Headers],[Julius_P]],Spielauswertung!$B642:$E642,0))+Y653)</f>
        <v>96.540305101873642</v>
      </c>
      <c r="Z654" s="1">
        <f>IF(IFERROR(MATCH(Tabelle11[[#Headers],[Louis_W]],Spielauswertung!$B642:$E642,0),0)=0,Z653,INDEX(Spielauswertung!$AB642:$AE642,MATCH(Tabelle11[[#Headers],[Louis_W]],Spielauswertung!$B642:$E642,0))+Z653)</f>
        <v>87.497452285475362</v>
      </c>
      <c r="AA654" s="1">
        <f>IF(IFERROR(MATCH(Tabelle11[[#Headers],[Lukas_L]],Spielauswertung!$B642:$E642,0),0)=0,AA653,INDEX(Spielauswertung!$AB642:$AE642,MATCH(Tabelle11[[#Headers],[Lukas_L]],Spielauswertung!$B642:$E642,0))+AA653)</f>
        <v>98.447931341404143</v>
      </c>
      <c r="AB654" s="1">
        <f>IF(IFERROR(MATCH(Tabelle11[[#Headers],[Marcin_S]],Spielauswertung!$B642:$E642,0),0)=0,AB653,INDEX(Spielauswertung!$AB642:$AE642,MATCH(Tabelle11[[#Headers],[Marcin_S]],Spielauswertung!$B642:$E642,0))+AB653)</f>
        <v>85.463329105556824</v>
      </c>
      <c r="AC654" s="1">
        <f>IF(IFERROR(MATCH(Tabelle11[[#Headers],[Marco_K]],Spielauswertung!$B642:$E642,0),0)=0,AC653,INDEX(Spielauswertung!$AB642:$AE642,MATCH(Tabelle11[[#Headers],[Marco_K]],Spielauswertung!$B642:$E642,0))+AC653)</f>
        <v>102.12169819441469</v>
      </c>
      <c r="AD654" s="1">
        <f>IF(IFERROR(MATCH(Tabelle11[[#Headers],[Marius_M]],Spielauswertung!$B642:$E642,0),0)=0,AD653,INDEX(Spielauswertung!$AB642:$AE642,MATCH(Tabelle11[[#Headers],[Marius_M]],Spielauswertung!$B642:$E642,0))+AD653)</f>
        <v>124.54012374585781</v>
      </c>
      <c r="AE654" s="1">
        <f>IF(IFERROR(MATCH(Tabelle11[[#Headers],[Marvin_W]],Spielauswertung!$B642:$E642,0),0)=0,AE653,INDEX(Spielauswertung!$AB642:$AE642,MATCH(Tabelle11[[#Headers],[Marvin_W]],Spielauswertung!$B642:$E642,0))+AE653)</f>
        <v>96.700266280577438</v>
      </c>
      <c r="AF654" s="1">
        <f>IF(IFERROR(MATCH(Tabelle11[[#Headers],[Matthias_H]],Spielauswertung!$B642:$E642,0),0)=0,AF653,INDEX(Spielauswertung!$AB642:$AE642,MATCH(Tabelle11[[#Headers],[Matthias_H]],Spielauswertung!$B642:$E642,0))+AF653)</f>
        <v>105.42130178599372</v>
      </c>
      <c r="AG654" s="1">
        <f>IF(IFERROR(MATCH(Tabelle11[[#Headers],[Michael_D]],Spielauswertung!$B642:$E642,0),0)=0,AG653,INDEX(Spielauswertung!$AB642:$AE642,MATCH(Tabelle11[[#Headers],[Michael_D]],Spielauswertung!$B642:$E642,0))+AG653)</f>
        <v>96.436276170375336</v>
      </c>
      <c r="AH654" s="1">
        <f>IF(IFERROR(MATCH(Tabelle11[[#Headers],[Patrick_S]],Spielauswertung!$B642:$E642,0),0)=0,AH653,INDEX(Spielauswertung!$AB642:$AE642,MATCH(Tabelle11[[#Headers],[Patrick_S]],Spielauswertung!$B642:$E642,0))+AH653)</f>
        <v>98.975330692053802</v>
      </c>
      <c r="AI654" s="1">
        <f>IF(IFERROR(MATCH(Tabelle11[[#Headers],[Rano_M]],Spielauswertung!$B642:$E642,0),0)=0,AI653,INDEX(Spielauswertung!$AB642:$AE642,MATCH(Tabelle11[[#Headers],[Rano_M]],Spielauswertung!$B642:$E642,0))+AI653)</f>
        <v>109.38890657420265</v>
      </c>
      <c r="AJ654" s="1">
        <f>IF(IFERROR(MATCH(Tabelle11[[#Headers],[Rene_N]],Spielauswertung!$B642:$E642,0),0)=0,AJ653,INDEX(Spielauswertung!$AB642:$AE642,MATCH(Tabelle11[[#Headers],[Rene_N]],Spielauswertung!$B642:$E642,0))+AJ653)</f>
        <v>101.06482124619033</v>
      </c>
      <c r="AK654" s="1">
        <f>IF(IFERROR(MATCH(Tabelle11[[#Headers],[Rene_P]],Spielauswertung!$B642:$E642,0),0)=0,AK653,INDEX(Spielauswertung!$AB642:$AE642,MATCH(Tabelle11[[#Headers],[Rene_P]],Spielauswertung!$B642:$E642,0))+AK653)</f>
        <v>88.762543186332877</v>
      </c>
      <c r="AL654" s="1">
        <f>IF(IFERROR(MATCH(Tabelle11[[#Headers],[Richard_D]],Spielauswertung!$B642:$E642,0),0)=0,AL653,INDEX(Spielauswertung!$AB642:$AE642,MATCH(Tabelle11[[#Headers],[Richard_D]],Spielauswertung!$B642:$E642,0))+AL653)</f>
        <v>107.23233592026223</v>
      </c>
      <c r="AM654" s="1">
        <f>IF(IFERROR(MATCH(Tabelle11[[#Headers],[Rodrigo_R]],Spielauswertung!$B642:$E642,0),0)=0,AM653,INDEX(Spielauswertung!$AB642:$AE642,MATCH(Tabelle11[[#Headers],[Rodrigo_R]],Spielauswertung!$B642:$E642,0))+AM653)</f>
        <v>116.7028707921346</v>
      </c>
      <c r="AN654" s="1">
        <f>IF(IFERROR(MATCH(Tabelle11[[#Headers],[Sebastian_A]],Spielauswertung!$B642:$E642,0),0)=0,AN653,INDEX(Spielauswertung!$AB642:$AE642,MATCH(Tabelle11[[#Headers],[Sebastian_A]],Spielauswertung!$B642:$E642,0))+AN653)</f>
        <v>102.89457418671324</v>
      </c>
      <c r="AO654" s="1">
        <f>IF(IFERROR(MATCH(Tabelle11[[#Headers],[Sebastian_St]],Spielauswertung!$B642:$E642,0),0)=0,AO653,INDEX(Spielauswertung!$AB642:$AE642,MATCH(Tabelle11[[#Headers],[Sebastian_St]],Spielauswertung!$B642:$E642,0))+AO653)</f>
        <v>97.749574367408982</v>
      </c>
      <c r="AP654" s="1">
        <f>IF(IFERROR(MATCH(Tabelle11[[#Headers],[Simon_U]],Spielauswertung!$B642:$E642,0),0)=0,AP653,INDEX(Spielauswertung!$AB642:$AE642,MATCH(Tabelle11[[#Headers],[Simon_U]],Spielauswertung!$B642:$E642,0))+AP653)</f>
        <v>99.623054841470903</v>
      </c>
      <c r="AQ654" s="1">
        <f>IF(IFERROR(MATCH(Tabelle11[[#Headers],[Steffen_R]],Spielauswertung!$B642:$E642,0),0)=0,AQ653,INDEX(Spielauswertung!$AB642:$AE642,MATCH(Tabelle11[[#Headers],[Steffen_R]],Spielauswertung!$B642:$E642,0))+AQ653)</f>
        <v>93.247497067190949</v>
      </c>
      <c r="AR654" s="1">
        <f>IF(IFERROR(MATCH(Tabelle11[[#Headers],[Tim_R]],Spielauswertung!$B642:$E642,0),0)=0,AR653,INDEX(Spielauswertung!$AB642:$AE642,MATCH(Tabelle11[[#Headers],[Tim_R]],Spielauswertung!$B642:$E642,0))+AR653)</f>
        <v>103.07503787023374</v>
      </c>
      <c r="AS654" s="1">
        <f>IF(IFERROR(MATCH(Tabelle11[[#Headers],[Tobias_S]],Spielauswertung!$B642:$E642,0),0)=0,AS653,INDEX(Spielauswertung!$AB642:$AE642,MATCH(Tabelle11[[#Headers],[Tobias_S]],Spielauswertung!$B642:$E642,0))+AS653)</f>
        <v>98.6003422659997</v>
      </c>
      <c r="AT654" s="1">
        <f>IF(IFERROR(MATCH(Tabelle11[[#Headers],[Tom_R]],Spielauswertung!$B642:$E642,0),0)=0,AT653,INDEX(Spielauswertung!$AB642:$AE642,MATCH(Tabelle11[[#Headers],[Tom_R]],Spielauswertung!$B642:$E642,0))+AT653)</f>
        <v>112.62344492949197</v>
      </c>
      <c r="AU654" s="1">
        <f>IF(IFERROR(MATCH(Tabelle11[[#Headers],[Ton_L]],Spielauswertung!$B642:$E642,0),0)=0,AU653,INDEX(Spielauswertung!$AB642:$AE642,MATCH(Tabelle11[[#Headers],[Ton_L]],Spielauswertung!$B642:$E642,0))+AU653)</f>
        <v>92.683083360025861</v>
      </c>
      <c r="AV654" s="1">
        <f>IF(IFERROR(MATCH(Tabelle11[[#Headers],[Yixin_G]],Spielauswertung!$B642:$E642,0),0)=0,AV653,INDEX(Spielauswertung!$AB642:$AE642,MATCH(Tabelle11[[#Headers],[Yixin_G]],Spielauswertung!$B642:$E642,0))+AV653)</f>
        <v>99.900323214082661</v>
      </c>
      <c r="AW654" s="1">
        <f>IF(IFERROR(MATCH(Tabelle11[[#Headers],[Spalte36]],Spielauswertung!$B642:$E642,0),0)=0,AW653,INDEX(Spielauswertung!$AB642:$AE642,MATCH(Tabelle11[[#Headers],[Spalte36]],Spielauswertung!$B642:$E642,0))+AW653)</f>
        <v>100</v>
      </c>
      <c r="AX654" s="1">
        <f>IF(IFERROR(MATCH(Tabelle11[[#Headers],[Spalte37]],Spielauswertung!$B642:$E642,0),0)=0,AX653,INDEX(Spielauswertung!$AB642:$AE642,MATCH(Tabelle11[[#Headers],[Spalte37]],Spielauswertung!$B642:$E642,0))+AX653)</f>
        <v>100</v>
      </c>
      <c r="AY654" s="1">
        <f>IF(IFERROR(MATCH(Tabelle11[[#Headers],[Spalte38]],Spielauswertung!$B642:$E642,0),0)=0,AY653,INDEX(Spielauswertung!$AB642:$AE642,MATCH(Tabelle11[[#Headers],[Spalte38]],Spielauswertung!$B642:$E642,0))+AY653)</f>
        <v>100</v>
      </c>
      <c r="AZ654" s="1">
        <f>IF(IFERROR(MATCH(Tabelle11[[#Headers],[Spalte39]],Spielauswertung!$B642:$E642,0),0)=0,AZ653,INDEX(Spielauswertung!$AB642:$AE642,MATCH(Tabelle11[[#Headers],[Spalte39]],Spielauswertung!$B642:$E642,0))+AZ653)</f>
        <v>100</v>
      </c>
      <c r="BA654" s="1">
        <f>IF(IFERROR(MATCH(Tabelle11[[#Headers],[Spalte40]],Spielauswertung!$B642:$E642,0),0)=0,BA653,INDEX(Spielauswertung!$AB642:$AE642,MATCH(Tabelle11[[#Headers],[Spalte40]],Spielauswertung!$B642:$E642,0))+BA653)</f>
        <v>100</v>
      </c>
      <c r="BB654" s="1">
        <f>IF(IFERROR(MATCH(Tabelle11[[#Headers],[Spalte41]],Spielauswertung!$B642:$E642,0),0)=0,BB653,INDEX(Spielauswertung!$AB642:$AE642,MATCH(Tabelle11[[#Headers],[Spalte41]],Spielauswertung!$B642:$E642,0))+BB653)</f>
        <v>100</v>
      </c>
      <c r="BC654" s="1">
        <f>IF(IFERROR(MATCH(Tabelle11[[#Headers],[Spalte42]],Spielauswertung!$B642:$E642,0),0)=0,BC653,INDEX(Spielauswertung!$AB642:$AE642,MATCH(Tabelle11[[#Headers],[Spalte42]],Spielauswertung!$B642:$E642,0))+BC653)</f>
        <v>100</v>
      </c>
      <c r="BD654" s="1">
        <f>IF(IFERROR(MATCH(Tabelle11[[#Headers],[Spalte43]],Spielauswertung!$B642:$E642,0),0)=0,BD653,INDEX(Spielauswertung!$AB642:$AE642,MATCH(Tabelle11[[#Headers],[Spalte43]],Spielauswertung!$B642:$E642,0))+BD653)</f>
        <v>100</v>
      </c>
      <c r="BE654" s="1">
        <f>IF(IFERROR(MATCH(Tabelle11[[#Headers],[Spalte44]],Spielauswertung!$B642:$E642,0),0)=0,BE653,INDEX(Spielauswertung!$AB642:$AE642,MATCH(Tabelle11[[#Headers],[Spalte44]],Spielauswertung!$B642:$E642,0))+BE653)</f>
        <v>100</v>
      </c>
      <c r="BF654" s="1">
        <f>IF(IFERROR(MATCH(Tabelle11[[#Headers],[Spalte45]],Spielauswertung!$B642:$E642,0),0)=0,BF653,INDEX(Spielauswertung!$AB642:$AE642,MATCH(Tabelle11[[#Headers],[Spalte45]],Spielauswertung!$B642:$E642,0))+BF653)</f>
        <v>100</v>
      </c>
      <c r="BG654" s="1">
        <f>IF(IFERROR(MATCH(Tabelle11[[#Headers],[Spalte46]],Spielauswertung!$B642:$E642,0),0)=0,BG653,INDEX(Spielauswertung!$AB642:$AE642,MATCH(Tabelle11[[#Headers],[Spalte46]],Spielauswertung!$B642:$E642,0))+BG653)</f>
        <v>100</v>
      </c>
      <c r="BH654" s="1">
        <f>IF(IFERROR(MATCH(Tabelle11[[#Headers],[Spalte47]],Spielauswertung!$B642:$E642,0),0)=0,BH653,INDEX(Spielauswertung!$AB642:$AE642,MATCH(Tabelle11[[#Headers],[Spalte47]],Spielauswertung!$B642:$E642,0))+BH653)</f>
        <v>100</v>
      </c>
    </row>
    <row r="655" spans="1:60" x14ac:dyDescent="0.25">
      <c r="A655">
        <f>A654+1</f>
        <v>642</v>
      </c>
      <c r="B655" s="1">
        <f>IF(IFERROR(MATCH(Tabelle11[[#Headers],[Aleix_V]],Spielauswertung!$B643:$E643,0),0)=0,B654,INDEX(Spielauswertung!$AB643:$AE643,MATCH(Tabelle11[[#Headers],[Aleix_V]],Spielauswertung!$B643:$E643,0))+B654)</f>
        <v>102.47318019444646</v>
      </c>
      <c r="C655" s="1">
        <f>IF(IFERROR(MATCH(Tabelle11[[#Headers],[Andres_H]],Spielauswertung!$B643:$E643,0),0)=0,C654,INDEX(Spielauswertung!$AB643:$AE643,MATCH(Tabelle11[[#Headers],[Andres_H]],Spielauswertung!$B643:$E643,0))+C654)</f>
        <v>95.535732339111306</v>
      </c>
      <c r="D655" s="1">
        <f>IF(IFERROR(MATCH(Tabelle11[[#Headers],[Anton_K]],Spielauswertung!$B643:$E643,0),0)=0,D654,INDEX(Spielauswertung!$AB643:$AE643,MATCH(Tabelle11[[#Headers],[Anton_K]],Spielauswertung!$B643:$E643,0))+D654)</f>
        <v>99.287728777054667</v>
      </c>
      <c r="E655" s="1">
        <f>IF(IFERROR(MATCH(Tabelle11[[#Headers],[Bastian_G]],Spielauswertung!$B643:$E643,0),0)=0,E654,INDEX(Spielauswertung!$AB643:$AE643,MATCH(Tabelle11[[#Headers],[Bastian_G]],Spielauswertung!$B643:$E643,0))+E654)</f>
        <v>117.49978695184252</v>
      </c>
      <c r="F655" s="1">
        <f>IF(IFERROR(MATCH(Tabelle11[[#Headers],[Ben_S]],Spielauswertung!$B643:$E643,0),0)=0,F654,INDEX(Spielauswertung!$AB643:$AE643,MATCH(Tabelle11[[#Headers],[Ben_S]],Spielauswertung!$B643:$E643,0))+F654)</f>
        <v>95.932799101521084</v>
      </c>
      <c r="G655" s="1">
        <f>IF(IFERROR(MATCH(Tabelle11[[#Headers],[Benedikt_K]],Spielauswertung!$B643:$E643,0),0)=0,G654,INDEX(Spielauswertung!$AB643:$AE643,MATCH(Tabelle11[[#Headers],[Benedikt_K]],Spielauswertung!$B643:$E643,0))+G654)</f>
        <v>101.20264176422626</v>
      </c>
      <c r="H655" s="1">
        <f>IF(IFERROR(MATCH(Tabelle11[[#Headers],[Benedikt_R]],Spielauswertung!$B643:$E643,0),0)=0,H654,INDEX(Spielauswertung!$AB643:$AE643,MATCH(Tabelle11[[#Headers],[Benedikt_R]],Spielauswertung!$B643:$E643,0))+H654)</f>
        <v>102.6264770510757</v>
      </c>
      <c r="I655" s="1">
        <f>IF(IFERROR(MATCH(Tabelle11[[#Headers],[Carsten_H]],Spielauswertung!$B643:$E643,0),0)=0,I654,INDEX(Spielauswertung!$AB643:$AE643,MATCH(Tabelle11[[#Headers],[Carsten_H]],Spielauswertung!$B643:$E643,0))+I654)</f>
        <v>90.817185094326874</v>
      </c>
      <c r="J655" s="1">
        <f>IF(IFERROR(MATCH(Tabelle11[[#Headers],[Christoph_R]],Spielauswertung!$B643:$E643,0),0)=0,J654,INDEX(Spielauswertung!$AB643:$AE643,MATCH(Tabelle11[[#Headers],[Christoph_R]],Spielauswertung!$B643:$E643,0))+J654)</f>
        <v>109.73261611443155</v>
      </c>
      <c r="K655" s="1">
        <f>IF(IFERROR(MATCH(Tabelle11[[#Headers],[Claudius_J]],Spielauswertung!$B643:$E643,0),0)=0,K654,INDEX(Spielauswertung!$AB643:$AE643,MATCH(Tabelle11[[#Headers],[Claudius_J]],Spielauswertung!$B643:$E643,0))+K654)</f>
        <v>106.16590636000029</v>
      </c>
      <c r="L655" s="1">
        <f>IF(IFERROR(MATCH(Tabelle11[[#Headers],[Daniel_D]],Spielauswertung!$B643:$E643,0),0)=0,L654,INDEX(Spielauswertung!$AB643:$AE643,MATCH(Tabelle11[[#Headers],[Daniel_D]],Spielauswertung!$B643:$E643,0))+L654)</f>
        <v>99.990299180470089</v>
      </c>
      <c r="M655" s="1">
        <f>IF(IFERROR(MATCH(Tabelle11[[#Headers],[David_R]],Spielauswertung!$B643:$E643,0),0)=0,M654,INDEX(Spielauswertung!$AB643:$AE643,MATCH(Tabelle11[[#Headers],[David_R]],Spielauswertung!$B643:$E643,0))+M654)</f>
        <v>96.715943522481638</v>
      </c>
      <c r="N655" s="1">
        <f>IF(IFERROR(MATCH(Tabelle11[[#Headers],[Dennis_P]],Spielauswertung!$B643:$E643,0),0)=0,N654,INDEX(Spielauswertung!$AB643:$AE643,MATCH(Tabelle11[[#Headers],[Dennis_P]],Spielauswertung!$B643:$E643,0))+N654)</f>
        <v>100.04773223105254</v>
      </c>
      <c r="O655" s="1">
        <f>IF(IFERROR(MATCH(Tabelle11[[#Headers],[Dennis_R]],Spielauswertung!$B643:$E643,0),0)=0,O654,INDEX(Spielauswertung!$AB643:$AE643,MATCH(Tabelle11[[#Headers],[Dennis_R]],Spielauswertung!$B643:$E643,0))+O654)</f>
        <v>75.131680864937195</v>
      </c>
      <c r="P655" s="1">
        <f>IF(IFERROR(MATCH(Tabelle11[[#Headers],[Detlef_R]],Spielauswertung!$B643:$E643,0),0)=0,P654,INDEX(Spielauswertung!$AB643:$AE643,MATCH(Tabelle11[[#Headers],[Detlef_R]],Spielauswertung!$B643:$E643,0))+P654)</f>
        <v>87.984671797367014</v>
      </c>
      <c r="Q655" s="1">
        <f>IF(IFERROR(MATCH(Tabelle11[[#Headers],[Dmitrij_M]],Spielauswertung!$B643:$E643,0),0)=0,Q654,INDEX(Spielauswertung!$AB643:$AE643,MATCH(Tabelle11[[#Headers],[Dmitrij_M]],Spielauswertung!$B643:$E643,0))+Q654)</f>
        <v>100.69975721846207</v>
      </c>
      <c r="R655" s="1">
        <f>IF(IFERROR(MATCH(Tabelle11[[#Headers],[Fabian_M]],Spielauswertung!$B643:$E643,0),0)=0,R654,INDEX(Spielauswertung!$AB643:$AE643,MATCH(Tabelle11[[#Headers],[Fabian_M]],Spielauswertung!$B643:$E643,0))+R654)</f>
        <v>95.805387841610738</v>
      </c>
      <c r="S655" s="1">
        <f>IF(IFERROR(MATCH(Tabelle11[[#Headers],[Hannes_S]],Spielauswertung!$B643:$E643,0),0)=0,S654,INDEX(Spielauswertung!$AB643:$AE643,MATCH(Tabelle11[[#Headers],[Hannes_S]],Spielauswertung!$B643:$E643,0))+S654)</f>
        <v>104.83899184012799</v>
      </c>
      <c r="T655" s="1">
        <f>IF(IFERROR(MATCH(Tabelle11[[#Headers],[Jan_B]],Spielauswertung!$B643:$E643,0),0)=0,T654,INDEX(Spielauswertung!$AB643:$AE643,MATCH(Tabelle11[[#Headers],[Jan_B]],Spielauswertung!$B643:$E643,0))+T654)</f>
        <v>100.2794420429173</v>
      </c>
      <c r="U655" s="1">
        <f>IF(IFERROR(MATCH(Tabelle11[[#Headers],[Jan_Hendrik_B]],Spielauswertung!$B643:$E643,0),0)=0,U654,INDEX(Spielauswertung!$AB643:$AE643,MATCH(Tabelle11[[#Headers],[Jan_Hendrik_B]],Spielauswertung!$B643:$E643,0))+U654)</f>
        <v>100.75492416935522</v>
      </c>
      <c r="V655" s="1">
        <f>IF(IFERROR(MATCH(Tabelle11[[#Headers],[Jens_N]],Spielauswertung!$B643:$E643,0),0)=0,V654,INDEX(Spielauswertung!$AB643:$AE643,MATCH(Tabelle11[[#Headers],[Jens_N]],Spielauswertung!$B643:$E643,0))+V654)</f>
        <v>99.643534710196832</v>
      </c>
      <c r="W655" s="1">
        <f>IF(IFERROR(MATCH(Tabelle11[[#Headers],[Johannes_S]],Spielauswertung!$B643:$E643,0),0)=0,W654,INDEX(Spielauswertung!$AB643:$AE643,MATCH(Tabelle11[[#Headers],[Johannes_S]],Spielauswertung!$B643:$E643,0))+W654)</f>
        <v>102.20284750979505</v>
      </c>
      <c r="X655" s="1">
        <f>IF(IFERROR(MATCH(Tabelle11[[#Headers],[Jonathan_F]],Spielauswertung!$B643:$E643,0),0)=0,X654,INDEX(Spielauswertung!$AB643:$AE643,MATCH(Tabelle11[[#Headers],[Jonathan_F]],Spielauswertung!$B643:$E643,0))+X654)</f>
        <v>98.938308797866256</v>
      </c>
      <c r="Y655" s="1">
        <f>IF(IFERROR(MATCH(Tabelle11[[#Headers],[Julius_P]],Spielauswertung!$B643:$E643,0),0)=0,Y654,INDEX(Spielauswertung!$AB643:$AE643,MATCH(Tabelle11[[#Headers],[Julius_P]],Spielauswertung!$B643:$E643,0))+Y654)</f>
        <v>96.540305101873642</v>
      </c>
      <c r="Z655" s="1">
        <f>IF(IFERROR(MATCH(Tabelle11[[#Headers],[Louis_W]],Spielauswertung!$B643:$E643,0),0)=0,Z654,INDEX(Spielauswertung!$AB643:$AE643,MATCH(Tabelle11[[#Headers],[Louis_W]],Spielauswertung!$B643:$E643,0))+Z654)</f>
        <v>87.497452285475362</v>
      </c>
      <c r="AA655" s="1">
        <f>IF(IFERROR(MATCH(Tabelle11[[#Headers],[Lukas_L]],Spielauswertung!$B643:$E643,0),0)=0,AA654,INDEX(Spielauswertung!$AB643:$AE643,MATCH(Tabelle11[[#Headers],[Lukas_L]],Spielauswertung!$B643:$E643,0))+AA654)</f>
        <v>98.447931341404143</v>
      </c>
      <c r="AB655" s="1">
        <f>IF(IFERROR(MATCH(Tabelle11[[#Headers],[Marcin_S]],Spielauswertung!$B643:$E643,0),0)=0,AB654,INDEX(Spielauswertung!$AB643:$AE643,MATCH(Tabelle11[[#Headers],[Marcin_S]],Spielauswertung!$B643:$E643,0))+AB654)</f>
        <v>85.463329105556824</v>
      </c>
      <c r="AC655" s="1">
        <f>IF(IFERROR(MATCH(Tabelle11[[#Headers],[Marco_K]],Spielauswertung!$B643:$E643,0),0)=0,AC654,INDEX(Spielauswertung!$AB643:$AE643,MATCH(Tabelle11[[#Headers],[Marco_K]],Spielauswertung!$B643:$E643,0))+AC654)</f>
        <v>102.12169819441469</v>
      </c>
      <c r="AD655" s="1">
        <f>IF(IFERROR(MATCH(Tabelle11[[#Headers],[Marius_M]],Spielauswertung!$B643:$E643,0),0)=0,AD654,INDEX(Spielauswertung!$AB643:$AE643,MATCH(Tabelle11[[#Headers],[Marius_M]],Spielauswertung!$B643:$E643,0))+AD654)</f>
        <v>124.54012374585781</v>
      </c>
      <c r="AE655" s="1">
        <f>IF(IFERROR(MATCH(Tabelle11[[#Headers],[Marvin_W]],Spielauswertung!$B643:$E643,0),0)=0,AE654,INDEX(Spielauswertung!$AB643:$AE643,MATCH(Tabelle11[[#Headers],[Marvin_W]],Spielauswertung!$B643:$E643,0))+AE654)</f>
        <v>96.700266280577438</v>
      </c>
      <c r="AF655" s="1">
        <f>IF(IFERROR(MATCH(Tabelle11[[#Headers],[Matthias_H]],Spielauswertung!$B643:$E643,0),0)=0,AF654,INDEX(Spielauswertung!$AB643:$AE643,MATCH(Tabelle11[[#Headers],[Matthias_H]],Spielauswertung!$B643:$E643,0))+AF654)</f>
        <v>105.42130178599372</v>
      </c>
      <c r="AG655" s="1">
        <f>IF(IFERROR(MATCH(Tabelle11[[#Headers],[Michael_D]],Spielauswertung!$B643:$E643,0),0)=0,AG654,INDEX(Spielauswertung!$AB643:$AE643,MATCH(Tabelle11[[#Headers],[Michael_D]],Spielauswertung!$B643:$E643,0))+AG654)</f>
        <v>96.436276170375336</v>
      </c>
      <c r="AH655" s="1">
        <f>IF(IFERROR(MATCH(Tabelle11[[#Headers],[Patrick_S]],Spielauswertung!$B643:$E643,0),0)=0,AH654,INDEX(Spielauswertung!$AB643:$AE643,MATCH(Tabelle11[[#Headers],[Patrick_S]],Spielauswertung!$B643:$E643,0))+AH654)</f>
        <v>98.975330692053802</v>
      </c>
      <c r="AI655" s="1">
        <f>IF(IFERROR(MATCH(Tabelle11[[#Headers],[Rano_M]],Spielauswertung!$B643:$E643,0),0)=0,AI654,INDEX(Spielauswertung!$AB643:$AE643,MATCH(Tabelle11[[#Headers],[Rano_M]],Spielauswertung!$B643:$E643,0))+AI654)</f>
        <v>109.38890657420265</v>
      </c>
      <c r="AJ655" s="1">
        <f>IF(IFERROR(MATCH(Tabelle11[[#Headers],[Rene_N]],Spielauswertung!$B643:$E643,0),0)=0,AJ654,INDEX(Spielauswertung!$AB643:$AE643,MATCH(Tabelle11[[#Headers],[Rene_N]],Spielauswertung!$B643:$E643,0))+AJ654)</f>
        <v>101.06482124619033</v>
      </c>
      <c r="AK655" s="1">
        <f>IF(IFERROR(MATCH(Tabelle11[[#Headers],[Rene_P]],Spielauswertung!$B643:$E643,0),0)=0,AK654,INDEX(Spielauswertung!$AB643:$AE643,MATCH(Tabelle11[[#Headers],[Rene_P]],Spielauswertung!$B643:$E643,0))+AK654)</f>
        <v>88.762543186332877</v>
      </c>
      <c r="AL655" s="1">
        <f>IF(IFERROR(MATCH(Tabelle11[[#Headers],[Richard_D]],Spielauswertung!$B643:$E643,0),0)=0,AL654,INDEX(Spielauswertung!$AB643:$AE643,MATCH(Tabelle11[[#Headers],[Richard_D]],Spielauswertung!$B643:$E643,0))+AL654)</f>
        <v>107.23233592026223</v>
      </c>
      <c r="AM655" s="1">
        <f>IF(IFERROR(MATCH(Tabelle11[[#Headers],[Rodrigo_R]],Spielauswertung!$B643:$E643,0),0)=0,AM654,INDEX(Spielauswertung!$AB643:$AE643,MATCH(Tabelle11[[#Headers],[Rodrigo_R]],Spielauswertung!$B643:$E643,0))+AM654)</f>
        <v>116.7028707921346</v>
      </c>
      <c r="AN655" s="1">
        <f>IF(IFERROR(MATCH(Tabelle11[[#Headers],[Sebastian_A]],Spielauswertung!$B643:$E643,0),0)=0,AN654,INDEX(Spielauswertung!$AB643:$AE643,MATCH(Tabelle11[[#Headers],[Sebastian_A]],Spielauswertung!$B643:$E643,0))+AN654)</f>
        <v>102.89457418671324</v>
      </c>
      <c r="AO655" s="1">
        <f>IF(IFERROR(MATCH(Tabelle11[[#Headers],[Sebastian_St]],Spielauswertung!$B643:$E643,0),0)=0,AO654,INDEX(Spielauswertung!$AB643:$AE643,MATCH(Tabelle11[[#Headers],[Sebastian_St]],Spielauswertung!$B643:$E643,0))+AO654)</f>
        <v>97.749574367408982</v>
      </c>
      <c r="AP655" s="1">
        <f>IF(IFERROR(MATCH(Tabelle11[[#Headers],[Simon_U]],Spielauswertung!$B643:$E643,0),0)=0,AP654,INDEX(Spielauswertung!$AB643:$AE643,MATCH(Tabelle11[[#Headers],[Simon_U]],Spielauswertung!$B643:$E643,0))+AP654)</f>
        <v>99.623054841470903</v>
      </c>
      <c r="AQ655" s="1">
        <f>IF(IFERROR(MATCH(Tabelle11[[#Headers],[Steffen_R]],Spielauswertung!$B643:$E643,0),0)=0,AQ654,INDEX(Spielauswertung!$AB643:$AE643,MATCH(Tabelle11[[#Headers],[Steffen_R]],Spielauswertung!$B643:$E643,0))+AQ654)</f>
        <v>93.247497067190949</v>
      </c>
      <c r="AR655" s="1">
        <f>IF(IFERROR(MATCH(Tabelle11[[#Headers],[Tim_R]],Spielauswertung!$B643:$E643,0),0)=0,AR654,INDEX(Spielauswertung!$AB643:$AE643,MATCH(Tabelle11[[#Headers],[Tim_R]],Spielauswertung!$B643:$E643,0))+AR654)</f>
        <v>103.07503787023374</v>
      </c>
      <c r="AS655" s="1">
        <f>IF(IFERROR(MATCH(Tabelle11[[#Headers],[Tobias_S]],Spielauswertung!$B643:$E643,0),0)=0,AS654,INDEX(Spielauswertung!$AB643:$AE643,MATCH(Tabelle11[[#Headers],[Tobias_S]],Spielauswertung!$B643:$E643,0))+AS654)</f>
        <v>98.6003422659997</v>
      </c>
      <c r="AT655" s="1">
        <f>IF(IFERROR(MATCH(Tabelle11[[#Headers],[Tom_R]],Spielauswertung!$B643:$E643,0),0)=0,AT654,INDEX(Spielauswertung!$AB643:$AE643,MATCH(Tabelle11[[#Headers],[Tom_R]],Spielauswertung!$B643:$E643,0))+AT654)</f>
        <v>112.62344492949197</v>
      </c>
      <c r="AU655" s="1">
        <f>IF(IFERROR(MATCH(Tabelle11[[#Headers],[Ton_L]],Spielauswertung!$B643:$E643,0),0)=0,AU654,INDEX(Spielauswertung!$AB643:$AE643,MATCH(Tabelle11[[#Headers],[Ton_L]],Spielauswertung!$B643:$E643,0))+AU654)</f>
        <v>92.683083360025861</v>
      </c>
      <c r="AV655" s="1">
        <f>IF(IFERROR(MATCH(Tabelle11[[#Headers],[Yixin_G]],Spielauswertung!$B643:$E643,0),0)=0,AV654,INDEX(Spielauswertung!$AB643:$AE643,MATCH(Tabelle11[[#Headers],[Yixin_G]],Spielauswertung!$B643:$E643,0))+AV654)</f>
        <v>99.900323214082661</v>
      </c>
      <c r="AW655" s="1">
        <f>IF(IFERROR(MATCH(Tabelle11[[#Headers],[Spalte36]],Spielauswertung!$B643:$E643,0),0)=0,AW654,INDEX(Spielauswertung!$AB643:$AE643,MATCH(Tabelle11[[#Headers],[Spalte36]],Spielauswertung!$B643:$E643,0))+AW654)</f>
        <v>100</v>
      </c>
      <c r="AX655" s="1">
        <f>IF(IFERROR(MATCH(Tabelle11[[#Headers],[Spalte37]],Spielauswertung!$B643:$E643,0),0)=0,AX654,INDEX(Spielauswertung!$AB643:$AE643,MATCH(Tabelle11[[#Headers],[Spalte37]],Spielauswertung!$B643:$E643,0))+AX654)</f>
        <v>100</v>
      </c>
      <c r="AY655" s="1">
        <f>IF(IFERROR(MATCH(Tabelle11[[#Headers],[Spalte38]],Spielauswertung!$B643:$E643,0),0)=0,AY654,INDEX(Spielauswertung!$AB643:$AE643,MATCH(Tabelle11[[#Headers],[Spalte38]],Spielauswertung!$B643:$E643,0))+AY654)</f>
        <v>100</v>
      </c>
      <c r="AZ655" s="1">
        <f>IF(IFERROR(MATCH(Tabelle11[[#Headers],[Spalte39]],Spielauswertung!$B643:$E643,0),0)=0,AZ654,INDEX(Spielauswertung!$AB643:$AE643,MATCH(Tabelle11[[#Headers],[Spalte39]],Spielauswertung!$B643:$E643,0))+AZ654)</f>
        <v>100</v>
      </c>
      <c r="BA655" s="1">
        <f>IF(IFERROR(MATCH(Tabelle11[[#Headers],[Spalte40]],Spielauswertung!$B643:$E643,0),0)=0,BA654,INDEX(Spielauswertung!$AB643:$AE643,MATCH(Tabelle11[[#Headers],[Spalte40]],Spielauswertung!$B643:$E643,0))+BA654)</f>
        <v>100</v>
      </c>
      <c r="BB655" s="1">
        <f>IF(IFERROR(MATCH(Tabelle11[[#Headers],[Spalte41]],Spielauswertung!$B643:$E643,0),0)=0,BB654,INDEX(Spielauswertung!$AB643:$AE643,MATCH(Tabelle11[[#Headers],[Spalte41]],Spielauswertung!$B643:$E643,0))+BB654)</f>
        <v>100</v>
      </c>
      <c r="BC655" s="1">
        <f>IF(IFERROR(MATCH(Tabelle11[[#Headers],[Spalte42]],Spielauswertung!$B643:$E643,0),0)=0,BC654,INDEX(Spielauswertung!$AB643:$AE643,MATCH(Tabelle11[[#Headers],[Spalte42]],Spielauswertung!$B643:$E643,0))+BC654)</f>
        <v>100</v>
      </c>
      <c r="BD655" s="1">
        <f>IF(IFERROR(MATCH(Tabelle11[[#Headers],[Spalte43]],Spielauswertung!$B643:$E643,0),0)=0,BD654,INDEX(Spielauswertung!$AB643:$AE643,MATCH(Tabelle11[[#Headers],[Spalte43]],Spielauswertung!$B643:$E643,0))+BD654)</f>
        <v>100</v>
      </c>
      <c r="BE655" s="1">
        <f>IF(IFERROR(MATCH(Tabelle11[[#Headers],[Spalte44]],Spielauswertung!$B643:$E643,0),0)=0,BE654,INDEX(Spielauswertung!$AB643:$AE643,MATCH(Tabelle11[[#Headers],[Spalte44]],Spielauswertung!$B643:$E643,0))+BE654)</f>
        <v>100</v>
      </c>
      <c r="BF655" s="1">
        <f>IF(IFERROR(MATCH(Tabelle11[[#Headers],[Spalte45]],Spielauswertung!$B643:$E643,0),0)=0,BF654,INDEX(Spielauswertung!$AB643:$AE643,MATCH(Tabelle11[[#Headers],[Spalte45]],Spielauswertung!$B643:$E643,0))+BF654)</f>
        <v>100</v>
      </c>
      <c r="BG655" s="1">
        <f>IF(IFERROR(MATCH(Tabelle11[[#Headers],[Spalte46]],Spielauswertung!$B643:$E643,0),0)=0,BG654,INDEX(Spielauswertung!$AB643:$AE643,MATCH(Tabelle11[[#Headers],[Spalte46]],Spielauswertung!$B643:$E643,0))+BG654)</f>
        <v>100</v>
      </c>
      <c r="BH655" s="1">
        <f>IF(IFERROR(MATCH(Tabelle11[[#Headers],[Spalte47]],Spielauswertung!$B643:$E643,0),0)=0,BH654,INDEX(Spielauswertung!$AB643:$AE643,MATCH(Tabelle11[[#Headers],[Spalte47]],Spielauswertung!$B643:$E643,0))+BH654)</f>
        <v>100</v>
      </c>
    </row>
    <row r="656" spans="1:60" x14ac:dyDescent="0.25">
      <c r="A656">
        <f>A655+1</f>
        <v>643</v>
      </c>
      <c r="B656" s="1">
        <f>IF(IFERROR(MATCH(Tabelle11[[#Headers],[Aleix_V]],Spielauswertung!$B644:$E644,0),0)=0,B655,INDEX(Spielauswertung!$AB644:$AE644,MATCH(Tabelle11[[#Headers],[Aleix_V]],Spielauswertung!$B644:$E644,0))+B655)</f>
        <v>102.47318019444646</v>
      </c>
      <c r="C656" s="1">
        <f>IF(IFERROR(MATCH(Tabelle11[[#Headers],[Andres_H]],Spielauswertung!$B644:$E644,0),0)=0,C655,INDEX(Spielauswertung!$AB644:$AE644,MATCH(Tabelle11[[#Headers],[Andres_H]],Spielauswertung!$B644:$E644,0))+C655)</f>
        <v>95.535732339111306</v>
      </c>
      <c r="D656" s="1">
        <f>IF(IFERROR(MATCH(Tabelle11[[#Headers],[Anton_K]],Spielauswertung!$B644:$E644,0),0)=0,D655,INDEX(Spielauswertung!$AB644:$AE644,MATCH(Tabelle11[[#Headers],[Anton_K]],Spielauswertung!$B644:$E644,0))+D655)</f>
        <v>99.287728777054667</v>
      </c>
      <c r="E656" s="1">
        <f>IF(IFERROR(MATCH(Tabelle11[[#Headers],[Bastian_G]],Spielauswertung!$B644:$E644,0),0)=0,E655,INDEX(Spielauswertung!$AB644:$AE644,MATCH(Tabelle11[[#Headers],[Bastian_G]],Spielauswertung!$B644:$E644,0))+E655)</f>
        <v>117.49978695184252</v>
      </c>
      <c r="F656" s="1">
        <f>IF(IFERROR(MATCH(Tabelle11[[#Headers],[Ben_S]],Spielauswertung!$B644:$E644,0),0)=0,F655,INDEX(Spielauswertung!$AB644:$AE644,MATCH(Tabelle11[[#Headers],[Ben_S]],Spielauswertung!$B644:$E644,0))+F655)</f>
        <v>95.932799101521084</v>
      </c>
      <c r="G656" s="1">
        <f>IF(IFERROR(MATCH(Tabelle11[[#Headers],[Benedikt_K]],Spielauswertung!$B644:$E644,0),0)=0,G655,INDEX(Spielauswertung!$AB644:$AE644,MATCH(Tabelle11[[#Headers],[Benedikt_K]],Spielauswertung!$B644:$E644,0))+G655)</f>
        <v>101.20264176422626</v>
      </c>
      <c r="H656" s="1">
        <f>IF(IFERROR(MATCH(Tabelle11[[#Headers],[Benedikt_R]],Spielauswertung!$B644:$E644,0),0)=0,H655,INDEX(Spielauswertung!$AB644:$AE644,MATCH(Tabelle11[[#Headers],[Benedikt_R]],Spielauswertung!$B644:$E644,0))+H655)</f>
        <v>102.6264770510757</v>
      </c>
      <c r="I656" s="1">
        <f>IF(IFERROR(MATCH(Tabelle11[[#Headers],[Carsten_H]],Spielauswertung!$B644:$E644,0),0)=0,I655,INDEX(Spielauswertung!$AB644:$AE644,MATCH(Tabelle11[[#Headers],[Carsten_H]],Spielauswertung!$B644:$E644,0))+I655)</f>
        <v>90.817185094326874</v>
      </c>
      <c r="J656" s="1">
        <f>IF(IFERROR(MATCH(Tabelle11[[#Headers],[Christoph_R]],Spielauswertung!$B644:$E644,0),0)=0,J655,INDEX(Spielauswertung!$AB644:$AE644,MATCH(Tabelle11[[#Headers],[Christoph_R]],Spielauswertung!$B644:$E644,0))+J655)</f>
        <v>109.73261611443155</v>
      </c>
      <c r="K656" s="1">
        <f>IF(IFERROR(MATCH(Tabelle11[[#Headers],[Claudius_J]],Spielauswertung!$B644:$E644,0),0)=0,K655,INDEX(Spielauswertung!$AB644:$AE644,MATCH(Tabelle11[[#Headers],[Claudius_J]],Spielauswertung!$B644:$E644,0))+K655)</f>
        <v>106.16590636000029</v>
      </c>
      <c r="L656" s="1">
        <f>IF(IFERROR(MATCH(Tabelle11[[#Headers],[Daniel_D]],Spielauswertung!$B644:$E644,0),0)=0,L655,INDEX(Spielauswertung!$AB644:$AE644,MATCH(Tabelle11[[#Headers],[Daniel_D]],Spielauswertung!$B644:$E644,0))+L655)</f>
        <v>99.990299180470089</v>
      </c>
      <c r="M656" s="1">
        <f>IF(IFERROR(MATCH(Tabelle11[[#Headers],[David_R]],Spielauswertung!$B644:$E644,0),0)=0,M655,INDEX(Spielauswertung!$AB644:$AE644,MATCH(Tabelle11[[#Headers],[David_R]],Spielauswertung!$B644:$E644,0))+M655)</f>
        <v>96.715943522481638</v>
      </c>
      <c r="N656" s="1">
        <f>IF(IFERROR(MATCH(Tabelle11[[#Headers],[Dennis_P]],Spielauswertung!$B644:$E644,0),0)=0,N655,INDEX(Spielauswertung!$AB644:$AE644,MATCH(Tabelle11[[#Headers],[Dennis_P]],Spielauswertung!$B644:$E644,0))+N655)</f>
        <v>100.04773223105254</v>
      </c>
      <c r="O656" s="1">
        <f>IF(IFERROR(MATCH(Tabelle11[[#Headers],[Dennis_R]],Spielauswertung!$B644:$E644,0),0)=0,O655,INDEX(Spielauswertung!$AB644:$AE644,MATCH(Tabelle11[[#Headers],[Dennis_R]],Spielauswertung!$B644:$E644,0))+O655)</f>
        <v>75.131680864937195</v>
      </c>
      <c r="P656" s="1">
        <f>IF(IFERROR(MATCH(Tabelle11[[#Headers],[Detlef_R]],Spielauswertung!$B644:$E644,0),0)=0,P655,INDEX(Spielauswertung!$AB644:$AE644,MATCH(Tabelle11[[#Headers],[Detlef_R]],Spielauswertung!$B644:$E644,0))+P655)</f>
        <v>87.984671797367014</v>
      </c>
      <c r="Q656" s="1">
        <f>IF(IFERROR(MATCH(Tabelle11[[#Headers],[Dmitrij_M]],Spielauswertung!$B644:$E644,0),0)=0,Q655,INDEX(Spielauswertung!$AB644:$AE644,MATCH(Tabelle11[[#Headers],[Dmitrij_M]],Spielauswertung!$B644:$E644,0))+Q655)</f>
        <v>100.69975721846207</v>
      </c>
      <c r="R656" s="1">
        <f>IF(IFERROR(MATCH(Tabelle11[[#Headers],[Fabian_M]],Spielauswertung!$B644:$E644,0),0)=0,R655,INDEX(Spielauswertung!$AB644:$AE644,MATCH(Tabelle11[[#Headers],[Fabian_M]],Spielauswertung!$B644:$E644,0))+R655)</f>
        <v>95.805387841610738</v>
      </c>
      <c r="S656" s="1">
        <f>IF(IFERROR(MATCH(Tabelle11[[#Headers],[Hannes_S]],Spielauswertung!$B644:$E644,0),0)=0,S655,INDEX(Spielauswertung!$AB644:$AE644,MATCH(Tabelle11[[#Headers],[Hannes_S]],Spielauswertung!$B644:$E644,0))+S655)</f>
        <v>104.83899184012799</v>
      </c>
      <c r="T656" s="1">
        <f>IF(IFERROR(MATCH(Tabelle11[[#Headers],[Jan_B]],Spielauswertung!$B644:$E644,0),0)=0,T655,INDEX(Spielauswertung!$AB644:$AE644,MATCH(Tabelle11[[#Headers],[Jan_B]],Spielauswertung!$B644:$E644,0))+T655)</f>
        <v>100.2794420429173</v>
      </c>
      <c r="U656" s="1">
        <f>IF(IFERROR(MATCH(Tabelle11[[#Headers],[Jan_Hendrik_B]],Spielauswertung!$B644:$E644,0),0)=0,U655,INDEX(Spielauswertung!$AB644:$AE644,MATCH(Tabelle11[[#Headers],[Jan_Hendrik_B]],Spielauswertung!$B644:$E644,0))+U655)</f>
        <v>100.75492416935522</v>
      </c>
      <c r="V656" s="1">
        <f>IF(IFERROR(MATCH(Tabelle11[[#Headers],[Jens_N]],Spielauswertung!$B644:$E644,0),0)=0,V655,INDEX(Spielauswertung!$AB644:$AE644,MATCH(Tabelle11[[#Headers],[Jens_N]],Spielauswertung!$B644:$E644,0))+V655)</f>
        <v>99.643534710196832</v>
      </c>
      <c r="W656" s="1">
        <f>IF(IFERROR(MATCH(Tabelle11[[#Headers],[Johannes_S]],Spielauswertung!$B644:$E644,0),0)=0,W655,INDEX(Spielauswertung!$AB644:$AE644,MATCH(Tabelle11[[#Headers],[Johannes_S]],Spielauswertung!$B644:$E644,0))+W655)</f>
        <v>102.20284750979505</v>
      </c>
      <c r="X656" s="1">
        <f>IF(IFERROR(MATCH(Tabelle11[[#Headers],[Jonathan_F]],Spielauswertung!$B644:$E644,0),0)=0,X655,INDEX(Spielauswertung!$AB644:$AE644,MATCH(Tabelle11[[#Headers],[Jonathan_F]],Spielauswertung!$B644:$E644,0))+X655)</f>
        <v>98.938308797866256</v>
      </c>
      <c r="Y656" s="1">
        <f>IF(IFERROR(MATCH(Tabelle11[[#Headers],[Julius_P]],Spielauswertung!$B644:$E644,0),0)=0,Y655,INDEX(Spielauswertung!$AB644:$AE644,MATCH(Tabelle11[[#Headers],[Julius_P]],Spielauswertung!$B644:$E644,0))+Y655)</f>
        <v>96.540305101873642</v>
      </c>
      <c r="Z656" s="1">
        <f>IF(IFERROR(MATCH(Tabelle11[[#Headers],[Louis_W]],Spielauswertung!$B644:$E644,0),0)=0,Z655,INDEX(Spielauswertung!$AB644:$AE644,MATCH(Tabelle11[[#Headers],[Louis_W]],Spielauswertung!$B644:$E644,0))+Z655)</f>
        <v>87.497452285475362</v>
      </c>
      <c r="AA656" s="1">
        <f>IF(IFERROR(MATCH(Tabelle11[[#Headers],[Lukas_L]],Spielauswertung!$B644:$E644,0),0)=0,AA655,INDEX(Spielauswertung!$AB644:$AE644,MATCH(Tabelle11[[#Headers],[Lukas_L]],Spielauswertung!$B644:$E644,0))+AA655)</f>
        <v>98.447931341404143</v>
      </c>
      <c r="AB656" s="1">
        <f>IF(IFERROR(MATCH(Tabelle11[[#Headers],[Marcin_S]],Spielauswertung!$B644:$E644,0),0)=0,AB655,INDEX(Spielauswertung!$AB644:$AE644,MATCH(Tabelle11[[#Headers],[Marcin_S]],Spielauswertung!$B644:$E644,0))+AB655)</f>
        <v>85.463329105556824</v>
      </c>
      <c r="AC656" s="1">
        <f>IF(IFERROR(MATCH(Tabelle11[[#Headers],[Marco_K]],Spielauswertung!$B644:$E644,0),0)=0,AC655,INDEX(Spielauswertung!$AB644:$AE644,MATCH(Tabelle11[[#Headers],[Marco_K]],Spielauswertung!$B644:$E644,0))+AC655)</f>
        <v>102.12169819441469</v>
      </c>
      <c r="AD656" s="1">
        <f>IF(IFERROR(MATCH(Tabelle11[[#Headers],[Marius_M]],Spielauswertung!$B644:$E644,0),0)=0,AD655,INDEX(Spielauswertung!$AB644:$AE644,MATCH(Tabelle11[[#Headers],[Marius_M]],Spielauswertung!$B644:$E644,0))+AD655)</f>
        <v>124.54012374585781</v>
      </c>
      <c r="AE656" s="1">
        <f>IF(IFERROR(MATCH(Tabelle11[[#Headers],[Marvin_W]],Spielauswertung!$B644:$E644,0),0)=0,AE655,INDEX(Spielauswertung!$AB644:$AE644,MATCH(Tabelle11[[#Headers],[Marvin_W]],Spielauswertung!$B644:$E644,0))+AE655)</f>
        <v>96.700266280577438</v>
      </c>
      <c r="AF656" s="1">
        <f>IF(IFERROR(MATCH(Tabelle11[[#Headers],[Matthias_H]],Spielauswertung!$B644:$E644,0),0)=0,AF655,INDEX(Spielauswertung!$AB644:$AE644,MATCH(Tabelle11[[#Headers],[Matthias_H]],Spielauswertung!$B644:$E644,0))+AF655)</f>
        <v>105.42130178599372</v>
      </c>
      <c r="AG656" s="1">
        <f>IF(IFERROR(MATCH(Tabelle11[[#Headers],[Michael_D]],Spielauswertung!$B644:$E644,0),0)=0,AG655,INDEX(Spielauswertung!$AB644:$AE644,MATCH(Tabelle11[[#Headers],[Michael_D]],Spielauswertung!$B644:$E644,0))+AG655)</f>
        <v>96.436276170375336</v>
      </c>
      <c r="AH656" s="1">
        <f>IF(IFERROR(MATCH(Tabelle11[[#Headers],[Patrick_S]],Spielauswertung!$B644:$E644,0),0)=0,AH655,INDEX(Spielauswertung!$AB644:$AE644,MATCH(Tabelle11[[#Headers],[Patrick_S]],Spielauswertung!$B644:$E644,0))+AH655)</f>
        <v>98.975330692053802</v>
      </c>
      <c r="AI656" s="1">
        <f>IF(IFERROR(MATCH(Tabelle11[[#Headers],[Rano_M]],Spielauswertung!$B644:$E644,0),0)=0,AI655,INDEX(Spielauswertung!$AB644:$AE644,MATCH(Tabelle11[[#Headers],[Rano_M]],Spielauswertung!$B644:$E644,0))+AI655)</f>
        <v>109.38890657420265</v>
      </c>
      <c r="AJ656" s="1">
        <f>IF(IFERROR(MATCH(Tabelle11[[#Headers],[Rene_N]],Spielauswertung!$B644:$E644,0),0)=0,AJ655,INDEX(Spielauswertung!$AB644:$AE644,MATCH(Tabelle11[[#Headers],[Rene_N]],Spielauswertung!$B644:$E644,0))+AJ655)</f>
        <v>101.06482124619033</v>
      </c>
      <c r="AK656" s="1">
        <f>IF(IFERROR(MATCH(Tabelle11[[#Headers],[Rene_P]],Spielauswertung!$B644:$E644,0),0)=0,AK655,INDEX(Spielauswertung!$AB644:$AE644,MATCH(Tabelle11[[#Headers],[Rene_P]],Spielauswertung!$B644:$E644,0))+AK655)</f>
        <v>88.762543186332877</v>
      </c>
      <c r="AL656" s="1">
        <f>IF(IFERROR(MATCH(Tabelle11[[#Headers],[Richard_D]],Spielauswertung!$B644:$E644,0),0)=0,AL655,INDEX(Spielauswertung!$AB644:$AE644,MATCH(Tabelle11[[#Headers],[Richard_D]],Spielauswertung!$B644:$E644,0))+AL655)</f>
        <v>107.23233592026223</v>
      </c>
      <c r="AM656" s="1">
        <f>IF(IFERROR(MATCH(Tabelle11[[#Headers],[Rodrigo_R]],Spielauswertung!$B644:$E644,0),0)=0,AM655,INDEX(Spielauswertung!$AB644:$AE644,MATCH(Tabelle11[[#Headers],[Rodrigo_R]],Spielauswertung!$B644:$E644,0))+AM655)</f>
        <v>116.7028707921346</v>
      </c>
      <c r="AN656" s="1">
        <f>IF(IFERROR(MATCH(Tabelle11[[#Headers],[Sebastian_A]],Spielauswertung!$B644:$E644,0),0)=0,AN655,INDEX(Spielauswertung!$AB644:$AE644,MATCH(Tabelle11[[#Headers],[Sebastian_A]],Spielauswertung!$B644:$E644,0))+AN655)</f>
        <v>102.89457418671324</v>
      </c>
      <c r="AO656" s="1">
        <f>IF(IFERROR(MATCH(Tabelle11[[#Headers],[Sebastian_St]],Spielauswertung!$B644:$E644,0),0)=0,AO655,INDEX(Spielauswertung!$AB644:$AE644,MATCH(Tabelle11[[#Headers],[Sebastian_St]],Spielauswertung!$B644:$E644,0))+AO655)</f>
        <v>97.749574367408982</v>
      </c>
      <c r="AP656" s="1">
        <f>IF(IFERROR(MATCH(Tabelle11[[#Headers],[Simon_U]],Spielauswertung!$B644:$E644,0),0)=0,AP655,INDEX(Spielauswertung!$AB644:$AE644,MATCH(Tabelle11[[#Headers],[Simon_U]],Spielauswertung!$B644:$E644,0))+AP655)</f>
        <v>99.623054841470903</v>
      </c>
      <c r="AQ656" s="1">
        <f>IF(IFERROR(MATCH(Tabelle11[[#Headers],[Steffen_R]],Spielauswertung!$B644:$E644,0),0)=0,AQ655,INDEX(Spielauswertung!$AB644:$AE644,MATCH(Tabelle11[[#Headers],[Steffen_R]],Spielauswertung!$B644:$E644,0))+AQ655)</f>
        <v>93.247497067190949</v>
      </c>
      <c r="AR656" s="1">
        <f>IF(IFERROR(MATCH(Tabelle11[[#Headers],[Tim_R]],Spielauswertung!$B644:$E644,0),0)=0,AR655,INDEX(Spielauswertung!$AB644:$AE644,MATCH(Tabelle11[[#Headers],[Tim_R]],Spielauswertung!$B644:$E644,0))+AR655)</f>
        <v>103.07503787023374</v>
      </c>
      <c r="AS656" s="1">
        <f>IF(IFERROR(MATCH(Tabelle11[[#Headers],[Tobias_S]],Spielauswertung!$B644:$E644,0),0)=0,AS655,INDEX(Spielauswertung!$AB644:$AE644,MATCH(Tabelle11[[#Headers],[Tobias_S]],Spielauswertung!$B644:$E644,0))+AS655)</f>
        <v>98.6003422659997</v>
      </c>
      <c r="AT656" s="1">
        <f>IF(IFERROR(MATCH(Tabelle11[[#Headers],[Tom_R]],Spielauswertung!$B644:$E644,0),0)=0,AT655,INDEX(Spielauswertung!$AB644:$AE644,MATCH(Tabelle11[[#Headers],[Tom_R]],Spielauswertung!$B644:$E644,0))+AT655)</f>
        <v>112.62344492949197</v>
      </c>
      <c r="AU656" s="1">
        <f>IF(IFERROR(MATCH(Tabelle11[[#Headers],[Ton_L]],Spielauswertung!$B644:$E644,0),0)=0,AU655,INDEX(Spielauswertung!$AB644:$AE644,MATCH(Tabelle11[[#Headers],[Ton_L]],Spielauswertung!$B644:$E644,0))+AU655)</f>
        <v>92.683083360025861</v>
      </c>
      <c r="AV656" s="1">
        <f>IF(IFERROR(MATCH(Tabelle11[[#Headers],[Yixin_G]],Spielauswertung!$B644:$E644,0),0)=0,AV655,INDEX(Spielauswertung!$AB644:$AE644,MATCH(Tabelle11[[#Headers],[Yixin_G]],Spielauswertung!$B644:$E644,0))+AV655)</f>
        <v>99.900323214082661</v>
      </c>
      <c r="AW656" s="1">
        <f>IF(IFERROR(MATCH(Tabelle11[[#Headers],[Spalte36]],Spielauswertung!$B644:$E644,0),0)=0,AW655,INDEX(Spielauswertung!$AB644:$AE644,MATCH(Tabelle11[[#Headers],[Spalte36]],Spielauswertung!$B644:$E644,0))+AW655)</f>
        <v>100</v>
      </c>
      <c r="AX656" s="1">
        <f>IF(IFERROR(MATCH(Tabelle11[[#Headers],[Spalte37]],Spielauswertung!$B644:$E644,0),0)=0,AX655,INDEX(Spielauswertung!$AB644:$AE644,MATCH(Tabelle11[[#Headers],[Spalte37]],Spielauswertung!$B644:$E644,0))+AX655)</f>
        <v>100</v>
      </c>
      <c r="AY656" s="1">
        <f>IF(IFERROR(MATCH(Tabelle11[[#Headers],[Spalte38]],Spielauswertung!$B644:$E644,0),0)=0,AY655,INDEX(Spielauswertung!$AB644:$AE644,MATCH(Tabelle11[[#Headers],[Spalte38]],Spielauswertung!$B644:$E644,0))+AY655)</f>
        <v>100</v>
      </c>
      <c r="AZ656" s="1">
        <f>IF(IFERROR(MATCH(Tabelle11[[#Headers],[Spalte39]],Spielauswertung!$B644:$E644,0),0)=0,AZ655,INDEX(Spielauswertung!$AB644:$AE644,MATCH(Tabelle11[[#Headers],[Spalte39]],Spielauswertung!$B644:$E644,0))+AZ655)</f>
        <v>100</v>
      </c>
      <c r="BA656" s="1">
        <f>IF(IFERROR(MATCH(Tabelle11[[#Headers],[Spalte40]],Spielauswertung!$B644:$E644,0),0)=0,BA655,INDEX(Spielauswertung!$AB644:$AE644,MATCH(Tabelle11[[#Headers],[Spalte40]],Spielauswertung!$B644:$E644,0))+BA655)</f>
        <v>100</v>
      </c>
      <c r="BB656" s="1">
        <f>IF(IFERROR(MATCH(Tabelle11[[#Headers],[Spalte41]],Spielauswertung!$B644:$E644,0),0)=0,BB655,INDEX(Spielauswertung!$AB644:$AE644,MATCH(Tabelle11[[#Headers],[Spalte41]],Spielauswertung!$B644:$E644,0))+BB655)</f>
        <v>100</v>
      </c>
      <c r="BC656" s="1">
        <f>IF(IFERROR(MATCH(Tabelle11[[#Headers],[Spalte42]],Spielauswertung!$B644:$E644,0),0)=0,BC655,INDEX(Spielauswertung!$AB644:$AE644,MATCH(Tabelle11[[#Headers],[Spalte42]],Spielauswertung!$B644:$E644,0))+BC655)</f>
        <v>100</v>
      </c>
      <c r="BD656" s="1">
        <f>IF(IFERROR(MATCH(Tabelle11[[#Headers],[Spalte43]],Spielauswertung!$B644:$E644,0),0)=0,BD655,INDEX(Spielauswertung!$AB644:$AE644,MATCH(Tabelle11[[#Headers],[Spalte43]],Spielauswertung!$B644:$E644,0))+BD655)</f>
        <v>100</v>
      </c>
      <c r="BE656" s="1">
        <f>IF(IFERROR(MATCH(Tabelle11[[#Headers],[Spalte44]],Spielauswertung!$B644:$E644,0),0)=0,BE655,INDEX(Spielauswertung!$AB644:$AE644,MATCH(Tabelle11[[#Headers],[Spalte44]],Spielauswertung!$B644:$E644,0))+BE655)</f>
        <v>100</v>
      </c>
      <c r="BF656" s="1">
        <f>IF(IFERROR(MATCH(Tabelle11[[#Headers],[Spalte45]],Spielauswertung!$B644:$E644,0),0)=0,BF655,INDEX(Spielauswertung!$AB644:$AE644,MATCH(Tabelle11[[#Headers],[Spalte45]],Spielauswertung!$B644:$E644,0))+BF655)</f>
        <v>100</v>
      </c>
      <c r="BG656" s="1">
        <f>IF(IFERROR(MATCH(Tabelle11[[#Headers],[Spalte46]],Spielauswertung!$B644:$E644,0),0)=0,BG655,INDEX(Spielauswertung!$AB644:$AE644,MATCH(Tabelle11[[#Headers],[Spalte46]],Spielauswertung!$B644:$E644,0))+BG655)</f>
        <v>100</v>
      </c>
      <c r="BH656" s="1">
        <f>IF(IFERROR(MATCH(Tabelle11[[#Headers],[Spalte47]],Spielauswertung!$B644:$E644,0),0)=0,BH655,INDEX(Spielauswertung!$AB644:$AE644,MATCH(Tabelle11[[#Headers],[Spalte47]],Spielauswertung!$B644:$E644,0))+BH655)</f>
        <v>100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35"/>
  <sheetViews>
    <sheetView workbookViewId="0">
      <selection activeCell="E9" sqref="E9"/>
    </sheetView>
  </sheetViews>
  <sheetFormatPr baseColWidth="10" defaultRowHeight="15" x14ac:dyDescent="0.25"/>
  <cols>
    <col min="3" max="4" width="16.5703125" customWidth="1"/>
    <col min="5" max="5" width="20.85546875" customWidth="1"/>
    <col min="9" max="10" width="10" customWidth="1"/>
    <col min="11" max="11" width="9.5703125" bestFit="1" customWidth="1"/>
    <col min="12" max="12" width="8.42578125" customWidth="1"/>
    <col min="13" max="14" width="6.5703125" customWidth="1"/>
    <col min="18" max="18" width="12.7109375" bestFit="1" customWidth="1"/>
  </cols>
  <sheetData>
    <row r="1" spans="2:26" x14ac:dyDescent="0.25">
      <c r="N1" s="24"/>
      <c r="O1" s="24"/>
      <c r="P1" s="24"/>
      <c r="Q1" s="24"/>
      <c r="R1" s="24"/>
      <c r="S1" s="24"/>
      <c r="T1" s="24"/>
    </row>
    <row r="2" spans="2:26" x14ac:dyDescent="0.25">
      <c r="B2" s="53" t="s">
        <v>66</v>
      </c>
      <c r="C2" s="53"/>
      <c r="D2" s="53"/>
      <c r="F2" t="s">
        <v>11</v>
      </c>
      <c r="G2" s="54" t="s">
        <v>85</v>
      </c>
      <c r="H2" s="54"/>
      <c r="I2" s="54"/>
      <c r="K2" s="13" t="s">
        <v>76</v>
      </c>
      <c r="L2" s="13" t="s">
        <v>11</v>
      </c>
      <c r="M2" s="13" t="s">
        <v>15</v>
      </c>
      <c r="N2" s="51" t="s">
        <v>33</v>
      </c>
      <c r="O2" s="52"/>
      <c r="P2" s="52"/>
      <c r="Q2" s="52"/>
      <c r="R2" s="25" t="s">
        <v>81</v>
      </c>
      <c r="S2" s="25" t="s">
        <v>32</v>
      </c>
      <c r="T2" s="24"/>
    </row>
    <row r="3" spans="2:26" x14ac:dyDescent="0.25">
      <c r="B3" s="53" t="s">
        <v>67</v>
      </c>
      <c r="C3" s="53"/>
      <c r="D3" s="53"/>
      <c r="F3" t="s">
        <v>0</v>
      </c>
      <c r="G3" s="54" t="s">
        <v>69</v>
      </c>
      <c r="H3" s="54"/>
      <c r="I3" s="54"/>
      <c r="K3" s="13" t="s">
        <v>77</v>
      </c>
      <c r="L3" s="13">
        <v>1.5</v>
      </c>
      <c r="M3" s="13">
        <v>10</v>
      </c>
      <c r="N3" s="24">
        <f>M3^3</f>
        <v>1000</v>
      </c>
      <c r="O3" s="24">
        <f>M3^2</f>
        <v>100</v>
      </c>
      <c r="P3" s="24">
        <f>M3</f>
        <v>10</v>
      </c>
      <c r="Q3" s="24">
        <f>M3^0</f>
        <v>1</v>
      </c>
      <c r="R3" s="24">
        <f t="array" ref="R3:R6">MMULT(MINVERSE(N3:Q6),L3:L6)</f>
        <v>7.5000000000000002E-4</v>
      </c>
      <c r="S3" s="24">
        <v>0</v>
      </c>
      <c r="T3" s="24"/>
    </row>
    <row r="4" spans="2:26" x14ac:dyDescent="0.25">
      <c r="B4" s="13" t="s">
        <v>50</v>
      </c>
      <c r="C4" s="48" t="s">
        <v>51</v>
      </c>
      <c r="D4" s="48"/>
      <c r="F4" t="s">
        <v>68</v>
      </c>
      <c r="G4" s="54" t="s">
        <v>70</v>
      </c>
      <c r="H4" s="54"/>
      <c r="I4" s="54"/>
      <c r="K4" s="13" t="s">
        <v>78</v>
      </c>
      <c r="L4" s="13">
        <v>-0.5</v>
      </c>
      <c r="M4" s="13">
        <v>-10</v>
      </c>
      <c r="N4" s="24">
        <f>M4^3</f>
        <v>-1000</v>
      </c>
      <c r="O4" s="24">
        <f>M4^2</f>
        <v>100</v>
      </c>
      <c r="P4" s="24">
        <f>M4</f>
        <v>-10</v>
      </c>
      <c r="Q4" s="24">
        <f>M4^0</f>
        <v>1</v>
      </c>
      <c r="R4" s="24">
        <v>-8.6736173798840355E-19</v>
      </c>
      <c r="S4" s="24">
        <v>0</v>
      </c>
      <c r="T4" s="24"/>
    </row>
    <row r="5" spans="2:26" x14ac:dyDescent="0.25">
      <c r="B5" s="13" t="s">
        <v>49</v>
      </c>
      <c r="C5" s="48">
        <v>10</v>
      </c>
      <c r="D5" s="48"/>
      <c r="F5" t="s">
        <v>15</v>
      </c>
      <c r="G5" s="54" t="s">
        <v>71</v>
      </c>
      <c r="H5" s="54"/>
      <c r="I5" s="54"/>
      <c r="K5" s="13" t="s">
        <v>79</v>
      </c>
      <c r="L5" s="13">
        <v>0.5</v>
      </c>
      <c r="M5" s="13">
        <v>0</v>
      </c>
      <c r="N5" s="24">
        <f>M5^3</f>
        <v>0</v>
      </c>
      <c r="O5" s="24">
        <f>M5^2</f>
        <v>0</v>
      </c>
      <c r="P5" s="24">
        <f>M5</f>
        <v>0</v>
      </c>
      <c r="Q5" s="24">
        <v>1</v>
      </c>
      <c r="R5" s="24">
        <v>2.5000000000000001E-2</v>
      </c>
      <c r="S5" s="24">
        <v>0.05</v>
      </c>
      <c r="T5" s="24"/>
    </row>
    <row r="6" spans="2:26" x14ac:dyDescent="0.25">
      <c r="B6" s="13" t="s">
        <v>46</v>
      </c>
      <c r="C6" s="49">
        <v>100</v>
      </c>
      <c r="D6" s="50"/>
      <c r="K6" s="13" t="s">
        <v>80</v>
      </c>
      <c r="L6" s="13">
        <v>2.5000000000000001E-2</v>
      </c>
      <c r="M6" s="13">
        <v>0</v>
      </c>
      <c r="N6" s="24">
        <f>M6^3</f>
        <v>0</v>
      </c>
      <c r="O6" s="24">
        <f>M6^2</f>
        <v>0</v>
      </c>
      <c r="P6" s="24">
        <v>1</v>
      </c>
      <c r="Q6" s="24">
        <v>0</v>
      </c>
      <c r="R6" s="24">
        <v>0.5</v>
      </c>
      <c r="S6" s="24">
        <v>0.5</v>
      </c>
      <c r="T6" s="24"/>
    </row>
    <row r="7" spans="2:26" x14ac:dyDescent="0.25">
      <c r="B7" s="13" t="s">
        <v>82</v>
      </c>
      <c r="C7" s="48" t="s">
        <v>81</v>
      </c>
      <c r="D7" s="48"/>
      <c r="N7" s="24"/>
      <c r="O7" s="24"/>
      <c r="P7" s="24"/>
      <c r="Q7" s="24"/>
      <c r="R7" s="24"/>
      <c r="S7" s="24"/>
      <c r="T7" s="24"/>
    </row>
    <row r="8" spans="2:26" x14ac:dyDescent="0.25">
      <c r="B8" s="13" t="s">
        <v>73</v>
      </c>
      <c r="C8" s="48">
        <f>IF($C$7=$R$2,$R3,$S3)</f>
        <v>7.5000000000000002E-4</v>
      </c>
      <c r="D8" s="48"/>
      <c r="N8" s="24"/>
      <c r="O8" s="24"/>
      <c r="P8" s="24"/>
      <c r="Q8" s="26"/>
      <c r="R8" s="26"/>
      <c r="S8" s="27"/>
      <c r="T8" s="27"/>
      <c r="U8" s="2"/>
      <c r="V8" s="2"/>
      <c r="W8" s="2"/>
      <c r="X8" s="2"/>
      <c r="Y8" s="2"/>
      <c r="Z8" s="2"/>
    </row>
    <row r="9" spans="2:26" x14ac:dyDescent="0.25">
      <c r="B9" s="13" t="s">
        <v>74</v>
      </c>
      <c r="C9" s="48">
        <f>IF($C$7=$R$2,$R4,$S4)</f>
        <v>-8.6736173798840355E-19</v>
      </c>
      <c r="D9" s="48"/>
      <c r="N9" s="24"/>
      <c r="O9" s="24"/>
      <c r="P9" s="24"/>
      <c r="Q9" s="26"/>
      <c r="R9" s="26"/>
      <c r="S9" s="27"/>
      <c r="T9" s="27"/>
      <c r="U9" s="2"/>
      <c r="V9" s="2"/>
      <c r="W9" s="2"/>
      <c r="X9" s="2"/>
      <c r="Y9" s="2"/>
      <c r="Z9" s="2"/>
    </row>
    <row r="10" spans="2:26" x14ac:dyDescent="0.25">
      <c r="B10" s="13" t="s">
        <v>75</v>
      </c>
      <c r="C10" s="48">
        <f>IF($C$7=$R$2,$R5,$S5)</f>
        <v>2.5000000000000001E-2</v>
      </c>
      <c r="D10" s="48"/>
      <c r="Q10" s="1"/>
      <c r="R10" s="1"/>
      <c r="S10" s="2"/>
      <c r="T10" s="2"/>
      <c r="U10" s="2"/>
      <c r="V10" s="2"/>
      <c r="W10" s="2"/>
      <c r="X10" s="2"/>
      <c r="Y10" s="2"/>
      <c r="Z10" s="2"/>
    </row>
    <row r="11" spans="2:26" x14ac:dyDescent="0.25">
      <c r="B11" s="13" t="s">
        <v>72</v>
      </c>
      <c r="C11" s="48">
        <f>IF($C$7=$R$2,$R6,$S6)</f>
        <v>0.5</v>
      </c>
      <c r="D11" s="48"/>
      <c r="Q11" s="1"/>
      <c r="R11" s="1"/>
      <c r="S11" s="2"/>
      <c r="T11" s="2"/>
      <c r="U11" s="2"/>
      <c r="V11" s="2"/>
      <c r="W11" s="2"/>
      <c r="X11" s="2"/>
      <c r="Y11" s="2"/>
      <c r="Z11" s="2"/>
    </row>
    <row r="12" spans="2:26" x14ac:dyDescent="0.25">
      <c r="Q12" s="1"/>
      <c r="R12" s="1"/>
      <c r="S12" s="2"/>
      <c r="T12" s="2"/>
      <c r="U12" s="2"/>
      <c r="V12" s="2"/>
      <c r="W12" s="2"/>
      <c r="X12" s="2"/>
      <c r="Y12" s="2"/>
      <c r="Z12" s="2"/>
    </row>
    <row r="13" spans="2:26" x14ac:dyDescent="0.25">
      <c r="Q13" s="1"/>
      <c r="R13" s="1"/>
      <c r="S13" s="2"/>
      <c r="T13" s="2"/>
      <c r="U13" s="2"/>
      <c r="V13" s="2"/>
      <c r="W13" s="2"/>
      <c r="X13" s="2"/>
      <c r="Y13" s="2"/>
      <c r="Z13" s="2"/>
    </row>
    <row r="14" spans="2:26" x14ac:dyDescent="0.25">
      <c r="B14" t="s">
        <v>15</v>
      </c>
      <c r="C14" t="s">
        <v>84</v>
      </c>
      <c r="D14" t="s">
        <v>83</v>
      </c>
      <c r="E14" s="1"/>
      <c r="Q14" s="1"/>
      <c r="R14" s="1"/>
      <c r="S14" s="2"/>
      <c r="T14" s="2"/>
      <c r="U14" s="2"/>
      <c r="V14" s="2"/>
      <c r="W14" s="2"/>
      <c r="X14" s="2"/>
      <c r="Y14" s="2"/>
      <c r="Z14" s="2"/>
    </row>
    <row r="15" spans="2:26" x14ac:dyDescent="0.25">
      <c r="B15">
        <v>10</v>
      </c>
      <c r="C15" s="1">
        <f>$S$3*B15^3+$S$4*B15^2+$S$5*B15+$S$6</f>
        <v>1</v>
      </c>
      <c r="D15" s="1">
        <f>$R$3*B15^3+$R$4*B15^2+$R$5*B15+$R$6</f>
        <v>1.5</v>
      </c>
      <c r="E15" s="1"/>
      <c r="Q15" s="1"/>
      <c r="R15" s="1"/>
      <c r="S15" s="2"/>
      <c r="T15" s="2"/>
      <c r="U15" s="2"/>
      <c r="V15" s="2"/>
      <c r="W15" s="2"/>
      <c r="X15" s="2"/>
      <c r="Y15" s="2"/>
      <c r="Z15" s="2"/>
    </row>
    <row r="16" spans="2:26" x14ac:dyDescent="0.25">
      <c r="B16">
        <v>9</v>
      </c>
      <c r="C16" s="1">
        <f t="shared" ref="C16:C35" si="0">$S$3*B16^3+$S$4*B16^2+$S$5*B16+$S$6</f>
        <v>0.95</v>
      </c>
      <c r="D16" s="1">
        <f>$R$3*B16^3+$R$4*B16^2+$R$5*B16+$R$6</f>
        <v>1.2717499999999999</v>
      </c>
      <c r="E16" s="1"/>
      <c r="Q16" s="1"/>
      <c r="R16" s="1"/>
      <c r="S16" s="2"/>
      <c r="T16" s="2"/>
      <c r="U16" s="2"/>
      <c r="V16" s="2"/>
      <c r="W16" s="2"/>
      <c r="X16" s="2"/>
      <c r="Y16" s="2"/>
      <c r="Z16" s="2"/>
    </row>
    <row r="17" spans="2:5" x14ac:dyDescent="0.25">
      <c r="B17">
        <v>8</v>
      </c>
      <c r="C17" s="1">
        <f t="shared" si="0"/>
        <v>0.9</v>
      </c>
      <c r="D17" s="1">
        <f t="shared" ref="D17:D35" si="1">$R$3*B17^3+$R$4*B17^2+$R$5*B17+$R$6</f>
        <v>1.0840000000000001</v>
      </c>
      <c r="E17" s="1"/>
    </row>
    <row r="18" spans="2:5" x14ac:dyDescent="0.25">
      <c r="B18">
        <v>7</v>
      </c>
      <c r="C18" s="1">
        <f t="shared" si="0"/>
        <v>0.85000000000000009</v>
      </c>
      <c r="D18" s="1">
        <f t="shared" si="1"/>
        <v>0.93224999999999991</v>
      </c>
      <c r="E18" s="1"/>
    </row>
    <row r="19" spans="2:5" x14ac:dyDescent="0.25">
      <c r="B19">
        <v>6</v>
      </c>
      <c r="C19" s="1">
        <f t="shared" si="0"/>
        <v>0.8</v>
      </c>
      <c r="D19" s="1">
        <f t="shared" si="1"/>
        <v>0.81200000000000006</v>
      </c>
      <c r="E19" s="1"/>
    </row>
    <row r="20" spans="2:5" x14ac:dyDescent="0.25">
      <c r="B20">
        <v>5</v>
      </c>
      <c r="C20" s="1">
        <f t="shared" si="0"/>
        <v>0.75</v>
      </c>
      <c r="D20" s="1">
        <f t="shared" si="1"/>
        <v>0.71875</v>
      </c>
      <c r="E20" s="1"/>
    </row>
    <row r="21" spans="2:5" x14ac:dyDescent="0.25">
      <c r="B21">
        <v>4</v>
      </c>
      <c r="C21" s="1">
        <f t="shared" si="0"/>
        <v>0.7</v>
      </c>
      <c r="D21" s="1">
        <f t="shared" si="1"/>
        <v>0.64800000000000002</v>
      </c>
      <c r="E21" s="1"/>
    </row>
    <row r="22" spans="2:5" x14ac:dyDescent="0.25">
      <c r="B22">
        <v>3</v>
      </c>
      <c r="C22" s="1">
        <f t="shared" si="0"/>
        <v>0.65</v>
      </c>
      <c r="D22" s="1">
        <f t="shared" si="1"/>
        <v>0.59525000000000006</v>
      </c>
      <c r="E22" s="1"/>
    </row>
    <row r="23" spans="2:5" x14ac:dyDescent="0.25">
      <c r="B23">
        <v>2</v>
      </c>
      <c r="C23" s="1">
        <f t="shared" si="0"/>
        <v>0.6</v>
      </c>
      <c r="D23" s="1">
        <f t="shared" si="1"/>
        <v>0.55600000000000005</v>
      </c>
      <c r="E23" s="1"/>
    </row>
    <row r="24" spans="2:5" x14ac:dyDescent="0.25">
      <c r="B24">
        <v>1</v>
      </c>
      <c r="C24" s="1">
        <f t="shared" si="0"/>
        <v>0.55000000000000004</v>
      </c>
      <c r="D24" s="1">
        <f t="shared" si="1"/>
        <v>0.52575000000000005</v>
      </c>
      <c r="E24" s="1"/>
    </row>
    <row r="25" spans="2:5" x14ac:dyDescent="0.25">
      <c r="B25">
        <v>0</v>
      </c>
      <c r="C25" s="1">
        <f t="shared" si="0"/>
        <v>0.5</v>
      </c>
      <c r="D25" s="1">
        <f t="shared" si="1"/>
        <v>0.5</v>
      </c>
      <c r="E25" s="1"/>
    </row>
    <row r="26" spans="2:5" x14ac:dyDescent="0.25">
      <c r="B26">
        <v>-1</v>
      </c>
      <c r="C26" s="1">
        <f t="shared" si="0"/>
        <v>0.45</v>
      </c>
      <c r="D26" s="1">
        <f t="shared" si="1"/>
        <v>0.47425</v>
      </c>
      <c r="E26" s="1"/>
    </row>
    <row r="27" spans="2:5" x14ac:dyDescent="0.25">
      <c r="B27">
        <v>-2</v>
      </c>
      <c r="C27" s="1">
        <f t="shared" si="0"/>
        <v>0.4</v>
      </c>
      <c r="D27" s="1">
        <f t="shared" si="1"/>
        <v>0.44400000000000001</v>
      </c>
      <c r="E27" s="1"/>
    </row>
    <row r="28" spans="2:5" x14ac:dyDescent="0.25">
      <c r="B28">
        <v>-3</v>
      </c>
      <c r="C28" s="1">
        <f t="shared" si="0"/>
        <v>0.35</v>
      </c>
      <c r="D28" s="1">
        <f t="shared" si="1"/>
        <v>0.40475</v>
      </c>
      <c r="E28" s="1"/>
    </row>
    <row r="29" spans="2:5" x14ac:dyDescent="0.25">
      <c r="B29">
        <v>-4</v>
      </c>
      <c r="C29" s="1">
        <f t="shared" si="0"/>
        <v>0.3</v>
      </c>
      <c r="D29" s="1">
        <f t="shared" si="1"/>
        <v>0.35199999999999998</v>
      </c>
      <c r="E29" s="1"/>
    </row>
    <row r="30" spans="2:5" x14ac:dyDescent="0.25">
      <c r="B30">
        <v>-5</v>
      </c>
      <c r="C30" s="1">
        <f t="shared" si="0"/>
        <v>0.25</v>
      </c>
      <c r="D30" s="1">
        <f t="shared" si="1"/>
        <v>0.28125</v>
      </c>
      <c r="E30" s="1"/>
    </row>
    <row r="31" spans="2:5" x14ac:dyDescent="0.25">
      <c r="B31">
        <v>-6</v>
      </c>
      <c r="C31" s="1">
        <f t="shared" si="0"/>
        <v>0.19999999999999996</v>
      </c>
      <c r="D31" s="1">
        <f t="shared" si="1"/>
        <v>0.18799999999999994</v>
      </c>
      <c r="E31" s="1"/>
    </row>
    <row r="32" spans="2:5" x14ac:dyDescent="0.25">
      <c r="B32">
        <v>-7</v>
      </c>
      <c r="C32" s="1">
        <f t="shared" si="0"/>
        <v>0.14999999999999997</v>
      </c>
      <c r="D32" s="1">
        <f t="shared" si="1"/>
        <v>6.7749999999999977E-2</v>
      </c>
      <c r="E32" s="1"/>
    </row>
    <row r="33" spans="2:5" x14ac:dyDescent="0.25">
      <c r="B33">
        <v>-8</v>
      </c>
      <c r="C33" s="1">
        <f t="shared" si="0"/>
        <v>9.9999999999999978E-2</v>
      </c>
      <c r="D33" s="1">
        <f t="shared" si="1"/>
        <v>-8.4000000000000075E-2</v>
      </c>
      <c r="E33" s="1"/>
    </row>
    <row r="34" spans="2:5" x14ac:dyDescent="0.25">
      <c r="B34">
        <v>-9</v>
      </c>
      <c r="C34" s="1">
        <f t="shared" si="0"/>
        <v>4.9999999999999989E-2</v>
      </c>
      <c r="D34" s="1">
        <f t="shared" si="1"/>
        <v>-0.27175000000000005</v>
      </c>
    </row>
    <row r="35" spans="2:5" x14ac:dyDescent="0.25">
      <c r="B35">
        <v>-10</v>
      </c>
      <c r="C35" s="1">
        <f t="shared" si="0"/>
        <v>0</v>
      </c>
      <c r="D35" s="1">
        <f t="shared" si="1"/>
        <v>-0.5</v>
      </c>
    </row>
  </sheetData>
  <mergeCells count="15">
    <mergeCell ref="C6:D6"/>
    <mergeCell ref="N2:Q2"/>
    <mergeCell ref="B2:D2"/>
    <mergeCell ref="B3:D3"/>
    <mergeCell ref="C4:D4"/>
    <mergeCell ref="C5:D5"/>
    <mergeCell ref="G2:I2"/>
    <mergeCell ref="G3:I3"/>
    <mergeCell ref="G4:I4"/>
    <mergeCell ref="G5:I5"/>
    <mergeCell ref="C7:D7"/>
    <mergeCell ref="C8:D8"/>
    <mergeCell ref="C9:D9"/>
    <mergeCell ref="C11:D11"/>
    <mergeCell ref="C10:D10"/>
  </mergeCells>
  <conditionalFormatting sqref="S8:V16">
    <cfRule type="cellIs" dxfId="1" priority="1" operator="lessThan">
      <formula>0</formula>
    </cfRule>
    <cfRule type="cellIs" dxfId="0" priority="2" operator="greaterThan">
      <formula>0</formula>
    </cfRule>
  </conditionalFormatting>
  <dataValidations count="1">
    <dataValidation type="list" allowBlank="1" showInputMessage="1" showErrorMessage="1" sqref="C7">
      <formula1>$R$2:$S$2</formula1>
    </dataValidation>
  </dataValidations>
  <pageMargins left="0.7" right="0.7" top="0.78740157499999996" bottom="0.78740157499999996" header="0.3" footer="0.3"/>
  <pageSetup paperSize="9" orientation="portrait" horizontalDpi="0" verticalDpi="0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0"/>
  <sheetViews>
    <sheetView workbookViewId="0">
      <selection activeCell="C6" sqref="C6"/>
    </sheetView>
  </sheetViews>
  <sheetFormatPr baseColWidth="10" defaultRowHeight="15" x14ac:dyDescent="0.25"/>
  <sheetData>
    <row r="2" spans="2:8" x14ac:dyDescent="0.25">
      <c r="B2" s="55" t="s">
        <v>53</v>
      </c>
      <c r="C2" s="56"/>
      <c r="E2" t="s">
        <v>17</v>
      </c>
      <c r="F2" s="54" t="s">
        <v>56</v>
      </c>
      <c r="G2" s="54"/>
      <c r="H2" s="54"/>
    </row>
    <row r="3" spans="2:8" x14ac:dyDescent="0.25">
      <c r="B3" s="55" t="s">
        <v>54</v>
      </c>
      <c r="C3" s="56"/>
      <c r="E3" t="s">
        <v>0</v>
      </c>
      <c r="F3" s="54" t="s">
        <v>57</v>
      </c>
      <c r="G3" s="54"/>
      <c r="H3" s="54"/>
    </row>
    <row r="4" spans="2:8" x14ac:dyDescent="0.25">
      <c r="B4" s="13" t="s">
        <v>50</v>
      </c>
      <c r="C4" s="13" t="s">
        <v>51</v>
      </c>
      <c r="E4" t="s">
        <v>0</v>
      </c>
      <c r="F4" s="54" t="s">
        <v>58</v>
      </c>
      <c r="G4" s="54"/>
      <c r="H4" s="54"/>
    </row>
    <row r="5" spans="2:8" x14ac:dyDescent="0.25">
      <c r="B5" s="13" t="s">
        <v>2</v>
      </c>
      <c r="C5" s="13">
        <v>100</v>
      </c>
    </row>
    <row r="6" spans="2:8" x14ac:dyDescent="0.25">
      <c r="B6" s="13" t="s">
        <v>3</v>
      </c>
      <c r="C6" s="13">
        <v>100</v>
      </c>
    </row>
    <row r="9" spans="2:8" x14ac:dyDescent="0.25">
      <c r="B9" t="s">
        <v>48</v>
      </c>
      <c r="C9" t="s">
        <v>55</v>
      </c>
    </row>
    <row r="10" spans="2:8" x14ac:dyDescent="0.25">
      <c r="B10" s="7">
        <v>-100</v>
      </c>
      <c r="C10" s="1">
        <f t="shared" ref="C10:C41" si="0">1/(1+$C$5^(B10/$C$6))</f>
        <v>0.99009900990099009</v>
      </c>
    </row>
    <row r="11" spans="2:8" x14ac:dyDescent="0.25">
      <c r="B11" s="7">
        <v>-97.5</v>
      </c>
      <c r="C11" s="1">
        <f t="shared" si="0"/>
        <v>0.98890431113369237</v>
      </c>
    </row>
    <row r="12" spans="2:8" x14ac:dyDescent="0.25">
      <c r="B12" s="7">
        <v>-95</v>
      </c>
      <c r="C12" s="1">
        <f t="shared" si="0"/>
        <v>0.98756726474555756</v>
      </c>
    </row>
    <row r="13" spans="2:8" x14ac:dyDescent="0.25">
      <c r="B13" s="7">
        <v>-92.5</v>
      </c>
      <c r="C13" s="1">
        <f t="shared" si="0"/>
        <v>0.98607137165854641</v>
      </c>
    </row>
    <row r="14" spans="2:8" x14ac:dyDescent="0.25">
      <c r="B14" s="7">
        <v>-90</v>
      </c>
      <c r="C14" s="1">
        <f t="shared" si="0"/>
        <v>0.98439833775817043</v>
      </c>
    </row>
    <row r="15" spans="2:8" x14ac:dyDescent="0.25">
      <c r="B15" s="7">
        <v>-87.5</v>
      </c>
      <c r="C15" s="1">
        <f t="shared" si="0"/>
        <v>0.98252790850516658</v>
      </c>
    </row>
    <row r="16" spans="2:8" x14ac:dyDescent="0.25">
      <c r="B16" s="7">
        <v>-85</v>
      </c>
      <c r="C16" s="1">
        <f t="shared" si="0"/>
        <v>0.9804376961274206</v>
      </c>
    </row>
    <row r="17" spans="2:3" x14ac:dyDescent="0.25">
      <c r="B17" s="7">
        <v>-82.5</v>
      </c>
      <c r="C17" s="1">
        <f t="shared" si="0"/>
        <v>0.97810300135176664</v>
      </c>
    </row>
    <row r="18" spans="2:3" x14ac:dyDescent="0.25">
      <c r="B18" s="7">
        <v>-80</v>
      </c>
      <c r="C18" s="1">
        <f t="shared" si="0"/>
        <v>0.97549663244966411</v>
      </c>
    </row>
    <row r="19" spans="2:3" x14ac:dyDescent="0.25">
      <c r="B19" s="7">
        <v>-77.5</v>
      </c>
      <c r="C19" s="1">
        <f t="shared" si="0"/>
        <v>0.97258872537269336</v>
      </c>
    </row>
    <row r="20" spans="2:3" x14ac:dyDescent="0.25">
      <c r="B20" s="7">
        <v>-75</v>
      </c>
      <c r="C20" s="1">
        <f t="shared" si="0"/>
        <v>0.96934656996828439</v>
      </c>
    </row>
    <row r="21" spans="2:3" x14ac:dyDescent="0.25">
      <c r="B21" s="7">
        <v>-72.5</v>
      </c>
      <c r="C21" s="1">
        <f t="shared" si="0"/>
        <v>0.96573444871517511</v>
      </c>
    </row>
    <row r="22" spans="2:3" x14ac:dyDescent="0.25">
      <c r="B22" s="7">
        <v>-70</v>
      </c>
      <c r="C22" s="1">
        <f t="shared" si="0"/>
        <v>0.96171349611774537</v>
      </c>
    </row>
    <row r="23" spans="2:3" x14ac:dyDescent="0.25">
      <c r="B23" s="7">
        <v>-67.5</v>
      </c>
      <c r="C23" s="1">
        <f t="shared" si="0"/>
        <v>0.957241588853464</v>
      </c>
    </row>
    <row r="24" spans="2:3" x14ac:dyDescent="0.25">
      <c r="B24" s="7">
        <v>-65</v>
      </c>
      <c r="C24" s="1">
        <f t="shared" si="0"/>
        <v>0.95227327896579617</v>
      </c>
    </row>
    <row r="25" spans="2:3" x14ac:dyDescent="0.25">
      <c r="B25" s="7">
        <v>-62.5</v>
      </c>
      <c r="C25" s="1">
        <f t="shared" si="0"/>
        <v>0.94675978479797751</v>
      </c>
    </row>
    <row r="26" spans="2:3" x14ac:dyDescent="0.25">
      <c r="B26" s="7">
        <v>-60</v>
      </c>
      <c r="C26" s="1">
        <f t="shared" si="0"/>
        <v>0.94064905689723233</v>
      </c>
    </row>
    <row r="27" spans="2:3" x14ac:dyDescent="0.25">
      <c r="B27" s="7">
        <v>-57.5</v>
      </c>
      <c r="C27" s="1">
        <f t="shared" si="0"/>
        <v>0.93388593866280434</v>
      </c>
    </row>
    <row r="28" spans="2:3" x14ac:dyDescent="0.25">
      <c r="B28" s="7">
        <v>-55</v>
      </c>
      <c r="C28" s="1">
        <f t="shared" si="0"/>
        <v>0.92641244388242638</v>
      </c>
    </row>
    <row r="29" spans="2:3" x14ac:dyDescent="0.25">
      <c r="B29" s="7">
        <v>-52.5</v>
      </c>
      <c r="C29" s="1">
        <f t="shared" si="0"/>
        <v>0.91816817524484806</v>
      </c>
    </row>
    <row r="30" spans="2:3" x14ac:dyDescent="0.25">
      <c r="B30" s="7">
        <v>-50</v>
      </c>
      <c r="C30" s="1">
        <f t="shared" si="0"/>
        <v>0.90909090909090906</v>
      </c>
    </row>
    <row r="31" spans="2:3" x14ac:dyDescent="0.25">
      <c r="B31" s="7">
        <v>-47.5</v>
      </c>
      <c r="C31" s="1">
        <f t="shared" si="0"/>
        <v>0.89911737164327676</v>
      </c>
    </row>
    <row r="32" spans="2:3" x14ac:dyDescent="0.25">
      <c r="B32" s="7">
        <v>-45</v>
      </c>
      <c r="C32" s="1">
        <f t="shared" si="0"/>
        <v>0.88818423022188309</v>
      </c>
    </row>
    <row r="33" spans="2:3" x14ac:dyDescent="0.25">
      <c r="B33" s="7">
        <v>-42.5</v>
      </c>
      <c r="C33" s="1">
        <f t="shared" si="0"/>
        <v>0.87622931893106459</v>
      </c>
    </row>
    <row r="34" spans="2:3" x14ac:dyDescent="0.25">
      <c r="B34" s="7">
        <v>-40</v>
      </c>
      <c r="C34" s="1">
        <f t="shared" si="0"/>
        <v>0.86319311139679011</v>
      </c>
    </row>
    <row r="35" spans="2:3" x14ac:dyDescent="0.25">
      <c r="B35" s="7">
        <v>-37.5</v>
      </c>
      <c r="C35" s="1">
        <f t="shared" si="0"/>
        <v>0.84902044278867672</v>
      </c>
    </row>
    <row r="36" spans="2:3" x14ac:dyDescent="0.25">
      <c r="B36" s="7">
        <v>-35</v>
      </c>
      <c r="C36" s="1">
        <f t="shared" si="0"/>
        <v>0.83366246918343812</v>
      </c>
    </row>
    <row r="37" spans="2:3" x14ac:dyDescent="0.25">
      <c r="B37" s="7">
        <v>-32.5</v>
      </c>
      <c r="C37" s="1">
        <f t="shared" si="0"/>
        <v>0.81707883419997429</v>
      </c>
    </row>
    <row r="38" spans="2:3" x14ac:dyDescent="0.25">
      <c r="B38" s="7">
        <v>-30</v>
      </c>
      <c r="C38" s="1">
        <f t="shared" si="0"/>
        <v>0.79923999108689825</v>
      </c>
    </row>
    <row r="39" spans="2:3" x14ac:dyDescent="0.25">
      <c r="B39" s="7">
        <v>-27.5</v>
      </c>
      <c r="C39" s="1">
        <f t="shared" si="0"/>
        <v>0.78012960399315845</v>
      </c>
    </row>
    <row r="40" spans="2:3" x14ac:dyDescent="0.25">
      <c r="B40" s="7">
        <v>-25</v>
      </c>
      <c r="C40" s="1">
        <f t="shared" si="0"/>
        <v>0.75974692664795784</v>
      </c>
    </row>
    <row r="41" spans="2:3" x14ac:dyDescent="0.25">
      <c r="B41" s="7">
        <v>-22.5</v>
      </c>
      <c r="C41" s="1">
        <f t="shared" si="0"/>
        <v>0.73810903254041871</v>
      </c>
    </row>
    <row r="42" spans="2:3" x14ac:dyDescent="0.25">
      <c r="B42" s="7">
        <v>-20</v>
      </c>
      <c r="C42" s="1">
        <f t="shared" ref="C42:C73" si="1">1/(1+$C$5^(B42/$C$6))</f>
        <v>0.71525275104919872</v>
      </c>
    </row>
    <row r="43" spans="2:3" x14ac:dyDescent="0.25">
      <c r="B43" s="7">
        <v>-17.5</v>
      </c>
      <c r="C43" s="1">
        <f t="shared" si="1"/>
        <v>0.69123615241476299</v>
      </c>
    </row>
    <row r="44" spans="2:3" x14ac:dyDescent="0.25">
      <c r="B44" s="7">
        <v>-15</v>
      </c>
      <c r="C44" s="1">
        <f t="shared" si="1"/>
        <v>0.66613942458312214</v>
      </c>
    </row>
    <row r="45" spans="2:3" x14ac:dyDescent="0.25">
      <c r="B45" s="7">
        <v>-12.5</v>
      </c>
      <c r="C45" s="1">
        <f t="shared" si="1"/>
        <v>0.64006499980288512</v>
      </c>
    </row>
    <row r="46" spans="2:3" x14ac:dyDescent="0.25">
      <c r="B46" s="7">
        <v>-10</v>
      </c>
      <c r="C46" s="1">
        <f t="shared" si="1"/>
        <v>0.61313682015314308</v>
      </c>
    </row>
    <row r="47" spans="2:3" x14ac:dyDescent="0.25">
      <c r="B47" s="7">
        <v>-7.5</v>
      </c>
      <c r="C47" s="1">
        <f t="shared" si="1"/>
        <v>0.58549867867180949</v>
      </c>
    </row>
    <row r="48" spans="2:3" x14ac:dyDescent="0.25">
      <c r="B48" s="7">
        <v>-5</v>
      </c>
      <c r="C48" s="1">
        <f t="shared" si="1"/>
        <v>0.55731163376229276</v>
      </c>
    </row>
    <row r="49" spans="2:3" x14ac:dyDescent="0.25">
      <c r="B49" s="7">
        <v>-2.5</v>
      </c>
      <c r="C49" s="1">
        <f t="shared" si="1"/>
        <v>0.5287505638922686</v>
      </c>
    </row>
    <row r="50" spans="2:3" x14ac:dyDescent="0.25">
      <c r="B50" s="7">
        <v>0</v>
      </c>
      <c r="C50" s="1">
        <f t="shared" si="1"/>
        <v>0.5</v>
      </c>
    </row>
    <row r="51" spans="2:3" x14ac:dyDescent="0.25">
      <c r="B51" s="7">
        <v>2.5</v>
      </c>
      <c r="C51" s="1">
        <f t="shared" si="1"/>
        <v>0.47124943610773129</v>
      </c>
    </row>
    <row r="52" spans="2:3" x14ac:dyDescent="0.25">
      <c r="B52" s="7">
        <v>5</v>
      </c>
      <c r="C52" s="1">
        <f t="shared" si="1"/>
        <v>0.44268836623770724</v>
      </c>
    </row>
    <row r="53" spans="2:3" x14ac:dyDescent="0.25">
      <c r="B53" s="7">
        <v>7.5</v>
      </c>
      <c r="C53" s="1">
        <f t="shared" si="1"/>
        <v>0.41450132132819051</v>
      </c>
    </row>
    <row r="54" spans="2:3" x14ac:dyDescent="0.25">
      <c r="B54" s="7">
        <v>10</v>
      </c>
      <c r="C54" s="1">
        <f t="shared" si="1"/>
        <v>0.38686317984685692</v>
      </c>
    </row>
    <row r="55" spans="2:3" x14ac:dyDescent="0.25">
      <c r="B55" s="7">
        <v>12.5</v>
      </c>
      <c r="C55" s="1">
        <f t="shared" si="1"/>
        <v>0.35993500019711488</v>
      </c>
    </row>
    <row r="56" spans="2:3" x14ac:dyDescent="0.25">
      <c r="B56" s="7">
        <v>15</v>
      </c>
      <c r="C56" s="1">
        <f t="shared" si="1"/>
        <v>0.33386057541687791</v>
      </c>
    </row>
    <row r="57" spans="2:3" x14ac:dyDescent="0.25">
      <c r="B57" s="7">
        <v>17.5</v>
      </c>
      <c r="C57" s="1">
        <f t="shared" si="1"/>
        <v>0.30876384758523701</v>
      </c>
    </row>
    <row r="58" spans="2:3" x14ac:dyDescent="0.25">
      <c r="B58" s="7">
        <v>20</v>
      </c>
      <c r="C58" s="1">
        <f t="shared" si="1"/>
        <v>0.28474724895080139</v>
      </c>
    </row>
    <row r="59" spans="2:3" x14ac:dyDescent="0.25">
      <c r="B59" s="7">
        <v>22.5</v>
      </c>
      <c r="C59" s="1">
        <f t="shared" si="1"/>
        <v>0.26189096745958135</v>
      </c>
    </row>
    <row r="60" spans="2:3" x14ac:dyDescent="0.25">
      <c r="B60" s="7">
        <v>25</v>
      </c>
      <c r="C60" s="1">
        <f t="shared" si="1"/>
        <v>0.2402530733520421</v>
      </c>
    </row>
    <row r="61" spans="2:3" x14ac:dyDescent="0.25">
      <c r="B61" s="7">
        <v>27.5</v>
      </c>
      <c r="C61" s="1">
        <f t="shared" si="1"/>
        <v>0.2198703960068415</v>
      </c>
    </row>
    <row r="62" spans="2:3" x14ac:dyDescent="0.25">
      <c r="B62" s="7">
        <v>30</v>
      </c>
      <c r="C62" s="1">
        <f t="shared" si="1"/>
        <v>0.20076000891310175</v>
      </c>
    </row>
    <row r="63" spans="2:3" x14ac:dyDescent="0.25">
      <c r="B63" s="7">
        <v>32.5</v>
      </c>
      <c r="C63" s="1">
        <f t="shared" si="1"/>
        <v>0.18292116580002576</v>
      </c>
    </row>
    <row r="64" spans="2:3" x14ac:dyDescent="0.25">
      <c r="B64" s="7">
        <v>35</v>
      </c>
      <c r="C64" s="1">
        <f t="shared" si="1"/>
        <v>0.16633753081656188</v>
      </c>
    </row>
    <row r="65" spans="2:3" x14ac:dyDescent="0.25">
      <c r="B65" s="7">
        <v>37.5</v>
      </c>
      <c r="C65" s="1">
        <f t="shared" si="1"/>
        <v>0.15097955721132328</v>
      </c>
    </row>
    <row r="66" spans="2:3" x14ac:dyDescent="0.25">
      <c r="B66" s="7">
        <v>40</v>
      </c>
      <c r="C66" s="1">
        <f t="shared" si="1"/>
        <v>0.13680688860320997</v>
      </c>
    </row>
    <row r="67" spans="2:3" x14ac:dyDescent="0.25">
      <c r="B67" s="7">
        <v>42.5</v>
      </c>
      <c r="C67" s="1">
        <f t="shared" si="1"/>
        <v>0.12377068106893543</v>
      </c>
    </row>
    <row r="68" spans="2:3" x14ac:dyDescent="0.25">
      <c r="B68" s="7">
        <v>45</v>
      </c>
      <c r="C68" s="1">
        <f t="shared" si="1"/>
        <v>0.11181576977811693</v>
      </c>
    </row>
    <row r="69" spans="2:3" x14ac:dyDescent="0.25">
      <c r="B69" s="7">
        <v>47.5</v>
      </c>
      <c r="C69" s="1">
        <f t="shared" si="1"/>
        <v>0.10088262835672331</v>
      </c>
    </row>
    <row r="70" spans="2:3" x14ac:dyDescent="0.25">
      <c r="B70" s="7">
        <v>50</v>
      </c>
      <c r="C70" s="1">
        <f t="shared" si="1"/>
        <v>9.0909090909090912E-2</v>
      </c>
    </row>
    <row r="71" spans="2:3" x14ac:dyDescent="0.25">
      <c r="B71" s="7">
        <v>52.5</v>
      </c>
      <c r="C71" s="1">
        <f t="shared" si="1"/>
        <v>8.1831824755151994E-2</v>
      </c>
    </row>
    <row r="72" spans="2:3" x14ac:dyDescent="0.25">
      <c r="B72" s="7">
        <v>55</v>
      </c>
      <c r="C72" s="1">
        <f t="shared" si="1"/>
        <v>7.3587556117573491E-2</v>
      </c>
    </row>
    <row r="73" spans="2:3" x14ac:dyDescent="0.25">
      <c r="B73" s="7">
        <v>57.5</v>
      </c>
      <c r="C73" s="1">
        <f t="shared" si="1"/>
        <v>6.6114061337195593E-2</v>
      </c>
    </row>
    <row r="74" spans="2:3" x14ac:dyDescent="0.25">
      <c r="B74" s="7">
        <v>60</v>
      </c>
      <c r="C74" s="1">
        <f t="shared" ref="C74:C90" si="2">1/(1+$C$5^(B74/$C$6))</f>
        <v>5.9350943102767589E-2</v>
      </c>
    </row>
    <row r="75" spans="2:3" x14ac:dyDescent="0.25">
      <c r="B75" s="7">
        <v>62.5</v>
      </c>
      <c r="C75" s="1">
        <f t="shared" si="2"/>
        <v>5.324021520202242E-2</v>
      </c>
    </row>
    <row r="76" spans="2:3" x14ac:dyDescent="0.25">
      <c r="B76" s="7">
        <v>65</v>
      </c>
      <c r="C76" s="1">
        <f t="shared" si="2"/>
        <v>4.7726721034203889E-2</v>
      </c>
    </row>
    <row r="77" spans="2:3" x14ac:dyDescent="0.25">
      <c r="B77" s="7">
        <v>67.5</v>
      </c>
      <c r="C77" s="1">
        <f t="shared" si="2"/>
        <v>4.2758411146536043E-2</v>
      </c>
    </row>
    <row r="78" spans="2:3" x14ac:dyDescent="0.25">
      <c r="B78" s="7">
        <v>70</v>
      </c>
      <c r="C78" s="1">
        <f t="shared" si="2"/>
        <v>3.8286503882254734E-2</v>
      </c>
    </row>
    <row r="79" spans="2:3" x14ac:dyDescent="0.25">
      <c r="B79" s="7">
        <v>72.5</v>
      </c>
      <c r="C79" s="1">
        <f t="shared" si="2"/>
        <v>3.4265551284824967E-2</v>
      </c>
    </row>
    <row r="80" spans="2:3" x14ac:dyDescent="0.25">
      <c r="B80" s="7">
        <v>75</v>
      </c>
      <c r="C80" s="1">
        <f t="shared" si="2"/>
        <v>3.0653430031715501E-2</v>
      </c>
    </row>
    <row r="81" spans="2:3" x14ac:dyDescent="0.25">
      <c r="B81" s="7">
        <v>77.5</v>
      </c>
      <c r="C81" s="1">
        <f t="shared" si="2"/>
        <v>2.7411274627306501E-2</v>
      </c>
    </row>
    <row r="82" spans="2:3" x14ac:dyDescent="0.25">
      <c r="B82" s="7">
        <v>80</v>
      </c>
      <c r="C82" s="1">
        <f t="shared" si="2"/>
        <v>2.4503367550335973E-2</v>
      </c>
    </row>
    <row r="83" spans="2:3" x14ac:dyDescent="0.25">
      <c r="B83" s="7">
        <v>82.5</v>
      </c>
      <c r="C83" s="1">
        <f t="shared" si="2"/>
        <v>2.1896998648233367E-2</v>
      </c>
    </row>
    <row r="84" spans="2:3" x14ac:dyDescent="0.25">
      <c r="B84" s="7">
        <v>85</v>
      </c>
      <c r="C84" s="1">
        <f t="shared" si="2"/>
        <v>1.9562303872579515E-2</v>
      </c>
    </row>
    <row r="85" spans="2:3" x14ac:dyDescent="0.25">
      <c r="B85" s="7">
        <v>87.5</v>
      </c>
      <c r="C85" s="1">
        <f t="shared" si="2"/>
        <v>1.747209149483344E-2</v>
      </c>
    </row>
    <row r="86" spans="2:3" x14ac:dyDescent="0.25">
      <c r="B86" s="7">
        <v>90</v>
      </c>
      <c r="C86" s="1">
        <f t="shared" si="2"/>
        <v>1.5601662241829593E-2</v>
      </c>
    </row>
    <row r="87" spans="2:3" x14ac:dyDescent="0.25">
      <c r="B87" s="7">
        <v>92.5</v>
      </c>
      <c r="C87" s="1">
        <f t="shared" si="2"/>
        <v>1.3928628341453532E-2</v>
      </c>
    </row>
    <row r="88" spans="2:3" x14ac:dyDescent="0.25">
      <c r="B88" s="7">
        <v>95</v>
      </c>
      <c r="C88" s="1">
        <f t="shared" si="2"/>
        <v>1.2432735254442398E-2</v>
      </c>
    </row>
    <row r="89" spans="2:3" x14ac:dyDescent="0.25">
      <c r="B89" s="7">
        <v>97.5</v>
      </c>
      <c r="C89" s="1">
        <f t="shared" si="2"/>
        <v>1.1095688866307732E-2</v>
      </c>
    </row>
    <row r="90" spans="2:3" x14ac:dyDescent="0.25">
      <c r="B90" s="7">
        <v>100</v>
      </c>
      <c r="C90" s="1">
        <f t="shared" si="2"/>
        <v>9.9009900990099011E-3</v>
      </c>
    </row>
  </sheetData>
  <mergeCells count="5">
    <mergeCell ref="B2:C2"/>
    <mergeCell ref="B3:C3"/>
    <mergeCell ref="F2:H2"/>
    <mergeCell ref="F3:H3"/>
    <mergeCell ref="F4:H4"/>
  </mergeCells>
  <pageMargins left="0.7" right="0.7" top="0.78740157499999996" bottom="0.78740157499999996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workbookViewId="0">
      <selection activeCell="E3" sqref="E3"/>
    </sheetView>
  </sheetViews>
  <sheetFormatPr baseColWidth="10" defaultRowHeight="15" x14ac:dyDescent="0.25"/>
  <cols>
    <col min="2" max="2" width="16.5703125" bestFit="1" customWidth="1"/>
    <col min="3" max="3" width="16.5703125" customWidth="1"/>
    <col min="4" max="4" width="11.140625" customWidth="1"/>
    <col min="5" max="5" width="12.42578125" customWidth="1"/>
    <col min="6" max="6" width="17.28515625" customWidth="1"/>
  </cols>
  <sheetData>
    <row r="2" spans="2:8" x14ac:dyDescent="0.25">
      <c r="B2" s="14" t="s">
        <v>60</v>
      </c>
      <c r="C2" s="14" t="s">
        <v>61</v>
      </c>
      <c r="D2" t="s">
        <v>62</v>
      </c>
      <c r="E2" t="s">
        <v>64</v>
      </c>
      <c r="F2" t="s">
        <v>63</v>
      </c>
    </row>
    <row r="3" spans="2:8" x14ac:dyDescent="0.25">
      <c r="B3" t="s">
        <v>18</v>
      </c>
      <c r="C3">
        <v>120</v>
      </c>
      <c r="D3" s="1">
        <f>C3/C5</f>
        <v>0.54545454545454541</v>
      </c>
      <c r="E3" s="1">
        <f>IF(SIGN(C12)=-1,C12*(Tabelle8[[#This Row],[Anteil]]),C12*(1-Tabelle8[[#This Row],[Anteil]]))</f>
        <v>4.5454545454545459</v>
      </c>
      <c r="F3" s="1">
        <f>Tabelle8[[#This Row],[Rating vorher]]+Tabelle8[[#This Row],[Änderung]]</f>
        <v>124.54545454545455</v>
      </c>
    </row>
    <row r="4" spans="2:8" x14ac:dyDescent="0.25">
      <c r="B4" t="s">
        <v>12</v>
      </c>
      <c r="C4">
        <v>100</v>
      </c>
      <c r="D4" s="1">
        <f>C4/C5</f>
        <v>0.45454545454545453</v>
      </c>
      <c r="E4" s="1">
        <f>IF(SIGN(C12)=-1,C12*(Tabelle8[[#This Row],[Anteil]]),C12*(1-Tabelle8[[#This Row],[Anteil]]))</f>
        <v>5.4545454545454541</v>
      </c>
      <c r="F4" s="1">
        <f>Tabelle8[[#This Row],[Rating vorher]]+Tabelle8[[#This Row],[Änderung]]</f>
        <v>105.45454545454545</v>
      </c>
    </row>
    <row r="5" spans="2:8" x14ac:dyDescent="0.25">
      <c r="B5" t="s">
        <v>0</v>
      </c>
      <c r="C5">
        <f>SUM(C3:C4)</f>
        <v>220</v>
      </c>
      <c r="D5" s="1"/>
      <c r="E5" s="1"/>
      <c r="F5" s="1"/>
      <c r="H5" s="1"/>
    </row>
    <row r="6" spans="2:8" x14ac:dyDescent="0.25">
      <c r="D6" s="1"/>
      <c r="E6" s="1"/>
      <c r="F6" s="1"/>
      <c r="H6" s="1"/>
    </row>
    <row r="7" spans="2:8" x14ac:dyDescent="0.25">
      <c r="B7" t="s">
        <v>19</v>
      </c>
      <c r="C7">
        <v>110</v>
      </c>
      <c r="D7" s="1">
        <f>C7/C9</f>
        <v>0.5</v>
      </c>
      <c r="E7" s="1">
        <f>IF(SIGN(C13)=-1,C13*(Tabelle8[[#This Row],[Anteil]]),C13*(1-Tabelle8[[#This Row],[Anteil]]))</f>
        <v>-5</v>
      </c>
      <c r="F7" s="1">
        <f>Tabelle8[[#This Row],[Rating vorher]]+Tabelle8[[#This Row],[Änderung]]</f>
        <v>105</v>
      </c>
      <c r="H7" s="1"/>
    </row>
    <row r="8" spans="2:8" x14ac:dyDescent="0.25">
      <c r="B8" t="s">
        <v>13</v>
      </c>
      <c r="C8">
        <v>110</v>
      </c>
      <c r="D8" s="1">
        <f>C8/C9</f>
        <v>0.5</v>
      </c>
      <c r="E8" s="1">
        <f>IF(SIGN(C13)=-1,C13*(Tabelle8[[#This Row],[Anteil]]),C13*(1-Tabelle8[[#This Row],[Anteil]]))</f>
        <v>-5</v>
      </c>
      <c r="F8" s="1">
        <f>Tabelle8[[#This Row],[Rating vorher]]+Tabelle8[[#This Row],[Änderung]]</f>
        <v>105</v>
      </c>
      <c r="H8" s="1"/>
    </row>
    <row r="9" spans="2:8" x14ac:dyDescent="0.25">
      <c r="B9" t="s">
        <v>1</v>
      </c>
      <c r="C9">
        <f>SUM(C7:C8)</f>
        <v>220</v>
      </c>
      <c r="E9" s="1"/>
      <c r="F9" s="1"/>
    </row>
    <row r="11" spans="2:8" x14ac:dyDescent="0.25">
      <c r="B11" s="13" t="s">
        <v>65</v>
      </c>
      <c r="C11" s="13"/>
    </row>
    <row r="12" spans="2:8" x14ac:dyDescent="0.25">
      <c r="B12" s="13" t="s">
        <v>52</v>
      </c>
      <c r="C12" s="13">
        <v>10</v>
      </c>
    </row>
    <row r="13" spans="2:8" x14ac:dyDescent="0.25">
      <c r="B13" s="13" t="s">
        <v>59</v>
      </c>
      <c r="C13" s="13">
        <f>-C12</f>
        <v>-10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Ergebnisliste</vt:lpstr>
      <vt:lpstr>Ranking</vt:lpstr>
      <vt:lpstr>Matchanalyse</vt:lpstr>
      <vt:lpstr>Spielauswertung</vt:lpstr>
      <vt:lpstr>SpielerDaten</vt:lpstr>
      <vt:lpstr>Ergebnisbewertung</vt:lpstr>
      <vt:lpstr>Ergebnisvorhersage</vt:lpstr>
      <vt:lpstr>Ratingverteilung</vt:lpstr>
    </vt:vector>
  </TitlesOfParts>
  <Company>ITK Engineering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Ristau</dc:creator>
  <cp:lastModifiedBy>Tom Ristau</cp:lastModifiedBy>
  <cp:lastPrinted>2018-01-10T16:18:40Z</cp:lastPrinted>
  <dcterms:created xsi:type="dcterms:W3CDTF">2018-01-10T11:44:12Z</dcterms:created>
  <dcterms:modified xsi:type="dcterms:W3CDTF">2018-04-12T15:00:35Z</dcterms:modified>
</cp:coreProperties>
</file>